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2.xml" ContentType="application/vnd.openxmlformats-officedocument.drawingml.chart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8.xml" ContentType="application/vnd.openxmlformats-officedocument.drawingml.chart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sina/Desktop/Exercise Files/"/>
    </mc:Choice>
  </mc:AlternateContent>
  <xr:revisionPtr revIDLastSave="0" documentId="13_ncr:1_{E3368EDD-6EAA-714B-89D2-16200A7A9CFB}" xr6:coauthVersionLast="47" xr6:coauthVersionMax="47" xr10:uidLastSave="{00000000-0000-0000-0000-000000000000}"/>
  <bookViews>
    <workbookView xWindow="1120" yWindow="1900" windowWidth="28300" windowHeight="16580" activeTab="7" xr2:uid="{00000000-000D-0000-FFFF-FFFF00000000}"/>
  </bookViews>
  <sheets>
    <sheet name="Data" sheetId="1" r:id="rId1"/>
    <sheet name="Trend" sheetId="2" r:id="rId2"/>
    <sheet name="Linear Regression" sheetId="3" r:id="rId3"/>
    <sheet name="Correlation" sheetId="4" r:id="rId4"/>
    <sheet name="Multiple Regression" sheetId="5" r:id="rId5"/>
    <sheet name="Model" sheetId="6" r:id="rId6"/>
    <sheet name="Response" sheetId="7" r:id="rId7"/>
    <sheet name="statistical tests" sheetId="9" r:id="rId8"/>
    <sheet name="Forecasting" sheetId="10" r:id="rId9"/>
    <sheet name="Sheet6" sheetId="8" r:id="rId10"/>
  </sheets>
  <externalReferences>
    <externalReference r:id="rId11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0" l="1"/>
  <c r="J3" i="10"/>
  <c r="K3" i="10"/>
  <c r="N41" i="10" s="1"/>
  <c r="X3" i="10" s="1"/>
  <c r="M23" i="10" s="1"/>
  <c r="AA3" i="10"/>
  <c r="P23" i="10" s="1"/>
  <c r="AD3" i="10"/>
  <c r="S23" i="10" s="1"/>
  <c r="I4" i="10"/>
  <c r="I5" i="10" s="1"/>
  <c r="J4" i="10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K4" i="10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I6" i="10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O41" i="10"/>
  <c r="Y3" i="10" s="1"/>
  <c r="N23" i="10" s="1"/>
  <c r="P41" i="10"/>
  <c r="Z3" i="10" s="1"/>
  <c r="O23" i="10" s="1"/>
  <c r="Q41" i="10"/>
  <c r="R41" i="10"/>
  <c r="AB3" i="10" s="1"/>
  <c r="Q23" i="10" s="1"/>
  <c r="S41" i="10"/>
  <c r="AC3" i="10" s="1"/>
  <c r="R23" i="10" s="1"/>
  <c r="C58" i="10"/>
  <c r="F58" i="10"/>
  <c r="G58" i="10"/>
  <c r="H58" i="10"/>
  <c r="C59" i="10"/>
  <c r="F59" i="10"/>
  <c r="G59" i="10"/>
  <c r="H59" i="10"/>
  <c r="N59" i="10"/>
  <c r="C60" i="10"/>
  <c r="F60" i="10"/>
  <c r="G60" i="10"/>
  <c r="H60" i="10"/>
  <c r="C61" i="10"/>
  <c r="F61" i="10"/>
  <c r="G61" i="10"/>
  <c r="H61" i="10"/>
  <c r="C62" i="10"/>
  <c r="F62" i="10"/>
  <c r="G62" i="10"/>
  <c r="H62" i="10"/>
  <c r="C63" i="10"/>
  <c r="F63" i="10"/>
  <c r="G63" i="10"/>
  <c r="H63" i="10"/>
  <c r="C64" i="10"/>
  <c r="F64" i="10"/>
  <c r="G64" i="10"/>
  <c r="H64" i="10"/>
  <c r="N64" i="10"/>
  <c r="C65" i="10"/>
  <c r="F65" i="10"/>
  <c r="G65" i="10"/>
  <c r="H65" i="10"/>
  <c r="C66" i="10"/>
  <c r="F66" i="10"/>
  <c r="G66" i="10"/>
  <c r="H66" i="10"/>
  <c r="C67" i="10"/>
  <c r="F67" i="10"/>
  <c r="G67" i="10"/>
  <c r="H67" i="10"/>
  <c r="C68" i="10"/>
  <c r="F68" i="10"/>
  <c r="G68" i="10"/>
  <c r="H68" i="10"/>
  <c r="C69" i="10"/>
  <c r="F69" i="10"/>
  <c r="G69" i="10"/>
  <c r="H69" i="10"/>
  <c r="I3" i="9"/>
  <c r="J3" i="9"/>
  <c r="K3" i="9"/>
  <c r="X3" i="9"/>
  <c r="M23" i="9" s="1"/>
  <c r="Y3" i="9"/>
  <c r="N23" i="9" s="1"/>
  <c r="Z3" i="9"/>
  <c r="O23" i="9" s="1"/>
  <c r="AA3" i="9"/>
  <c r="P23" i="9" s="1"/>
  <c r="AD3" i="9"/>
  <c r="I4" i="9"/>
  <c r="I5" i="9" s="1"/>
  <c r="J4" i="9"/>
  <c r="J5" i="9" s="1"/>
  <c r="J6" i="9" s="1"/>
  <c r="K4" i="9"/>
  <c r="K5" i="9" s="1"/>
  <c r="K6" i="9" s="1"/>
  <c r="K7" i="9" s="1"/>
  <c r="I6" i="9"/>
  <c r="I7" i="9"/>
  <c r="I8" i="9" s="1"/>
  <c r="I9" i="9" s="1"/>
  <c r="I10" i="9" s="1"/>
  <c r="I11" i="9" s="1"/>
  <c r="I12" i="9" s="1"/>
  <c r="I13" i="9" s="1"/>
  <c r="I14" i="9" s="1"/>
  <c r="I15" i="9" s="1"/>
  <c r="J7" i="9"/>
  <c r="J8" i="9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K8" i="9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S23" i="9"/>
  <c r="N41" i="9"/>
  <c r="O41" i="9"/>
  <c r="P41" i="9"/>
  <c r="Q41" i="9"/>
  <c r="R41" i="9"/>
  <c r="AB3" i="9" s="1"/>
  <c r="Q23" i="9" s="1"/>
  <c r="S41" i="9"/>
  <c r="AC3" i="9" s="1"/>
  <c r="R23" i="9" s="1"/>
  <c r="C5" i="7"/>
  <c r="C6" i="7"/>
  <c r="C7" i="7" s="1"/>
  <c r="A3" i="6"/>
  <c r="B3" i="6"/>
  <c r="C3" i="6"/>
  <c r="U3" i="6" s="1"/>
  <c r="J32" i="6" s="1"/>
  <c r="D3" i="6"/>
  <c r="E3" i="6"/>
  <c r="W3" i="6" s="1"/>
  <c r="L32" i="6" s="1"/>
  <c r="F3" i="6"/>
  <c r="G3" i="6"/>
  <c r="L5" i="6" s="1"/>
  <c r="H3" i="6"/>
  <c r="AA3" i="6"/>
  <c r="A4" i="6"/>
  <c r="B4" i="6"/>
  <c r="C4" i="6"/>
  <c r="D4" i="6"/>
  <c r="E4" i="6"/>
  <c r="F4" i="6"/>
  <c r="G4" i="6"/>
  <c r="H4" i="6"/>
  <c r="A5" i="6"/>
  <c r="B5" i="6"/>
  <c r="C5" i="6"/>
  <c r="D5" i="6"/>
  <c r="E5" i="6"/>
  <c r="F5" i="6"/>
  <c r="G5" i="6"/>
  <c r="H5" i="6"/>
  <c r="N5" i="6"/>
  <c r="A6" i="6"/>
  <c r="B6" i="6"/>
  <c r="C6" i="6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D6" i="6"/>
  <c r="E6" i="6"/>
  <c r="F6" i="6"/>
  <c r="G6" i="6"/>
  <c r="H6" i="6"/>
  <c r="A7" i="6"/>
  <c r="B7" i="6"/>
  <c r="D7" i="6"/>
  <c r="E7" i="6"/>
  <c r="F7" i="6"/>
  <c r="G7" i="6"/>
  <c r="H7" i="6"/>
  <c r="A8" i="6"/>
  <c r="B8" i="6"/>
  <c r="D8" i="6"/>
  <c r="E8" i="6"/>
  <c r="F8" i="6"/>
  <c r="G8" i="6"/>
  <c r="H8" i="6"/>
  <c r="A9" i="6"/>
  <c r="B9" i="6"/>
  <c r="D9" i="6"/>
  <c r="E9" i="6"/>
  <c r="F9" i="6"/>
  <c r="G9" i="6"/>
  <c r="H9" i="6"/>
  <c r="A10" i="6"/>
  <c r="B10" i="6"/>
  <c r="D10" i="6"/>
  <c r="E10" i="6"/>
  <c r="F10" i="6"/>
  <c r="G10" i="6"/>
  <c r="H10" i="6"/>
  <c r="A11" i="6"/>
  <c r="B11" i="6"/>
  <c r="D11" i="6"/>
  <c r="E11" i="6"/>
  <c r="F11" i="6"/>
  <c r="G11" i="6"/>
  <c r="H11" i="6"/>
  <c r="A12" i="6"/>
  <c r="B12" i="6"/>
  <c r="D12" i="6"/>
  <c r="E12" i="6"/>
  <c r="F12" i="6"/>
  <c r="G12" i="6"/>
  <c r="H12" i="6"/>
  <c r="A13" i="6"/>
  <c r="B13" i="6"/>
  <c r="D13" i="6"/>
  <c r="E13" i="6"/>
  <c r="F13" i="6"/>
  <c r="G13" i="6"/>
  <c r="H13" i="6"/>
  <c r="A14" i="6"/>
  <c r="B14" i="6"/>
  <c r="D14" i="6"/>
  <c r="E14" i="6"/>
  <c r="F14" i="6"/>
  <c r="G14" i="6"/>
  <c r="H14" i="6"/>
  <c r="A15" i="6"/>
  <c r="B15" i="6"/>
  <c r="D15" i="6"/>
  <c r="E15" i="6"/>
  <c r="F15" i="6"/>
  <c r="G15" i="6"/>
  <c r="H15" i="6"/>
  <c r="A16" i="6"/>
  <c r="B16" i="6"/>
  <c r="D16" i="6"/>
  <c r="E16" i="6"/>
  <c r="F16" i="6"/>
  <c r="G16" i="6"/>
  <c r="H16" i="6"/>
  <c r="A17" i="6"/>
  <c r="B17" i="6"/>
  <c r="D17" i="6"/>
  <c r="E17" i="6"/>
  <c r="F17" i="6"/>
  <c r="G17" i="6"/>
  <c r="H17" i="6"/>
  <c r="A18" i="6"/>
  <c r="B18" i="6"/>
  <c r="D18" i="6"/>
  <c r="E18" i="6"/>
  <c r="F18" i="6"/>
  <c r="G18" i="6"/>
  <c r="H18" i="6"/>
  <c r="A19" i="6"/>
  <c r="B19" i="6"/>
  <c r="D19" i="6"/>
  <c r="E19" i="6"/>
  <c r="F19" i="6"/>
  <c r="G19" i="6"/>
  <c r="H19" i="6"/>
  <c r="A20" i="6"/>
  <c r="B20" i="6"/>
  <c r="D20" i="6"/>
  <c r="E20" i="6"/>
  <c r="F20" i="6"/>
  <c r="G20" i="6"/>
  <c r="H20" i="6"/>
  <c r="A21" i="6"/>
  <c r="B21" i="6"/>
  <c r="D21" i="6"/>
  <c r="E21" i="6"/>
  <c r="F21" i="6"/>
  <c r="G21" i="6"/>
  <c r="H21" i="6"/>
  <c r="A22" i="6"/>
  <c r="B22" i="6"/>
  <c r="D22" i="6"/>
  <c r="E22" i="6"/>
  <c r="F22" i="6"/>
  <c r="G22" i="6"/>
  <c r="H22" i="6"/>
  <c r="A23" i="6"/>
  <c r="B23" i="6"/>
  <c r="D23" i="6"/>
  <c r="E23" i="6"/>
  <c r="F23" i="6"/>
  <c r="G23" i="6"/>
  <c r="H23" i="6"/>
  <c r="A24" i="6"/>
  <c r="B24" i="6"/>
  <c r="D24" i="6"/>
  <c r="E24" i="6"/>
  <c r="F24" i="6"/>
  <c r="G24" i="6"/>
  <c r="H24" i="6"/>
  <c r="A25" i="6"/>
  <c r="B25" i="6"/>
  <c r="D25" i="6"/>
  <c r="E25" i="6"/>
  <c r="F25" i="6"/>
  <c r="G25" i="6"/>
  <c r="H25" i="6"/>
  <c r="A26" i="6"/>
  <c r="B26" i="6"/>
  <c r="D26" i="6"/>
  <c r="E26" i="6"/>
  <c r="F26" i="6"/>
  <c r="G26" i="6"/>
  <c r="H26" i="6"/>
  <c r="A27" i="6"/>
  <c r="B27" i="6"/>
  <c r="D27" i="6"/>
  <c r="E27" i="6"/>
  <c r="F27" i="6"/>
  <c r="G27" i="6"/>
  <c r="H27" i="6"/>
  <c r="A28" i="6"/>
  <c r="B28" i="6"/>
  <c r="D28" i="6"/>
  <c r="E28" i="6"/>
  <c r="F28" i="6"/>
  <c r="G28" i="6"/>
  <c r="H28" i="6"/>
  <c r="A29" i="6"/>
  <c r="B29" i="6"/>
  <c r="D29" i="6"/>
  <c r="E29" i="6"/>
  <c r="F29" i="6"/>
  <c r="G29" i="6"/>
  <c r="H29" i="6"/>
  <c r="A30" i="6"/>
  <c r="B30" i="6"/>
  <c r="D30" i="6"/>
  <c r="E30" i="6"/>
  <c r="F30" i="6"/>
  <c r="G30" i="6"/>
  <c r="H30" i="6"/>
  <c r="A31" i="6"/>
  <c r="B31" i="6"/>
  <c r="D31" i="6"/>
  <c r="E31" i="6"/>
  <c r="F31" i="6"/>
  <c r="G31" i="6"/>
  <c r="H31" i="6"/>
  <c r="A32" i="6"/>
  <c r="B32" i="6"/>
  <c r="D32" i="6"/>
  <c r="E32" i="6"/>
  <c r="F32" i="6"/>
  <c r="G32" i="6"/>
  <c r="H32" i="6"/>
  <c r="P32" i="6"/>
  <c r="A33" i="6"/>
  <c r="B33" i="6"/>
  <c r="D33" i="6"/>
  <c r="E33" i="6"/>
  <c r="F33" i="6"/>
  <c r="G33" i="6"/>
  <c r="H33" i="6"/>
  <c r="A34" i="6"/>
  <c r="B34" i="6"/>
  <c r="D34" i="6"/>
  <c r="E34" i="6"/>
  <c r="F34" i="6"/>
  <c r="G34" i="6"/>
  <c r="H34" i="6"/>
  <c r="A35" i="6"/>
  <c r="B35" i="6"/>
  <c r="D35" i="6"/>
  <c r="E35" i="6"/>
  <c r="F35" i="6"/>
  <c r="G35" i="6"/>
  <c r="H35" i="6"/>
  <c r="A36" i="6"/>
  <c r="B36" i="6"/>
  <c r="D36" i="6"/>
  <c r="E36" i="6"/>
  <c r="F36" i="6"/>
  <c r="G36" i="6"/>
  <c r="H36" i="6"/>
  <c r="A37" i="6"/>
  <c r="B37" i="6"/>
  <c r="D37" i="6"/>
  <c r="E37" i="6"/>
  <c r="F37" i="6"/>
  <c r="G37" i="6"/>
  <c r="H37" i="6"/>
  <c r="A38" i="6"/>
  <c r="B38" i="6"/>
  <c r="D38" i="6"/>
  <c r="E38" i="6"/>
  <c r="F38" i="6"/>
  <c r="G38" i="6"/>
  <c r="H38" i="6"/>
  <c r="A39" i="6"/>
  <c r="B39" i="6"/>
  <c r="D39" i="6"/>
  <c r="E39" i="6"/>
  <c r="F39" i="6"/>
  <c r="G39" i="6"/>
  <c r="H39" i="6"/>
  <c r="A40" i="6"/>
  <c r="B40" i="6"/>
  <c r="D40" i="6"/>
  <c r="E40" i="6"/>
  <c r="F40" i="6"/>
  <c r="G40" i="6"/>
  <c r="H40" i="6"/>
  <c r="A41" i="6"/>
  <c r="B41" i="6"/>
  <c r="D41" i="6"/>
  <c r="E41" i="6"/>
  <c r="F41" i="6"/>
  <c r="G41" i="6"/>
  <c r="H41" i="6"/>
  <c r="A42" i="6"/>
  <c r="B42" i="6"/>
  <c r="D42" i="6"/>
  <c r="E42" i="6"/>
  <c r="F42" i="6"/>
  <c r="G42" i="6"/>
  <c r="H42" i="6"/>
  <c r="A43" i="6"/>
  <c r="B43" i="6"/>
  <c r="D43" i="6"/>
  <c r="E43" i="6"/>
  <c r="F43" i="6"/>
  <c r="G43" i="6"/>
  <c r="H43" i="6"/>
  <c r="A44" i="6"/>
  <c r="B44" i="6"/>
  <c r="D44" i="6"/>
  <c r="E44" i="6"/>
  <c r="F44" i="6"/>
  <c r="G44" i="6"/>
  <c r="H44" i="6"/>
  <c r="A45" i="6"/>
  <c r="B45" i="6"/>
  <c r="D45" i="6"/>
  <c r="E45" i="6"/>
  <c r="F45" i="6"/>
  <c r="G45" i="6"/>
  <c r="H45" i="6"/>
  <c r="A46" i="6"/>
  <c r="B46" i="6"/>
  <c r="D46" i="6"/>
  <c r="E46" i="6"/>
  <c r="F46" i="6"/>
  <c r="G46" i="6"/>
  <c r="H46" i="6"/>
  <c r="A47" i="6"/>
  <c r="B47" i="6"/>
  <c r="D47" i="6"/>
  <c r="E47" i="6"/>
  <c r="F47" i="6"/>
  <c r="G47" i="6"/>
  <c r="H47" i="6"/>
  <c r="A48" i="6"/>
  <c r="B48" i="6"/>
  <c r="D48" i="6"/>
  <c r="E48" i="6"/>
  <c r="F48" i="6"/>
  <c r="G48" i="6"/>
  <c r="H48" i="6"/>
  <c r="A49" i="6"/>
  <c r="B49" i="6"/>
  <c r="D49" i="6"/>
  <c r="E49" i="6"/>
  <c r="F49" i="6"/>
  <c r="G49" i="6"/>
  <c r="H49" i="6"/>
  <c r="A50" i="6"/>
  <c r="B50" i="6"/>
  <c r="D50" i="6"/>
  <c r="E50" i="6"/>
  <c r="F50" i="6"/>
  <c r="G50" i="6"/>
  <c r="H50" i="6"/>
  <c r="A51" i="6"/>
  <c r="B51" i="6"/>
  <c r="D51" i="6"/>
  <c r="E51" i="6"/>
  <c r="F51" i="6"/>
  <c r="G51" i="6"/>
  <c r="H51" i="6"/>
  <c r="A52" i="6"/>
  <c r="B52" i="6"/>
  <c r="D52" i="6"/>
  <c r="E52" i="6"/>
  <c r="F52" i="6"/>
  <c r="G52" i="6"/>
  <c r="H52" i="6"/>
  <c r="A53" i="6"/>
  <c r="B53" i="6"/>
  <c r="D53" i="6"/>
  <c r="E53" i="6"/>
  <c r="F53" i="6"/>
  <c r="G53" i="6"/>
  <c r="H53" i="6"/>
  <c r="A54" i="6"/>
  <c r="B54" i="6"/>
  <c r="D54" i="6"/>
  <c r="E54" i="6"/>
  <c r="F54" i="6"/>
  <c r="G54" i="6"/>
  <c r="H54" i="6"/>
  <c r="A55" i="6"/>
  <c r="B55" i="6"/>
  <c r="D55" i="6"/>
  <c r="E55" i="6"/>
  <c r="F55" i="6"/>
  <c r="G55" i="6"/>
  <c r="H55" i="6"/>
  <c r="S1" i="5"/>
  <c r="U1" i="5"/>
  <c r="V1" i="5"/>
  <c r="W1" i="5"/>
  <c r="X1" i="5"/>
  <c r="Y1" i="5"/>
  <c r="Z1" i="5"/>
  <c r="K2" i="5"/>
  <c r="L2" i="5"/>
  <c r="M2" i="5"/>
  <c r="N2" i="5"/>
  <c r="O2" i="5"/>
  <c r="P2" i="5"/>
  <c r="S2" i="5"/>
  <c r="Z2" i="5"/>
  <c r="K3" i="5" a="1"/>
  <c r="K3" i="5" s="1"/>
  <c r="N3" i="5"/>
  <c r="O3" i="5"/>
  <c r="V4" i="5" s="1"/>
  <c r="P3" i="5"/>
  <c r="U9" i="5" s="1"/>
  <c r="S3" i="5"/>
  <c r="W3" i="5"/>
  <c r="L4" i="5"/>
  <c r="M4" i="5"/>
  <c r="N4" i="5"/>
  <c r="S4" i="5"/>
  <c r="U4" i="5"/>
  <c r="K5" i="5"/>
  <c r="L5" i="5"/>
  <c r="Q5" i="5"/>
  <c r="S5" i="5"/>
  <c r="Z5" i="5"/>
  <c r="O6" i="5"/>
  <c r="P6" i="5"/>
  <c r="Q6" i="5"/>
  <c r="S6" i="5"/>
  <c r="Z6" i="5"/>
  <c r="M7" i="5"/>
  <c r="N7" i="5"/>
  <c r="O7" i="5"/>
  <c r="P7" i="5"/>
  <c r="S7" i="5"/>
  <c r="W7" i="5"/>
  <c r="S8" i="5"/>
  <c r="S9" i="5"/>
  <c r="Z9" i="5"/>
  <c r="S10" i="5"/>
  <c r="U10" i="5"/>
  <c r="Z10" i="5"/>
  <c r="S11" i="5"/>
  <c r="U11" i="5"/>
  <c r="W11" i="5"/>
  <c r="S12" i="5"/>
  <c r="W12" i="5"/>
  <c r="Z12" i="5"/>
  <c r="S13" i="5"/>
  <c r="U13" i="5"/>
  <c r="V13" i="5"/>
  <c r="W13" i="5"/>
  <c r="S14" i="5"/>
  <c r="V14" i="5"/>
  <c r="Z14" i="5"/>
  <c r="S15" i="5"/>
  <c r="V15" i="5"/>
  <c r="W15" i="5"/>
  <c r="S16" i="5"/>
  <c r="V16" i="5"/>
  <c r="S17" i="5"/>
  <c r="Z17" i="5"/>
  <c r="S18" i="5"/>
  <c r="W18" i="5"/>
  <c r="Z18" i="5"/>
  <c r="S19" i="5"/>
  <c r="Z19" i="5"/>
  <c r="S20" i="5"/>
  <c r="Z20" i="5"/>
  <c r="S21" i="5"/>
  <c r="S22" i="5"/>
  <c r="Z22" i="5"/>
  <c r="S23" i="5"/>
  <c r="V23" i="5"/>
  <c r="W23" i="5"/>
  <c r="S24" i="5"/>
  <c r="U24" i="5"/>
  <c r="V24" i="5"/>
  <c r="S25" i="5"/>
  <c r="Z25" i="5"/>
  <c r="S26" i="5"/>
  <c r="V26" i="5"/>
  <c r="W26" i="5"/>
  <c r="Z26" i="5"/>
  <c r="S27" i="5"/>
  <c r="W27" i="5"/>
  <c r="Z27" i="5"/>
  <c r="S28" i="5"/>
  <c r="W28" i="5"/>
  <c r="Z28" i="5"/>
  <c r="S29" i="5"/>
  <c r="U29" i="5"/>
  <c r="V29" i="5"/>
  <c r="W29" i="5"/>
  <c r="Z29" i="5"/>
  <c r="S30" i="5"/>
  <c r="S31" i="5"/>
  <c r="Z31" i="5"/>
  <c r="S32" i="5"/>
  <c r="Z32" i="5"/>
  <c r="S33" i="5"/>
  <c r="Z33" i="5"/>
  <c r="S34" i="5"/>
  <c r="W34" i="5"/>
  <c r="Z34" i="5"/>
  <c r="S35" i="5"/>
  <c r="U35" i="5"/>
  <c r="S36" i="5"/>
  <c r="V36" i="5"/>
  <c r="Z36" i="5"/>
  <c r="S37" i="5"/>
  <c r="V37" i="5"/>
  <c r="W37" i="5"/>
  <c r="S38" i="5"/>
  <c r="V38" i="5"/>
  <c r="S39" i="5"/>
  <c r="Z39" i="5"/>
  <c r="S40" i="5"/>
  <c r="W40" i="5"/>
  <c r="Z40" i="5"/>
  <c r="S41" i="5"/>
  <c r="W41" i="5"/>
  <c r="Z41" i="5"/>
  <c r="S42" i="5"/>
  <c r="Z42" i="5"/>
  <c r="S43" i="5"/>
  <c r="W43" i="5"/>
  <c r="S44" i="5"/>
  <c r="Z44" i="5"/>
  <c r="S45" i="5"/>
  <c r="V45" i="5"/>
  <c r="W45" i="5"/>
  <c r="S46" i="5"/>
  <c r="U46" i="5"/>
  <c r="V46" i="5"/>
  <c r="S47" i="5"/>
  <c r="U47" i="5"/>
  <c r="Z47" i="5"/>
  <c r="S48" i="5"/>
  <c r="V48" i="5"/>
  <c r="W48" i="5"/>
  <c r="Z48" i="5"/>
  <c r="S49" i="5"/>
  <c r="W49" i="5"/>
  <c r="Z49" i="5"/>
  <c r="S50" i="5"/>
  <c r="W50" i="5"/>
  <c r="Z50" i="5"/>
  <c r="S51" i="5"/>
  <c r="V51" i="5"/>
  <c r="W51" i="5"/>
  <c r="S52" i="5"/>
  <c r="Z52" i="5"/>
  <c r="S53" i="5"/>
  <c r="W53" i="5"/>
  <c r="J15" i="4"/>
  <c r="K37" i="4"/>
  <c r="L37" i="4"/>
  <c r="M37" i="4"/>
  <c r="N37" i="4"/>
  <c r="O37" i="4"/>
  <c r="P37" i="4"/>
  <c r="Q37" i="4"/>
  <c r="L38" i="4"/>
  <c r="M38" i="4"/>
  <c r="N38" i="4"/>
  <c r="O38" i="4"/>
  <c r="P38" i="4"/>
  <c r="Q38" i="4"/>
  <c r="M39" i="4"/>
  <c r="N39" i="4"/>
  <c r="O39" i="4"/>
  <c r="P39" i="4"/>
  <c r="Q39" i="4"/>
  <c r="N40" i="4"/>
  <c r="O40" i="4"/>
  <c r="P40" i="4"/>
  <c r="Q40" i="4"/>
  <c r="O41" i="4"/>
  <c r="P41" i="4"/>
  <c r="Q41" i="4"/>
  <c r="P42" i="4"/>
  <c r="Q42" i="4"/>
  <c r="Q43" i="4"/>
  <c r="F9" i="3" a="1"/>
  <c r="F9" i="3" s="1"/>
  <c r="E36" i="2"/>
  <c r="E34" i="2"/>
  <c r="E33" i="2"/>
  <c r="E32" i="2"/>
  <c r="E31" i="2"/>
  <c r="E30" i="2"/>
  <c r="E29" i="2"/>
  <c r="E28" i="2"/>
  <c r="E27" i="2"/>
  <c r="E25" i="2"/>
  <c r="H24" i="2"/>
  <c r="H19" i="2"/>
  <c r="E35" i="2" s="1"/>
  <c r="H18" i="2"/>
  <c r="D17" i="2" s="1"/>
  <c r="N42" i="10" l="1" a="1"/>
  <c r="I16" i="9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N42" i="9" a="1"/>
  <c r="K5" i="6"/>
  <c r="Z3" i="6"/>
  <c r="O32" i="6" s="1"/>
  <c r="M5" i="6"/>
  <c r="X3" i="6"/>
  <c r="M32" i="6" s="1"/>
  <c r="V3" i="6"/>
  <c r="K32" i="6" s="1"/>
  <c r="O5" i="6"/>
  <c r="P5" i="6"/>
  <c r="C8" i="7"/>
  <c r="K6" i="6" a="1"/>
  <c r="Y3" i="6"/>
  <c r="N32" i="6" s="1"/>
  <c r="U49" i="5"/>
  <c r="U38" i="5"/>
  <c r="V35" i="5"/>
  <c r="U33" i="5"/>
  <c r="U32" i="5"/>
  <c r="V22" i="5"/>
  <c r="U21" i="5"/>
  <c r="V10" i="5"/>
  <c r="U12" i="5"/>
  <c r="U20" i="5"/>
  <c r="U28" i="5"/>
  <c r="U34" i="5"/>
  <c r="U42" i="5"/>
  <c r="U50" i="5"/>
  <c r="U45" i="5"/>
  <c r="U3" i="5"/>
  <c r="U7" i="5"/>
  <c r="U15" i="5"/>
  <c r="U23" i="5"/>
  <c r="U37" i="5"/>
  <c r="U53" i="5"/>
  <c r="U2" i="5"/>
  <c r="U14" i="5"/>
  <c r="U22" i="5"/>
  <c r="U36" i="5"/>
  <c r="U44" i="5"/>
  <c r="U52" i="5"/>
  <c r="U6" i="5"/>
  <c r="V2" i="5"/>
  <c r="V6" i="5"/>
  <c r="V9" i="5"/>
  <c r="V17" i="5"/>
  <c r="V25" i="5"/>
  <c r="V31" i="5"/>
  <c r="V39" i="5"/>
  <c r="V47" i="5"/>
  <c r="V3" i="5"/>
  <c r="V12" i="5"/>
  <c r="V20" i="5"/>
  <c r="V28" i="5"/>
  <c r="V34" i="5"/>
  <c r="V42" i="5"/>
  <c r="V50" i="5"/>
  <c r="V5" i="5"/>
  <c r="V11" i="5"/>
  <c r="V19" i="5"/>
  <c r="V27" i="5"/>
  <c r="V33" i="5"/>
  <c r="V41" i="5"/>
  <c r="V49" i="5"/>
  <c r="U26" i="5"/>
  <c r="V7" i="5"/>
  <c r="W2" i="5"/>
  <c r="W14" i="5"/>
  <c r="W22" i="5"/>
  <c r="W36" i="5"/>
  <c r="W44" i="5"/>
  <c r="W52" i="5"/>
  <c r="W39" i="5"/>
  <c r="W6" i="5"/>
  <c r="W9" i="5"/>
  <c r="W17" i="5"/>
  <c r="W25" i="5"/>
  <c r="W31" i="5"/>
  <c r="W47" i="5"/>
  <c r="W8" i="5"/>
  <c r="W16" i="5"/>
  <c r="W24" i="5"/>
  <c r="W30" i="5"/>
  <c r="W38" i="5"/>
  <c r="W46" i="5"/>
  <c r="W5" i="5"/>
  <c r="V40" i="5"/>
  <c r="V30" i="5"/>
  <c r="U27" i="5"/>
  <c r="U16" i="5"/>
  <c r="W42" i="5"/>
  <c r="U41" i="5"/>
  <c r="W32" i="5"/>
  <c r="W21" i="5"/>
  <c r="W19" i="5"/>
  <c r="V18" i="5"/>
  <c r="U17" i="5"/>
  <c r="V8" i="5"/>
  <c r="Z4" i="5"/>
  <c r="Z13" i="5"/>
  <c r="Z21" i="5"/>
  <c r="Z35" i="5"/>
  <c r="Z43" i="5"/>
  <c r="Z51" i="5"/>
  <c r="Z46" i="5"/>
  <c r="Z8" i="5"/>
  <c r="Z16" i="5"/>
  <c r="Z24" i="5"/>
  <c r="Z30" i="5"/>
  <c r="Z38" i="5"/>
  <c r="Z3" i="5"/>
  <c r="O29" i="5" s="1"/>
  <c r="Z7" i="5"/>
  <c r="Z15" i="5"/>
  <c r="Z23" i="5"/>
  <c r="Z37" i="5"/>
  <c r="Z45" i="5"/>
  <c r="Z53" i="5"/>
  <c r="U48" i="5"/>
  <c r="U25" i="5"/>
  <c r="V52" i="5"/>
  <c r="U51" i="5"/>
  <c r="U39" i="5"/>
  <c r="V43" i="5"/>
  <c r="U40" i="5"/>
  <c r="U30" i="5"/>
  <c r="V53" i="5"/>
  <c r="V44" i="5"/>
  <c r="U43" i="5"/>
  <c r="W35" i="5"/>
  <c r="W33" i="5"/>
  <c r="V32" i="5"/>
  <c r="U31" i="5"/>
  <c r="V21" i="5"/>
  <c r="W20" i="5"/>
  <c r="U19" i="5"/>
  <c r="U18" i="5"/>
  <c r="Z11" i="5"/>
  <c r="W10" i="5"/>
  <c r="U8" i="5"/>
  <c r="U5" i="5"/>
  <c r="W4" i="5"/>
  <c r="L6" i="5"/>
  <c r="N5" i="5"/>
  <c r="P4" i="5"/>
  <c r="Q7" i="5"/>
  <c r="K6" i="5"/>
  <c r="M5" i="5"/>
  <c r="O4" i="5"/>
  <c r="Q3" i="5"/>
  <c r="L7" i="5"/>
  <c r="N6" i="5"/>
  <c r="P5" i="5"/>
  <c r="L3" i="5"/>
  <c r="K4" i="5"/>
  <c r="M3" i="5"/>
  <c r="K7" i="5"/>
  <c r="M6" i="5"/>
  <c r="O5" i="5"/>
  <c r="Q4" i="5"/>
  <c r="M14" i="3"/>
  <c r="G11" i="3"/>
  <c r="F11" i="3"/>
  <c r="G13" i="3"/>
  <c r="F13" i="3"/>
  <c r="G10" i="3"/>
  <c r="F10" i="3"/>
  <c r="G12" i="3"/>
  <c r="G9" i="3"/>
  <c r="M16" i="3" s="1"/>
  <c r="F12" i="3"/>
  <c r="D19" i="2"/>
  <c r="E26" i="2"/>
  <c r="D18" i="2"/>
  <c r="D20" i="2"/>
  <c r="D21" i="2"/>
  <c r="H21" i="2"/>
  <c r="D13" i="2"/>
  <c r="D22" i="2"/>
  <c r="D14" i="2"/>
  <c r="D15" i="2"/>
  <c r="D23" i="2"/>
  <c r="D16" i="2"/>
  <c r="D24" i="2"/>
  <c r="R42" i="10" l="1"/>
  <c r="P44" i="10"/>
  <c r="S45" i="10"/>
  <c r="N46" i="10"/>
  <c r="S42" i="10"/>
  <c r="N43" i="10"/>
  <c r="N52" i="10" s="1"/>
  <c r="Q44" i="10"/>
  <c r="T45" i="10"/>
  <c r="O46" i="10"/>
  <c r="T42" i="10"/>
  <c r="O43" i="10"/>
  <c r="O52" i="10" s="1"/>
  <c r="R44" i="10"/>
  <c r="P46" i="10"/>
  <c r="Q42" i="10"/>
  <c r="T43" i="10"/>
  <c r="T52" i="10" s="1"/>
  <c r="O44" i="10"/>
  <c r="P42" i="10"/>
  <c r="P45" i="10"/>
  <c r="T46" i="10"/>
  <c r="P43" i="10"/>
  <c r="P52" i="10" s="1"/>
  <c r="Q45" i="10"/>
  <c r="Q43" i="10"/>
  <c r="Q52" i="10" s="1"/>
  <c r="R45" i="10"/>
  <c r="O42" i="10"/>
  <c r="O45" i="10"/>
  <c r="S46" i="10"/>
  <c r="S43" i="10"/>
  <c r="S52" i="10" s="1"/>
  <c r="Q46" i="10"/>
  <c r="T44" i="10"/>
  <c r="N44" i="10"/>
  <c r="S44" i="10"/>
  <c r="N42" i="10"/>
  <c r="N45" i="10"/>
  <c r="N56" i="10" s="1"/>
  <c r="N57" i="10" s="1"/>
  <c r="R46" i="10"/>
  <c r="R43" i="10"/>
  <c r="R52" i="10" s="1"/>
  <c r="R42" i="9"/>
  <c r="P44" i="9"/>
  <c r="S45" i="9"/>
  <c r="S42" i="9"/>
  <c r="N43" i="9"/>
  <c r="Q44" i="9"/>
  <c r="T45" i="9"/>
  <c r="O46" i="9"/>
  <c r="T42" i="9"/>
  <c r="O43" i="9"/>
  <c r="R44" i="9"/>
  <c r="Q42" i="9"/>
  <c r="T43" i="9"/>
  <c r="O44" i="9"/>
  <c r="R45" i="9"/>
  <c r="P42" i="9"/>
  <c r="Q45" i="9"/>
  <c r="T46" i="9"/>
  <c r="P46" i="9"/>
  <c r="P43" i="9"/>
  <c r="N46" i="9"/>
  <c r="N44" i="9"/>
  <c r="Q43" i="9"/>
  <c r="O42" i="9"/>
  <c r="P45" i="9"/>
  <c r="S46" i="9"/>
  <c r="R43" i="9"/>
  <c r="S43" i="9"/>
  <c r="S44" i="9"/>
  <c r="N45" i="9"/>
  <c r="O45" i="9"/>
  <c r="T44" i="9"/>
  <c r="Q46" i="9"/>
  <c r="R46" i="9"/>
  <c r="N42" i="9"/>
  <c r="D8" i="7"/>
  <c r="E8" i="7" s="1"/>
  <c r="C9" i="7"/>
  <c r="Q6" i="6"/>
  <c r="P7" i="6"/>
  <c r="O8" i="6"/>
  <c r="N9" i="6"/>
  <c r="M10" i="6"/>
  <c r="Q7" i="6"/>
  <c r="P8" i="6"/>
  <c r="O9" i="6"/>
  <c r="N10" i="6"/>
  <c r="K6" i="6"/>
  <c r="Q8" i="6"/>
  <c r="P9" i="6"/>
  <c r="O10" i="6"/>
  <c r="N6" i="6"/>
  <c r="P6" i="6"/>
  <c r="O7" i="6"/>
  <c r="N8" i="6"/>
  <c r="M9" i="6"/>
  <c r="L10" i="6"/>
  <c r="L6" i="6"/>
  <c r="M7" i="6"/>
  <c r="P10" i="6"/>
  <c r="K7" i="6"/>
  <c r="N7" i="6"/>
  <c r="L7" i="6"/>
  <c r="K8" i="6"/>
  <c r="K9" i="6"/>
  <c r="K10" i="6"/>
  <c r="L8" i="6"/>
  <c r="M6" i="6"/>
  <c r="Q9" i="6"/>
  <c r="Q10" i="6"/>
  <c r="O6" i="6"/>
  <c r="L9" i="6"/>
  <c r="M8" i="6"/>
  <c r="T51" i="5"/>
  <c r="AB51" i="5" s="1"/>
  <c r="AC51" i="5" s="1"/>
  <c r="T52" i="5"/>
  <c r="AB52" i="5" s="1"/>
  <c r="AC52" i="5" s="1"/>
  <c r="T12" i="5"/>
  <c r="AB12" i="5" s="1"/>
  <c r="AC12" i="5" s="1"/>
  <c r="AA10" i="5"/>
  <c r="AA18" i="5"/>
  <c r="AA26" i="5"/>
  <c r="AA29" i="5"/>
  <c r="AA32" i="5"/>
  <c r="AA40" i="5"/>
  <c r="AA48" i="5"/>
  <c r="T48" i="5" s="1"/>
  <c r="AB48" i="5" s="1"/>
  <c r="AC48" i="5" s="1"/>
  <c r="AA4" i="5"/>
  <c r="AA13" i="5"/>
  <c r="AA21" i="5"/>
  <c r="AA35" i="5"/>
  <c r="AA43" i="5"/>
  <c r="AA51" i="5"/>
  <c r="AA12" i="5"/>
  <c r="AA20" i="5"/>
  <c r="AA28" i="5"/>
  <c r="AA34" i="5"/>
  <c r="AA42" i="5"/>
  <c r="AA50" i="5"/>
  <c r="AA3" i="5"/>
  <c r="AA7" i="5"/>
  <c r="AA14" i="5"/>
  <c r="AA37" i="5"/>
  <c r="AA46" i="5"/>
  <c r="AA47" i="5"/>
  <c r="AA44" i="5"/>
  <c r="AA6" i="5"/>
  <c r="AA30" i="5"/>
  <c r="AA53" i="5"/>
  <c r="AA11" i="5"/>
  <c r="AA23" i="5"/>
  <c r="AA36" i="5"/>
  <c r="AA22" i="5"/>
  <c r="AA33" i="5"/>
  <c r="AA8" i="5"/>
  <c r="AA27" i="5"/>
  <c r="AA5" i="5"/>
  <c r="AA45" i="5"/>
  <c r="AA9" i="5"/>
  <c r="T9" i="5" s="1"/>
  <c r="AB9" i="5" s="1"/>
  <c r="AC9" i="5" s="1"/>
  <c r="AA19" i="5"/>
  <c r="T19" i="5" s="1"/>
  <c r="AB19" i="5" s="1"/>
  <c r="AC19" i="5" s="1"/>
  <c r="AA17" i="5"/>
  <c r="T17" i="5" s="1"/>
  <c r="AB17" i="5" s="1"/>
  <c r="AC17" i="5" s="1"/>
  <c r="AA2" i="5"/>
  <c r="AA15" i="5"/>
  <c r="AA24" i="5"/>
  <c r="AA25" i="5"/>
  <c r="AA31" i="5"/>
  <c r="AA41" i="5"/>
  <c r="AA16" i="5"/>
  <c r="AA39" i="5"/>
  <c r="AA52" i="5"/>
  <c r="AA49" i="5"/>
  <c r="AA38" i="5"/>
  <c r="T31" i="5"/>
  <c r="AB31" i="5" s="1"/>
  <c r="AC31" i="5" s="1"/>
  <c r="X5" i="5"/>
  <c r="X11" i="5"/>
  <c r="X19" i="5"/>
  <c r="X27" i="5"/>
  <c r="T27" i="5" s="1"/>
  <c r="AB27" i="5" s="1"/>
  <c r="AC27" i="5" s="1"/>
  <c r="X33" i="5"/>
  <c r="T33" i="5" s="1"/>
  <c r="AB33" i="5" s="1"/>
  <c r="AC33" i="5" s="1"/>
  <c r="X41" i="5"/>
  <c r="T41" i="5" s="1"/>
  <c r="AB41" i="5" s="1"/>
  <c r="AC41" i="5" s="1"/>
  <c r="X49" i="5"/>
  <c r="T49" i="5" s="1"/>
  <c r="AB49" i="5" s="1"/>
  <c r="AC49" i="5" s="1"/>
  <c r="X52" i="5"/>
  <c r="X2" i="5"/>
  <c r="X14" i="5"/>
  <c r="X22" i="5"/>
  <c r="X36" i="5"/>
  <c r="T36" i="5" s="1"/>
  <c r="AB36" i="5" s="1"/>
  <c r="AC36" i="5" s="1"/>
  <c r="X44" i="5"/>
  <c r="T44" i="5" s="1"/>
  <c r="AB44" i="5" s="1"/>
  <c r="AC44" i="5" s="1"/>
  <c r="X4" i="5"/>
  <c r="T4" i="5" s="1"/>
  <c r="AB4" i="5" s="1"/>
  <c r="AC4" i="5" s="1"/>
  <c r="X13" i="5"/>
  <c r="T13" i="5" s="1"/>
  <c r="AB13" i="5" s="1"/>
  <c r="AC13" i="5" s="1"/>
  <c r="X21" i="5"/>
  <c r="T21" i="5" s="1"/>
  <c r="AB21" i="5" s="1"/>
  <c r="AC21" i="5" s="1"/>
  <c r="X35" i="5"/>
  <c r="X43" i="5"/>
  <c r="X51" i="5"/>
  <c r="X9" i="5"/>
  <c r="X29" i="5"/>
  <c r="X34" i="5"/>
  <c r="T34" i="5" s="1"/>
  <c r="AB34" i="5" s="1"/>
  <c r="AC34" i="5" s="1"/>
  <c r="X45" i="5"/>
  <c r="T45" i="5" s="1"/>
  <c r="AB45" i="5" s="1"/>
  <c r="AC45" i="5" s="1"/>
  <c r="X31" i="5"/>
  <c r="X28" i="5"/>
  <c r="X7" i="5"/>
  <c r="X16" i="5"/>
  <c r="T16" i="5" s="1"/>
  <c r="AB16" i="5" s="1"/>
  <c r="AC16" i="5" s="1"/>
  <c r="X25" i="5"/>
  <c r="T25" i="5" s="1"/>
  <c r="AB25" i="5" s="1"/>
  <c r="AC25" i="5" s="1"/>
  <c r="X40" i="5"/>
  <c r="T40" i="5" s="1"/>
  <c r="AB40" i="5" s="1"/>
  <c r="AC40" i="5" s="1"/>
  <c r="X50" i="5"/>
  <c r="T50" i="5" s="1"/>
  <c r="AB50" i="5" s="1"/>
  <c r="AC50" i="5" s="1"/>
  <c r="X15" i="5"/>
  <c r="T15" i="5" s="1"/>
  <c r="AB15" i="5" s="1"/>
  <c r="AC15" i="5" s="1"/>
  <c r="X26" i="5"/>
  <c r="X6" i="5"/>
  <c r="T6" i="5" s="1"/>
  <c r="AB6" i="5" s="1"/>
  <c r="AC6" i="5" s="1"/>
  <c r="X10" i="5"/>
  <c r="T10" i="5" s="1"/>
  <c r="AB10" i="5" s="1"/>
  <c r="AC10" i="5" s="1"/>
  <c r="X20" i="5"/>
  <c r="X53" i="5"/>
  <c r="X18" i="5"/>
  <c r="T18" i="5" s="1"/>
  <c r="AB18" i="5" s="1"/>
  <c r="AC18" i="5" s="1"/>
  <c r="X30" i="5"/>
  <c r="T30" i="5" s="1"/>
  <c r="AB30" i="5" s="1"/>
  <c r="AC30" i="5" s="1"/>
  <c r="X39" i="5"/>
  <c r="T39" i="5" s="1"/>
  <c r="AB39" i="5" s="1"/>
  <c r="AC39" i="5" s="1"/>
  <c r="X8" i="5"/>
  <c r="X17" i="5"/>
  <c r="X32" i="5"/>
  <c r="X42" i="5"/>
  <c r="X3" i="5"/>
  <c r="X12" i="5"/>
  <c r="X23" i="5"/>
  <c r="T23" i="5" s="1"/>
  <c r="AB23" i="5" s="1"/>
  <c r="AC23" i="5" s="1"/>
  <c r="X46" i="5"/>
  <c r="T46" i="5" s="1"/>
  <c r="AB46" i="5" s="1"/>
  <c r="AC46" i="5" s="1"/>
  <c r="X38" i="5"/>
  <c r="X48" i="5"/>
  <c r="X24" i="5"/>
  <c r="T24" i="5" s="1"/>
  <c r="AB24" i="5" s="1"/>
  <c r="AC24" i="5" s="1"/>
  <c r="X47" i="5"/>
  <c r="X37" i="5"/>
  <c r="T37" i="5" s="1"/>
  <c r="AB37" i="5" s="1"/>
  <c r="AC37" i="5" s="1"/>
  <c r="J29" i="5"/>
  <c r="T2" i="5"/>
  <c r="AB2" i="5" s="1"/>
  <c r="AC2" i="5" s="1"/>
  <c r="L29" i="5"/>
  <c r="K29" i="5"/>
  <c r="T53" i="5"/>
  <c r="AB53" i="5" s="1"/>
  <c r="AC53" i="5" s="1"/>
  <c r="T42" i="5"/>
  <c r="AB42" i="5" s="1"/>
  <c r="AC42" i="5" s="1"/>
  <c r="T43" i="5"/>
  <c r="AB43" i="5" s="1"/>
  <c r="AC43" i="5" s="1"/>
  <c r="T20" i="5"/>
  <c r="AB20" i="5" s="1"/>
  <c r="AC20" i="5" s="1"/>
  <c r="T38" i="5"/>
  <c r="AB38" i="5" s="1"/>
  <c r="AC38" i="5" s="1"/>
  <c r="T3" i="5"/>
  <c r="AB3" i="5" s="1"/>
  <c r="AC3" i="5" s="1"/>
  <c r="Y8" i="5"/>
  <c r="T8" i="5" s="1"/>
  <c r="AB8" i="5" s="1"/>
  <c r="AC8" i="5" s="1"/>
  <c r="Y16" i="5"/>
  <c r="Y24" i="5"/>
  <c r="Y30" i="5"/>
  <c r="Y38" i="5"/>
  <c r="Y46" i="5"/>
  <c r="Y41" i="5"/>
  <c r="Y49" i="5"/>
  <c r="Y2" i="5"/>
  <c r="Y5" i="5"/>
  <c r="T5" i="5" s="1"/>
  <c r="AB5" i="5" s="1"/>
  <c r="AC5" i="5" s="1"/>
  <c r="Y11" i="5"/>
  <c r="Y19" i="5"/>
  <c r="Y27" i="5"/>
  <c r="Y33" i="5"/>
  <c r="Y10" i="5"/>
  <c r="Y18" i="5"/>
  <c r="Y26" i="5"/>
  <c r="T26" i="5" s="1"/>
  <c r="AB26" i="5" s="1"/>
  <c r="AC26" i="5" s="1"/>
  <c r="Y29" i="5"/>
  <c r="Y32" i="5"/>
  <c r="T32" i="5" s="1"/>
  <c r="AB32" i="5" s="1"/>
  <c r="AC32" i="5" s="1"/>
  <c r="Y40" i="5"/>
  <c r="Y48" i="5"/>
  <c r="Y4" i="5"/>
  <c r="Y3" i="5"/>
  <c r="Y12" i="5"/>
  <c r="Y13" i="5"/>
  <c r="Y22" i="5"/>
  <c r="T22" i="5" s="1"/>
  <c r="AB22" i="5" s="1"/>
  <c r="AC22" i="5" s="1"/>
  <c r="Y23" i="5"/>
  <c r="Y34" i="5"/>
  <c r="Y17" i="5"/>
  <c r="Y52" i="5"/>
  <c r="Y7" i="5"/>
  <c r="Y9" i="5"/>
  <c r="Y35" i="5"/>
  <c r="T35" i="5" s="1"/>
  <c r="AB35" i="5" s="1"/>
  <c r="AC35" i="5" s="1"/>
  <c r="Y44" i="5"/>
  <c r="Y45" i="5"/>
  <c r="Y20" i="5"/>
  <c r="Y21" i="5"/>
  <c r="Y31" i="5"/>
  <c r="Y39" i="5"/>
  <c r="Y6" i="5"/>
  <c r="Y42" i="5"/>
  <c r="Y28" i="5"/>
  <c r="T28" i="5" s="1"/>
  <c r="AB28" i="5" s="1"/>
  <c r="AC28" i="5" s="1"/>
  <c r="Y25" i="5"/>
  <c r="Y36" i="5"/>
  <c r="Y37" i="5"/>
  <c r="Y43" i="5"/>
  <c r="Y53" i="5"/>
  <c r="Y50" i="5"/>
  <c r="Y15" i="5"/>
  <c r="Y47" i="5"/>
  <c r="T47" i="5" s="1"/>
  <c r="AB47" i="5" s="1"/>
  <c r="AC47" i="5" s="1"/>
  <c r="Y14" i="5"/>
  <c r="Y51" i="5"/>
  <c r="T7" i="5"/>
  <c r="AB7" i="5" s="1"/>
  <c r="AC7" i="5" s="1"/>
  <c r="T14" i="5"/>
  <c r="AB14" i="5" s="1"/>
  <c r="AC14" i="5" s="1"/>
  <c r="M10" i="3"/>
  <c r="M15" i="3"/>
  <c r="M11" i="3"/>
  <c r="M13" i="3"/>
  <c r="M12" i="3"/>
  <c r="H22" i="2"/>
  <c r="H25" i="2"/>
  <c r="AA4" i="10" l="1"/>
  <c r="AA8" i="10"/>
  <c r="AA12" i="10"/>
  <c r="AA16" i="10"/>
  <c r="AA20" i="10"/>
  <c r="AA28" i="10"/>
  <c r="AA34" i="10"/>
  <c r="AA38" i="10"/>
  <c r="AA41" i="10"/>
  <c r="AA44" i="10"/>
  <c r="AA23" i="10"/>
  <c r="AA29" i="10"/>
  <c r="AA7" i="10"/>
  <c r="AA11" i="10"/>
  <c r="AA15" i="10"/>
  <c r="AA19" i="10"/>
  <c r="AA30" i="10"/>
  <c r="AA33" i="10"/>
  <c r="AA37" i="10"/>
  <c r="AA46" i="10"/>
  <c r="AA27" i="10"/>
  <c r="AA9" i="10"/>
  <c r="AA17" i="10"/>
  <c r="AA24" i="10"/>
  <c r="AA26" i="10"/>
  <c r="AA35" i="10"/>
  <c r="Q48" i="10"/>
  <c r="Q49" i="10" s="1"/>
  <c r="Q50" i="10" s="1"/>
  <c r="AA63" i="10"/>
  <c r="AA64" i="10"/>
  <c r="AA65" i="10"/>
  <c r="AA66" i="10"/>
  <c r="AA67" i="10"/>
  <c r="AA68" i="10"/>
  <c r="AA69" i="10"/>
  <c r="AA31" i="10"/>
  <c r="AA50" i="10"/>
  <c r="AA53" i="10"/>
  <c r="AA58" i="10"/>
  <c r="AA59" i="10"/>
  <c r="AA60" i="10"/>
  <c r="AA61" i="10"/>
  <c r="AA62" i="10"/>
  <c r="AA6" i="10"/>
  <c r="AA14" i="10"/>
  <c r="AA22" i="10"/>
  <c r="AA32" i="10"/>
  <c r="AA40" i="10"/>
  <c r="Q53" i="10"/>
  <c r="AA48" i="10"/>
  <c r="AA51" i="10"/>
  <c r="Q54" i="10"/>
  <c r="AA47" i="10"/>
  <c r="AA52" i="10"/>
  <c r="AA43" i="10"/>
  <c r="AA18" i="10"/>
  <c r="AA5" i="10"/>
  <c r="AA54" i="10"/>
  <c r="AA25" i="10"/>
  <c r="AA21" i="10"/>
  <c r="AA36" i="10"/>
  <c r="AA39" i="10"/>
  <c r="AA42" i="10"/>
  <c r="AA49" i="10"/>
  <c r="AA55" i="10"/>
  <c r="AA13" i="10"/>
  <c r="AA45" i="10"/>
  <c r="AA10" i="10"/>
  <c r="X31" i="10"/>
  <c r="X43" i="10"/>
  <c r="X6" i="10"/>
  <c r="X10" i="10"/>
  <c r="X14" i="10"/>
  <c r="X18" i="10"/>
  <c r="X22" i="10"/>
  <c r="X25" i="10"/>
  <c r="X32" i="10"/>
  <c r="X36" i="10"/>
  <c r="AE36" i="10" s="1"/>
  <c r="AF36" i="10" s="1"/>
  <c r="X40" i="10"/>
  <c r="X45" i="10"/>
  <c r="X7" i="10"/>
  <c r="X11" i="10"/>
  <c r="X15" i="10"/>
  <c r="X19" i="10"/>
  <c r="X30" i="10"/>
  <c r="X33" i="10"/>
  <c r="X37" i="10"/>
  <c r="X29" i="10"/>
  <c r="X5" i="10"/>
  <c r="X13" i="10"/>
  <c r="X21" i="10"/>
  <c r="X39" i="10"/>
  <c r="X42" i="10"/>
  <c r="X46" i="10"/>
  <c r="X47" i="10"/>
  <c r="X49" i="10"/>
  <c r="X52" i="10"/>
  <c r="X55" i="10"/>
  <c r="X4" i="10"/>
  <c r="X12" i="10"/>
  <c r="X8" i="10"/>
  <c r="X16" i="10"/>
  <c r="X28" i="10"/>
  <c r="X34" i="10"/>
  <c r="X41" i="10"/>
  <c r="X44" i="10"/>
  <c r="N53" i="10"/>
  <c r="X20" i="10"/>
  <c r="X38" i="10"/>
  <c r="X48" i="10"/>
  <c r="N54" i="10"/>
  <c r="X60" i="10"/>
  <c r="X63" i="10"/>
  <c r="X67" i="10"/>
  <c r="X26" i="10"/>
  <c r="X54" i="10"/>
  <c r="X35" i="10"/>
  <c r="X23" i="10"/>
  <c r="X61" i="10"/>
  <c r="X51" i="10"/>
  <c r="X59" i="10"/>
  <c r="X9" i="10"/>
  <c r="X53" i="10"/>
  <c r="X58" i="10"/>
  <c r="X64" i="10"/>
  <c r="X68" i="10"/>
  <c r="X65" i="10"/>
  <c r="X69" i="10"/>
  <c r="X66" i="10"/>
  <c r="X17" i="10"/>
  <c r="X27" i="10"/>
  <c r="X24" i="10"/>
  <c r="N48" i="10"/>
  <c r="N49" i="10" s="1"/>
  <c r="N50" i="10" s="1"/>
  <c r="X50" i="10"/>
  <c r="X62" i="10"/>
  <c r="Y7" i="10"/>
  <c r="Y11" i="10"/>
  <c r="Y15" i="10"/>
  <c r="Y19" i="10"/>
  <c r="Y30" i="10"/>
  <c r="Y33" i="10"/>
  <c r="Y37" i="10"/>
  <c r="Y46" i="10"/>
  <c r="Y31" i="10"/>
  <c r="Y43" i="10"/>
  <c r="Y6" i="10"/>
  <c r="Y10" i="10"/>
  <c r="Y14" i="10"/>
  <c r="Y18" i="10"/>
  <c r="Y22" i="10"/>
  <c r="Y25" i="10"/>
  <c r="Y32" i="10"/>
  <c r="Y36" i="10"/>
  <c r="Y40" i="10"/>
  <c r="Y23" i="10"/>
  <c r="Y29" i="10"/>
  <c r="Y8" i="10"/>
  <c r="Y16" i="10"/>
  <c r="Y28" i="10"/>
  <c r="Y34" i="10"/>
  <c r="Y41" i="10"/>
  <c r="Y44" i="10"/>
  <c r="O53" i="10"/>
  <c r="Y5" i="10"/>
  <c r="Y13" i="10"/>
  <c r="Y21" i="10"/>
  <c r="Y39" i="10"/>
  <c r="Y42" i="10"/>
  <c r="Y47" i="10"/>
  <c r="Y49" i="10"/>
  <c r="Y52" i="10"/>
  <c r="Y55" i="10"/>
  <c r="Y27" i="10"/>
  <c r="Y50" i="10"/>
  <c r="Y53" i="10"/>
  <c r="Y58" i="10"/>
  <c r="Y59" i="10"/>
  <c r="Y60" i="10"/>
  <c r="Y61" i="10"/>
  <c r="Y62" i="10"/>
  <c r="Y17" i="10"/>
  <c r="Y48" i="10"/>
  <c r="O54" i="10"/>
  <c r="Y63" i="10"/>
  <c r="Y67" i="10"/>
  <c r="Y9" i="10"/>
  <c r="Y45" i="10"/>
  <c r="Y64" i="10"/>
  <c r="Y68" i="10"/>
  <c r="Y54" i="10"/>
  <c r="Y69" i="10"/>
  <c r="Y24" i="10"/>
  <c r="Y38" i="10"/>
  <c r="Y51" i="10"/>
  <c r="Y12" i="10"/>
  <c r="Y4" i="10"/>
  <c r="Y26" i="10"/>
  <c r="Y20" i="10"/>
  <c r="Y35" i="10"/>
  <c r="Y66" i="10"/>
  <c r="Y65" i="10"/>
  <c r="O48" i="10"/>
  <c r="O49" i="10" s="1"/>
  <c r="O50" i="10" s="1"/>
  <c r="AC5" i="10"/>
  <c r="AC9" i="10"/>
  <c r="AC13" i="10"/>
  <c r="AC17" i="10"/>
  <c r="AC21" i="10"/>
  <c r="AC24" i="10"/>
  <c r="AC26" i="10"/>
  <c r="AC35" i="10"/>
  <c r="AC39" i="10"/>
  <c r="AC42" i="10"/>
  <c r="AC27" i="10"/>
  <c r="AC4" i="10"/>
  <c r="AC8" i="10"/>
  <c r="AC12" i="10"/>
  <c r="AC16" i="10"/>
  <c r="AC20" i="10"/>
  <c r="AC28" i="10"/>
  <c r="AC34" i="10"/>
  <c r="AC38" i="10"/>
  <c r="AC41" i="10"/>
  <c r="AC44" i="10"/>
  <c r="AC47" i="10"/>
  <c r="AC10" i="10"/>
  <c r="AC18" i="10"/>
  <c r="AC25" i="10"/>
  <c r="AC36" i="10"/>
  <c r="AC54" i="10"/>
  <c r="AC29" i="10"/>
  <c r="AC48" i="10"/>
  <c r="AC51" i="10"/>
  <c r="S54" i="10"/>
  <c r="AC69" i="10"/>
  <c r="AC31" i="10"/>
  <c r="AC7" i="10"/>
  <c r="AC15" i="10"/>
  <c r="AC30" i="10"/>
  <c r="AC33" i="10"/>
  <c r="S48" i="10"/>
  <c r="S49" i="10" s="1"/>
  <c r="S50" i="10" s="1"/>
  <c r="AC63" i="10"/>
  <c r="AC64" i="10"/>
  <c r="AC65" i="10"/>
  <c r="AC66" i="10"/>
  <c r="AC67" i="10"/>
  <c r="AC68" i="10"/>
  <c r="AC43" i="10"/>
  <c r="AC45" i="10"/>
  <c r="AC14" i="10"/>
  <c r="S53" i="10"/>
  <c r="AC60" i="10"/>
  <c r="AC46" i="10"/>
  <c r="AC19" i="10"/>
  <c r="AC49" i="10"/>
  <c r="AC59" i="10"/>
  <c r="AC11" i="10"/>
  <c r="AC58" i="10"/>
  <c r="AC22" i="10"/>
  <c r="AC6" i="10"/>
  <c r="AC23" i="10"/>
  <c r="AC52" i="10"/>
  <c r="AC53" i="10"/>
  <c r="AC61" i="10"/>
  <c r="AC40" i="10"/>
  <c r="AC32" i="10"/>
  <c r="AC50" i="10"/>
  <c r="AC62" i="10"/>
  <c r="AC37" i="10"/>
  <c r="AC55" i="10"/>
  <c r="AD45" i="10"/>
  <c r="AD5" i="10"/>
  <c r="AD9" i="10"/>
  <c r="AD13" i="10"/>
  <c r="AD17" i="10"/>
  <c r="AD21" i="10"/>
  <c r="AD24" i="10"/>
  <c r="AD26" i="10"/>
  <c r="AD35" i="10"/>
  <c r="AD39" i="10"/>
  <c r="AD42" i="10"/>
  <c r="AD27" i="10"/>
  <c r="AD6" i="10"/>
  <c r="AD10" i="10"/>
  <c r="AD14" i="10"/>
  <c r="AD18" i="10"/>
  <c r="AD22" i="10"/>
  <c r="AD25" i="10"/>
  <c r="AD32" i="10"/>
  <c r="AD36" i="10"/>
  <c r="AD40" i="10"/>
  <c r="AD43" i="10"/>
  <c r="AD8" i="10"/>
  <c r="AD16" i="10"/>
  <c r="AD28" i="10"/>
  <c r="AD34" i="10"/>
  <c r="AD41" i="10"/>
  <c r="AD44" i="10"/>
  <c r="AD54" i="10"/>
  <c r="AD7" i="10"/>
  <c r="AD15" i="10"/>
  <c r="AD29" i="10"/>
  <c r="AD48" i="10"/>
  <c r="AD51" i="10"/>
  <c r="T54" i="10"/>
  <c r="AD30" i="10"/>
  <c r="AD33" i="10"/>
  <c r="AD11" i="10"/>
  <c r="AD19" i="10"/>
  <c r="AD37" i="10"/>
  <c r="AD49" i="10"/>
  <c r="AD52" i="10"/>
  <c r="AD55" i="10"/>
  <c r="AD20" i="10"/>
  <c r="AD50" i="10"/>
  <c r="AD62" i="10"/>
  <c r="AD66" i="10"/>
  <c r="AD47" i="10"/>
  <c r="T53" i="10"/>
  <c r="AD12" i="10"/>
  <c r="AD23" i="10"/>
  <c r="AD58" i="10"/>
  <c r="AD64" i="10"/>
  <c r="AD68" i="10"/>
  <c r="AD31" i="10"/>
  <c r="AD53" i="10"/>
  <c r="AD61" i="10"/>
  <c r="AD60" i="10"/>
  <c r="AD63" i="10"/>
  <c r="AD67" i="10"/>
  <c r="AD4" i="10"/>
  <c r="AD46" i="10"/>
  <c r="AD69" i="10"/>
  <c r="AD38" i="10"/>
  <c r="T48" i="10"/>
  <c r="T49" i="10" s="1"/>
  <c r="T50" i="10" s="1"/>
  <c r="AD59" i="10"/>
  <c r="AD65" i="10"/>
  <c r="Z23" i="10"/>
  <c r="Z29" i="10"/>
  <c r="Z7" i="10"/>
  <c r="Z11" i="10"/>
  <c r="Z15" i="10"/>
  <c r="Z19" i="10"/>
  <c r="Z30" i="10"/>
  <c r="Z33" i="10"/>
  <c r="Z37" i="10"/>
  <c r="Z46" i="10"/>
  <c r="Z31" i="10"/>
  <c r="Z43" i="10"/>
  <c r="Z4" i="10"/>
  <c r="Z8" i="10"/>
  <c r="Z12" i="10"/>
  <c r="Z16" i="10"/>
  <c r="Z20" i="10"/>
  <c r="Z28" i="10"/>
  <c r="Z34" i="10"/>
  <c r="Z38" i="10"/>
  <c r="Z41" i="10"/>
  <c r="Z44" i="10"/>
  <c r="Z27" i="10"/>
  <c r="Z50" i="10"/>
  <c r="Z53" i="10"/>
  <c r="Z58" i="10"/>
  <c r="Z59" i="10"/>
  <c r="Z60" i="10"/>
  <c r="Z61" i="10"/>
  <c r="Z62" i="10"/>
  <c r="Z6" i="10"/>
  <c r="Z14" i="10"/>
  <c r="Z22" i="10"/>
  <c r="Z32" i="10"/>
  <c r="Z40" i="10"/>
  <c r="P53" i="10"/>
  <c r="Z13" i="10"/>
  <c r="Z21" i="10"/>
  <c r="Z5" i="10"/>
  <c r="Z9" i="10"/>
  <c r="Z17" i="10"/>
  <c r="Z24" i="10"/>
  <c r="Z26" i="10"/>
  <c r="Z35" i="10"/>
  <c r="P48" i="10"/>
  <c r="P49" i="10" s="1"/>
  <c r="P50" i="10" s="1"/>
  <c r="Z63" i="10"/>
  <c r="Z64" i="10"/>
  <c r="Z65" i="10"/>
  <c r="Z66" i="10"/>
  <c r="Z67" i="10"/>
  <c r="Z68" i="10"/>
  <c r="Z69" i="10"/>
  <c r="Z25" i="10"/>
  <c r="Z42" i="10"/>
  <c r="Z55" i="10"/>
  <c r="Z45" i="10"/>
  <c r="Z36" i="10"/>
  <c r="Z39" i="10"/>
  <c r="Z18" i="10"/>
  <c r="Z48" i="10"/>
  <c r="P54" i="10"/>
  <c r="Z49" i="10"/>
  <c r="Z51" i="10"/>
  <c r="Z47" i="10"/>
  <c r="Z52" i="10"/>
  <c r="Z10" i="10"/>
  <c r="Z54" i="10"/>
  <c r="AB27" i="10"/>
  <c r="AB4" i="10"/>
  <c r="AB8" i="10"/>
  <c r="AB12" i="10"/>
  <c r="AB16" i="10"/>
  <c r="AB20" i="10"/>
  <c r="AB28" i="10"/>
  <c r="AB34" i="10"/>
  <c r="AB38" i="10"/>
  <c r="AB41" i="10"/>
  <c r="AB44" i="10"/>
  <c r="AB47" i="10"/>
  <c r="AB23" i="10"/>
  <c r="AB29" i="10"/>
  <c r="AB5" i="10"/>
  <c r="AB9" i="10"/>
  <c r="AB13" i="10"/>
  <c r="AB17" i="10"/>
  <c r="AB21" i="10"/>
  <c r="AB24" i="10"/>
  <c r="AB26" i="10"/>
  <c r="AB35" i="10"/>
  <c r="AB39" i="10"/>
  <c r="AB42" i="10"/>
  <c r="AB48" i="10"/>
  <c r="AB51" i="10"/>
  <c r="R54" i="10"/>
  <c r="AB7" i="10"/>
  <c r="AB15" i="10"/>
  <c r="AB30" i="10"/>
  <c r="AB33" i="10"/>
  <c r="R48" i="10"/>
  <c r="R49" i="10" s="1"/>
  <c r="R50" i="10" s="1"/>
  <c r="AB63" i="10"/>
  <c r="AB64" i="10"/>
  <c r="AB65" i="10"/>
  <c r="AB66" i="10"/>
  <c r="AB67" i="10"/>
  <c r="AB68" i="10"/>
  <c r="AB69" i="10"/>
  <c r="AB14" i="10"/>
  <c r="AB31" i="10"/>
  <c r="AB46" i="10"/>
  <c r="AB50" i="10"/>
  <c r="AB53" i="10"/>
  <c r="AB58" i="10"/>
  <c r="AB59" i="10"/>
  <c r="AB60" i="10"/>
  <c r="AB61" i="10"/>
  <c r="AB62" i="10"/>
  <c r="AB22" i="10"/>
  <c r="AB10" i="10"/>
  <c r="AB18" i="10"/>
  <c r="AB25" i="10"/>
  <c r="AB36" i="10"/>
  <c r="AB54" i="10"/>
  <c r="AB6" i="10"/>
  <c r="AB32" i="10"/>
  <c r="AB11" i="10"/>
  <c r="AB52" i="10"/>
  <c r="AB40" i="10"/>
  <c r="AB55" i="10"/>
  <c r="AB43" i="10"/>
  <c r="AB37" i="10"/>
  <c r="AB45" i="10"/>
  <c r="R53" i="10"/>
  <c r="AB19" i="10"/>
  <c r="AB49" i="10"/>
  <c r="Y7" i="9"/>
  <c r="Y11" i="9"/>
  <c r="Y15" i="9"/>
  <c r="Y19" i="9"/>
  <c r="Y30" i="9"/>
  <c r="Y33" i="9"/>
  <c r="Y37" i="9"/>
  <c r="Y31" i="9"/>
  <c r="Y43" i="9"/>
  <c r="Y6" i="9"/>
  <c r="Y10" i="9"/>
  <c r="Y14" i="9"/>
  <c r="Y18" i="9"/>
  <c r="Y22" i="9"/>
  <c r="Y25" i="9"/>
  <c r="Y32" i="9"/>
  <c r="Y36" i="9"/>
  <c r="Y40" i="9"/>
  <c r="Y23" i="9"/>
  <c r="Y29" i="9"/>
  <c r="Y8" i="9"/>
  <c r="Y16" i="9"/>
  <c r="Y28" i="9"/>
  <c r="Y34" i="9"/>
  <c r="Y41" i="9"/>
  <c r="Y44" i="9"/>
  <c r="Y45" i="9"/>
  <c r="Y49" i="9"/>
  <c r="Y53" i="9"/>
  <c r="Y42" i="9"/>
  <c r="Y12" i="9"/>
  <c r="Y38" i="9"/>
  <c r="Y5" i="9"/>
  <c r="Y13" i="9"/>
  <c r="Y21" i="9"/>
  <c r="Y39" i="9"/>
  <c r="Y46" i="9"/>
  <c r="Y20" i="9"/>
  <c r="Y27" i="9"/>
  <c r="Y50" i="9"/>
  <c r="Y54" i="9"/>
  <c r="Y48" i="9"/>
  <c r="Y52" i="9"/>
  <c r="Y4" i="9"/>
  <c r="Y51" i="9"/>
  <c r="Y35" i="9"/>
  <c r="Y55" i="9"/>
  <c r="Y24" i="9"/>
  <c r="Y17" i="9"/>
  <c r="Y26" i="9"/>
  <c r="Y47" i="9"/>
  <c r="Y9" i="9"/>
  <c r="Z23" i="9"/>
  <c r="Z29" i="9"/>
  <c r="Z7" i="9"/>
  <c r="Z11" i="9"/>
  <c r="Z15" i="9"/>
  <c r="Z19" i="9"/>
  <c r="Z30" i="9"/>
  <c r="Z33" i="9"/>
  <c r="Z37" i="9"/>
  <c r="Z46" i="9"/>
  <c r="Z31" i="9"/>
  <c r="Z43" i="9"/>
  <c r="Z4" i="9"/>
  <c r="Z8" i="9"/>
  <c r="Z12" i="9"/>
  <c r="Z16" i="9"/>
  <c r="Z20" i="9"/>
  <c r="Z28" i="9"/>
  <c r="Z34" i="9"/>
  <c r="Z38" i="9"/>
  <c r="Z41" i="9"/>
  <c r="Z44" i="9"/>
  <c r="Z27" i="9"/>
  <c r="Z50" i="9"/>
  <c r="Z54" i="9"/>
  <c r="Z6" i="9"/>
  <c r="Z14" i="9"/>
  <c r="Z22" i="9"/>
  <c r="Z32" i="9"/>
  <c r="Z40" i="9"/>
  <c r="Z45" i="9"/>
  <c r="Z53" i="9"/>
  <c r="Z13" i="9"/>
  <c r="Z39" i="9"/>
  <c r="Z49" i="9"/>
  <c r="Z5" i="9"/>
  <c r="Z21" i="9"/>
  <c r="Z42" i="9"/>
  <c r="Z48" i="9"/>
  <c r="Z52" i="9"/>
  <c r="Z9" i="9"/>
  <c r="Z17" i="9"/>
  <c r="Z24" i="9"/>
  <c r="Z26" i="9"/>
  <c r="Z35" i="9"/>
  <c r="Z47" i="9"/>
  <c r="Z55" i="9"/>
  <c r="Z51" i="9"/>
  <c r="Z18" i="9"/>
  <c r="Z36" i="9"/>
  <c r="Z10" i="9"/>
  <c r="Z25" i="9"/>
  <c r="AA4" i="9"/>
  <c r="AA8" i="9"/>
  <c r="AA12" i="9"/>
  <c r="AA16" i="9"/>
  <c r="AA20" i="9"/>
  <c r="AA28" i="9"/>
  <c r="AA34" i="9"/>
  <c r="AA38" i="9"/>
  <c r="AA41" i="9"/>
  <c r="AA44" i="9"/>
  <c r="AA23" i="9"/>
  <c r="AA29" i="9"/>
  <c r="AA7" i="9"/>
  <c r="AA11" i="9"/>
  <c r="AA15" i="9"/>
  <c r="AA19" i="9"/>
  <c r="AA30" i="9"/>
  <c r="AA33" i="9"/>
  <c r="AA37" i="9"/>
  <c r="AA27" i="9"/>
  <c r="AA9" i="9"/>
  <c r="AA17" i="9"/>
  <c r="AA24" i="9"/>
  <c r="AA26" i="9"/>
  <c r="AA35" i="9"/>
  <c r="AA47" i="9"/>
  <c r="AA39" i="9"/>
  <c r="AA42" i="9"/>
  <c r="AA31" i="9"/>
  <c r="AA50" i="9"/>
  <c r="AA54" i="9"/>
  <c r="AA40" i="9"/>
  <c r="AA53" i="9"/>
  <c r="AA21" i="9"/>
  <c r="AA6" i="9"/>
  <c r="AA14" i="9"/>
  <c r="AA22" i="9"/>
  <c r="AA32" i="9"/>
  <c r="AA45" i="9"/>
  <c r="AA5" i="9"/>
  <c r="AA51" i="9"/>
  <c r="AA55" i="9"/>
  <c r="AA46" i="9"/>
  <c r="AA49" i="9"/>
  <c r="AA13" i="9"/>
  <c r="AA10" i="9"/>
  <c r="AA36" i="9"/>
  <c r="AA48" i="9"/>
  <c r="AA25" i="9"/>
  <c r="AA52" i="9"/>
  <c r="AA18" i="9"/>
  <c r="AA43" i="9"/>
  <c r="AC5" i="9"/>
  <c r="AC9" i="9"/>
  <c r="AC13" i="9"/>
  <c r="AC17" i="9"/>
  <c r="AC21" i="9"/>
  <c r="AC24" i="9"/>
  <c r="AC26" i="9"/>
  <c r="AC35" i="9"/>
  <c r="AC39" i="9"/>
  <c r="AC42" i="9"/>
  <c r="AC27" i="9"/>
  <c r="AC4" i="9"/>
  <c r="AC8" i="9"/>
  <c r="AC12" i="9"/>
  <c r="AC16" i="9"/>
  <c r="AC20" i="9"/>
  <c r="AC28" i="9"/>
  <c r="AC34" i="9"/>
  <c r="AC38" i="9"/>
  <c r="AC41" i="9"/>
  <c r="AC44" i="9"/>
  <c r="AC10" i="9"/>
  <c r="AC18" i="9"/>
  <c r="AC25" i="9"/>
  <c r="AC36" i="9"/>
  <c r="AC6" i="9"/>
  <c r="AC14" i="9"/>
  <c r="AC29" i="9"/>
  <c r="AC47" i="9"/>
  <c r="AC51" i="9"/>
  <c r="AC55" i="9"/>
  <c r="AC50" i="9"/>
  <c r="AC7" i="9"/>
  <c r="AC15" i="9"/>
  <c r="AC30" i="9"/>
  <c r="AC33" i="9"/>
  <c r="AC54" i="9"/>
  <c r="AC32" i="9"/>
  <c r="AC40" i="9"/>
  <c r="AC43" i="9"/>
  <c r="AC48" i="9"/>
  <c r="AC52" i="9"/>
  <c r="AC31" i="9"/>
  <c r="AC22" i="9"/>
  <c r="AC19" i="9"/>
  <c r="AC23" i="9"/>
  <c r="AC46" i="9"/>
  <c r="AC53" i="9"/>
  <c r="AC49" i="9"/>
  <c r="AC37" i="9"/>
  <c r="AC11" i="9"/>
  <c r="AC45" i="9"/>
  <c r="X31" i="9"/>
  <c r="X43" i="9"/>
  <c r="X6" i="9"/>
  <c r="X10" i="9"/>
  <c r="X14" i="9"/>
  <c r="X18" i="9"/>
  <c r="AE18" i="9" s="1"/>
  <c r="AF18" i="9" s="1"/>
  <c r="X22" i="9"/>
  <c r="AE22" i="9" s="1"/>
  <c r="AF22" i="9" s="1"/>
  <c r="X25" i="9"/>
  <c r="X32" i="9"/>
  <c r="X36" i="9"/>
  <c r="X40" i="9"/>
  <c r="X45" i="9"/>
  <c r="X7" i="9"/>
  <c r="X11" i="9"/>
  <c r="X15" i="9"/>
  <c r="AE15" i="9" s="1"/>
  <c r="AF15" i="9" s="1"/>
  <c r="X19" i="9"/>
  <c r="X30" i="9"/>
  <c r="X33" i="9"/>
  <c r="X37" i="9"/>
  <c r="X29" i="9"/>
  <c r="X49" i="9"/>
  <c r="X53" i="9"/>
  <c r="X48" i="9"/>
  <c r="AE48" i="9" s="1"/>
  <c r="AF48" i="9" s="1"/>
  <c r="X52" i="9"/>
  <c r="X23" i="9"/>
  <c r="X5" i="9"/>
  <c r="X13" i="9"/>
  <c r="X21" i="9"/>
  <c r="AE21" i="9" s="1"/>
  <c r="AF21" i="9" s="1"/>
  <c r="X39" i="9"/>
  <c r="X42" i="9"/>
  <c r="X46" i="9"/>
  <c r="AE46" i="9" s="1"/>
  <c r="AF46" i="9" s="1"/>
  <c r="X4" i="9"/>
  <c r="X12" i="9"/>
  <c r="X20" i="9"/>
  <c r="X51" i="9"/>
  <c r="X38" i="9"/>
  <c r="X8" i="9"/>
  <c r="X16" i="9"/>
  <c r="X28" i="9"/>
  <c r="X34" i="9"/>
  <c r="X41" i="9"/>
  <c r="X44" i="9"/>
  <c r="X35" i="9"/>
  <c r="X27" i="9"/>
  <c r="X55" i="9"/>
  <c r="X47" i="9"/>
  <c r="AE47" i="9" s="1"/>
  <c r="AF47" i="9" s="1"/>
  <c r="X26" i="9"/>
  <c r="AE26" i="9" s="1"/>
  <c r="AF26" i="9" s="1"/>
  <c r="X9" i="9"/>
  <c r="X50" i="9"/>
  <c r="X24" i="9"/>
  <c r="X54" i="9"/>
  <c r="X17" i="9"/>
  <c r="AD45" i="9"/>
  <c r="AD5" i="9"/>
  <c r="AD9" i="9"/>
  <c r="AD13" i="9"/>
  <c r="AD17" i="9"/>
  <c r="AD21" i="9"/>
  <c r="AD24" i="9"/>
  <c r="AD26" i="9"/>
  <c r="AD35" i="9"/>
  <c r="AD39" i="9"/>
  <c r="AD42" i="9"/>
  <c r="AD27" i="9"/>
  <c r="AD6" i="9"/>
  <c r="AD10" i="9"/>
  <c r="AD14" i="9"/>
  <c r="AD18" i="9"/>
  <c r="AD22" i="9"/>
  <c r="AD25" i="9"/>
  <c r="AD32" i="9"/>
  <c r="AD36" i="9"/>
  <c r="AD40" i="9"/>
  <c r="AD43" i="9"/>
  <c r="AD48" i="9"/>
  <c r="AD52" i="9"/>
  <c r="AD8" i="9"/>
  <c r="AD16" i="9"/>
  <c r="AD28" i="9"/>
  <c r="AD34" i="9"/>
  <c r="AD41" i="9"/>
  <c r="AD44" i="9"/>
  <c r="AD51" i="9"/>
  <c r="AD55" i="9"/>
  <c r="AD7" i="9"/>
  <c r="AD15" i="9"/>
  <c r="AD30" i="9"/>
  <c r="AD29" i="9"/>
  <c r="AD47" i="9"/>
  <c r="AD11" i="9"/>
  <c r="AD19" i="9"/>
  <c r="AD37" i="9"/>
  <c r="AD33" i="9"/>
  <c r="AD31" i="9"/>
  <c r="AD50" i="9"/>
  <c r="AD20" i="9"/>
  <c r="AD46" i="9"/>
  <c r="AD53" i="9"/>
  <c r="AD4" i="9"/>
  <c r="AD49" i="9"/>
  <c r="AD38" i="9"/>
  <c r="AD54" i="9"/>
  <c r="AD23" i="9"/>
  <c r="AD12" i="9"/>
  <c r="AB27" i="9"/>
  <c r="AB4" i="9"/>
  <c r="AB8" i="9"/>
  <c r="AB12" i="9"/>
  <c r="AB16" i="9"/>
  <c r="AB20" i="9"/>
  <c r="AB28" i="9"/>
  <c r="AB34" i="9"/>
  <c r="AB38" i="9"/>
  <c r="AB41" i="9"/>
  <c r="AB44" i="9"/>
  <c r="AB47" i="9"/>
  <c r="AB23" i="9"/>
  <c r="AB29" i="9"/>
  <c r="AB5" i="9"/>
  <c r="AB9" i="9"/>
  <c r="AB13" i="9"/>
  <c r="AB17" i="9"/>
  <c r="AB21" i="9"/>
  <c r="AB24" i="9"/>
  <c r="AB26" i="9"/>
  <c r="AB35" i="9"/>
  <c r="AB39" i="9"/>
  <c r="AB42" i="9"/>
  <c r="AB51" i="9"/>
  <c r="AB55" i="9"/>
  <c r="AB50" i="9"/>
  <c r="AB49" i="9"/>
  <c r="AB7" i="9"/>
  <c r="AB15" i="9"/>
  <c r="AB30" i="9"/>
  <c r="AB33" i="9"/>
  <c r="AB54" i="9"/>
  <c r="AB6" i="9"/>
  <c r="AB22" i="9"/>
  <c r="AB32" i="9"/>
  <c r="AB46" i="9"/>
  <c r="AB31" i="9"/>
  <c r="AB10" i="9"/>
  <c r="AB18" i="9"/>
  <c r="AB25" i="9"/>
  <c r="AB36" i="9"/>
  <c r="AB14" i="9"/>
  <c r="AB40" i="9"/>
  <c r="AB45" i="9"/>
  <c r="AB53" i="9"/>
  <c r="AB11" i="9"/>
  <c r="AB37" i="9"/>
  <c r="AB19" i="9"/>
  <c r="AB43" i="9"/>
  <c r="AB48" i="9"/>
  <c r="AB52" i="9"/>
  <c r="D5" i="7"/>
  <c r="E5" i="7" s="1"/>
  <c r="D4" i="7"/>
  <c r="E4" i="7" s="1"/>
  <c r="D7" i="7"/>
  <c r="E7" i="7" s="1"/>
  <c r="D6" i="7"/>
  <c r="E6" i="7" s="1"/>
  <c r="C10" i="7"/>
  <c r="D9" i="7"/>
  <c r="E9" i="7" s="1"/>
  <c r="W36" i="6"/>
  <c r="W4" i="6"/>
  <c r="W5" i="6"/>
  <c r="W11" i="6"/>
  <c r="W15" i="6"/>
  <c r="W19" i="6"/>
  <c r="W23" i="6"/>
  <c r="W27" i="6"/>
  <c r="W31" i="6"/>
  <c r="W41" i="6"/>
  <c r="W45" i="6"/>
  <c r="W49" i="6"/>
  <c r="W53" i="6"/>
  <c r="W32" i="6"/>
  <c r="W38" i="6"/>
  <c r="W10" i="6"/>
  <c r="W14" i="6"/>
  <c r="W18" i="6"/>
  <c r="W16" i="6"/>
  <c r="W21" i="6"/>
  <c r="W25" i="6"/>
  <c r="W29" i="6"/>
  <c r="W33" i="6"/>
  <c r="W39" i="6"/>
  <c r="W48" i="6"/>
  <c r="W52" i="6"/>
  <c r="W51" i="6"/>
  <c r="W24" i="6"/>
  <c r="W28" i="6"/>
  <c r="W20" i="6"/>
  <c r="W44" i="6"/>
  <c r="W13" i="6"/>
  <c r="W8" i="6"/>
  <c r="W9" i="6"/>
  <c r="W22" i="6"/>
  <c r="W26" i="6"/>
  <c r="W30" i="6"/>
  <c r="W34" i="6"/>
  <c r="W35" i="6"/>
  <c r="W37" i="6"/>
  <c r="W43" i="6"/>
  <c r="W47" i="6"/>
  <c r="W55" i="6"/>
  <c r="W50" i="6"/>
  <c r="W12" i="6"/>
  <c r="W46" i="6"/>
  <c r="W42" i="6"/>
  <c r="W40" i="6"/>
  <c r="W6" i="6"/>
  <c r="W7" i="6"/>
  <c r="W17" i="6"/>
  <c r="W54" i="6"/>
  <c r="Y9" i="6"/>
  <c r="Y10" i="6"/>
  <c r="Y14" i="6"/>
  <c r="Y18" i="6"/>
  <c r="Y22" i="6"/>
  <c r="Y26" i="6"/>
  <c r="Y30" i="6"/>
  <c r="Y39" i="6"/>
  <c r="Y44" i="6"/>
  <c r="Y48" i="6"/>
  <c r="Y52" i="6"/>
  <c r="Y36" i="6"/>
  <c r="Y4" i="6"/>
  <c r="Y6" i="6"/>
  <c r="Y8" i="6"/>
  <c r="Y13" i="6"/>
  <c r="Y17" i="6"/>
  <c r="Y5" i="6"/>
  <c r="Y7" i="6"/>
  <c r="Y12" i="6"/>
  <c r="Y38" i="6"/>
  <c r="Y40" i="6"/>
  <c r="Y24" i="6"/>
  <c r="Y23" i="6"/>
  <c r="Y34" i="6"/>
  <c r="Y35" i="6"/>
  <c r="Y37" i="6"/>
  <c r="Y31" i="6"/>
  <c r="Y11" i="6"/>
  <c r="Y16" i="6"/>
  <c r="Y21" i="6"/>
  <c r="Y25" i="6"/>
  <c r="Y29" i="6"/>
  <c r="Y33" i="6"/>
  <c r="Y28" i="6"/>
  <c r="Y15" i="6"/>
  <c r="Y20" i="6"/>
  <c r="Y32" i="6"/>
  <c r="Y41" i="6"/>
  <c r="Y45" i="6"/>
  <c r="Y49" i="6"/>
  <c r="Y53" i="6"/>
  <c r="Y27" i="6"/>
  <c r="Y19" i="6"/>
  <c r="Y51" i="6"/>
  <c r="Y47" i="6"/>
  <c r="Y54" i="6"/>
  <c r="Y50" i="6"/>
  <c r="Y55" i="6"/>
  <c r="Y42" i="6"/>
  <c r="Y43" i="6"/>
  <c r="Y46" i="6"/>
  <c r="U32" i="6"/>
  <c r="U38" i="6"/>
  <c r="U6" i="6"/>
  <c r="U12" i="6"/>
  <c r="U16" i="6"/>
  <c r="U20" i="6"/>
  <c r="U24" i="6"/>
  <c r="U28" i="6"/>
  <c r="U33" i="6"/>
  <c r="U35" i="6"/>
  <c r="U42" i="6"/>
  <c r="U46" i="6"/>
  <c r="U50" i="6"/>
  <c r="U54" i="6"/>
  <c r="U7" i="6"/>
  <c r="U40" i="6"/>
  <c r="U4" i="6"/>
  <c r="U5" i="6"/>
  <c r="U11" i="6"/>
  <c r="U15" i="6"/>
  <c r="U19" i="6"/>
  <c r="U44" i="6"/>
  <c r="U48" i="6"/>
  <c r="U52" i="6"/>
  <c r="U55" i="6"/>
  <c r="U18" i="6"/>
  <c r="U43" i="6"/>
  <c r="U47" i="6"/>
  <c r="U51" i="6"/>
  <c r="U27" i="6"/>
  <c r="U13" i="6"/>
  <c r="U17" i="6"/>
  <c r="U8" i="6"/>
  <c r="U9" i="6"/>
  <c r="U10" i="6"/>
  <c r="U14" i="6"/>
  <c r="U36" i="6"/>
  <c r="U23" i="6"/>
  <c r="U31" i="6"/>
  <c r="U21" i="6"/>
  <c r="U22" i="6"/>
  <c r="U45" i="6"/>
  <c r="U53" i="6"/>
  <c r="U41" i="6"/>
  <c r="U39" i="6"/>
  <c r="U30" i="6"/>
  <c r="U25" i="6"/>
  <c r="U26" i="6"/>
  <c r="U34" i="6"/>
  <c r="U29" i="6"/>
  <c r="U37" i="6"/>
  <c r="U49" i="6"/>
  <c r="X10" i="6"/>
  <c r="X14" i="6"/>
  <c r="X18" i="6"/>
  <c r="X22" i="6"/>
  <c r="X26" i="6"/>
  <c r="X30" i="6"/>
  <c r="X39" i="6"/>
  <c r="X44" i="6"/>
  <c r="X48" i="6"/>
  <c r="X52" i="6"/>
  <c r="X36" i="6"/>
  <c r="X4" i="6"/>
  <c r="X5" i="6"/>
  <c r="X11" i="6"/>
  <c r="X15" i="6"/>
  <c r="X19" i="6"/>
  <c r="X23" i="6"/>
  <c r="X27" i="6"/>
  <c r="X31" i="6"/>
  <c r="X41" i="6"/>
  <c r="X45" i="6"/>
  <c r="X49" i="6"/>
  <c r="X53" i="6"/>
  <c r="X9" i="6"/>
  <c r="X8" i="6"/>
  <c r="X34" i="6"/>
  <c r="X35" i="6"/>
  <c r="X37" i="6"/>
  <c r="X16" i="6"/>
  <c r="X21" i="6"/>
  <c r="X25" i="6"/>
  <c r="X29" i="6"/>
  <c r="X33" i="6"/>
  <c r="X24" i="6"/>
  <c r="X28" i="6"/>
  <c r="X13" i="6"/>
  <c r="X6" i="6"/>
  <c r="X7" i="6"/>
  <c r="X12" i="6"/>
  <c r="X17" i="6"/>
  <c r="X38" i="6"/>
  <c r="X40" i="6"/>
  <c r="X20" i="6"/>
  <c r="X54" i="6"/>
  <c r="X51" i="6"/>
  <c r="X47" i="6"/>
  <c r="X32" i="6"/>
  <c r="X50" i="6"/>
  <c r="X55" i="6"/>
  <c r="X43" i="6"/>
  <c r="X46" i="6"/>
  <c r="X42" i="6"/>
  <c r="Z8" i="6"/>
  <c r="Z13" i="6"/>
  <c r="Z17" i="6"/>
  <c r="Z21" i="6"/>
  <c r="Z25" i="6"/>
  <c r="Z29" i="6"/>
  <c r="Z34" i="6"/>
  <c r="Z37" i="6"/>
  <c r="Z43" i="6"/>
  <c r="Z47" i="6"/>
  <c r="Z51" i="6"/>
  <c r="Z9" i="6"/>
  <c r="Z10" i="6"/>
  <c r="Z14" i="6"/>
  <c r="Z18" i="6"/>
  <c r="Z22" i="6"/>
  <c r="Z26" i="6"/>
  <c r="Z30" i="6"/>
  <c r="Z39" i="6"/>
  <c r="Z44" i="6"/>
  <c r="Z48" i="6"/>
  <c r="Z52" i="6"/>
  <c r="Z7" i="6"/>
  <c r="Z6" i="6"/>
  <c r="Z32" i="6"/>
  <c r="Z41" i="6"/>
  <c r="Z45" i="6"/>
  <c r="Z49" i="6"/>
  <c r="Z53" i="6"/>
  <c r="Z35" i="6"/>
  <c r="Z5" i="6"/>
  <c r="Z12" i="6"/>
  <c r="Z36" i="6"/>
  <c r="Z38" i="6"/>
  <c r="Z40" i="6"/>
  <c r="Z16" i="6"/>
  <c r="Z24" i="6"/>
  <c r="Z4" i="6"/>
  <c r="Z28" i="6"/>
  <c r="Z19" i="6"/>
  <c r="Z42" i="6"/>
  <c r="Z46" i="6"/>
  <c r="Z50" i="6"/>
  <c r="Z54" i="6"/>
  <c r="Z11" i="6"/>
  <c r="Z33" i="6"/>
  <c r="Z20" i="6"/>
  <c r="Z55" i="6"/>
  <c r="Z23" i="6"/>
  <c r="Z27" i="6"/>
  <c r="Z15" i="6"/>
  <c r="Z31" i="6"/>
  <c r="V4" i="6"/>
  <c r="V5" i="6"/>
  <c r="V11" i="6"/>
  <c r="V15" i="6"/>
  <c r="V19" i="6"/>
  <c r="V23" i="6"/>
  <c r="V27" i="6"/>
  <c r="V31" i="6"/>
  <c r="V41" i="6"/>
  <c r="V45" i="6"/>
  <c r="V49" i="6"/>
  <c r="V53" i="6"/>
  <c r="V32" i="6"/>
  <c r="V38" i="6"/>
  <c r="V6" i="6"/>
  <c r="V12" i="6"/>
  <c r="V16" i="6"/>
  <c r="V20" i="6"/>
  <c r="V24" i="6"/>
  <c r="V28" i="6"/>
  <c r="V33" i="6"/>
  <c r="V35" i="6"/>
  <c r="V42" i="6"/>
  <c r="V46" i="6"/>
  <c r="V50" i="6"/>
  <c r="V54" i="6"/>
  <c r="V14" i="6"/>
  <c r="V36" i="6"/>
  <c r="V43" i="6"/>
  <c r="V47" i="6"/>
  <c r="V51" i="6"/>
  <c r="V44" i="6"/>
  <c r="V48" i="6"/>
  <c r="V52" i="6"/>
  <c r="V55" i="6"/>
  <c r="V18" i="6"/>
  <c r="V7" i="6"/>
  <c r="V21" i="6"/>
  <c r="V25" i="6"/>
  <c r="V29" i="6"/>
  <c r="V39" i="6"/>
  <c r="V13" i="6"/>
  <c r="V37" i="6"/>
  <c r="V17" i="6"/>
  <c r="V22" i="6"/>
  <c r="V26" i="6"/>
  <c r="V34" i="6"/>
  <c r="V40" i="6"/>
  <c r="V8" i="6"/>
  <c r="V9" i="6"/>
  <c r="V10" i="6"/>
  <c r="V30" i="6"/>
  <c r="AA7" i="6"/>
  <c r="AA40" i="6"/>
  <c r="AA8" i="6"/>
  <c r="AA13" i="6"/>
  <c r="AA17" i="6"/>
  <c r="AA21" i="6"/>
  <c r="AA25" i="6"/>
  <c r="AA29" i="6"/>
  <c r="AA34" i="6"/>
  <c r="AA37" i="6"/>
  <c r="AA43" i="6"/>
  <c r="AA47" i="6"/>
  <c r="AA51" i="6"/>
  <c r="AA9" i="6"/>
  <c r="AA4" i="6"/>
  <c r="AA5" i="6"/>
  <c r="AA6" i="6"/>
  <c r="AA12" i="6"/>
  <c r="AA16" i="6"/>
  <c r="AA20" i="6"/>
  <c r="AA19" i="6"/>
  <c r="AA22" i="6"/>
  <c r="AA26" i="6"/>
  <c r="AA30" i="6"/>
  <c r="AA42" i="6"/>
  <c r="AA46" i="6"/>
  <c r="AA50" i="6"/>
  <c r="AA54" i="6"/>
  <c r="AA14" i="6"/>
  <c r="AA32" i="6"/>
  <c r="AA39" i="6"/>
  <c r="AA41" i="6"/>
  <c r="AA45" i="6"/>
  <c r="AA49" i="6"/>
  <c r="AA53" i="6"/>
  <c r="AA36" i="6"/>
  <c r="AA38" i="6"/>
  <c r="AA52" i="6"/>
  <c r="AA11" i="6"/>
  <c r="AA10" i="6"/>
  <c r="AA55" i="6"/>
  <c r="AA18" i="6"/>
  <c r="AA35" i="6"/>
  <c r="AA44" i="6"/>
  <c r="AA48" i="6"/>
  <c r="AA33" i="6"/>
  <c r="AA28" i="6"/>
  <c r="AA15" i="6"/>
  <c r="AA31" i="6"/>
  <c r="AA23" i="6"/>
  <c r="AA24" i="6"/>
  <c r="AA27" i="6"/>
  <c r="N29" i="5"/>
  <c r="T29" i="5"/>
  <c r="AB29" i="5" s="1"/>
  <c r="AC29" i="5" s="1"/>
  <c r="T11" i="5"/>
  <c r="AB11" i="5" s="1"/>
  <c r="AC11" i="5" s="1"/>
  <c r="M29" i="5"/>
  <c r="M30" i="5" s="1"/>
  <c r="P29" i="5"/>
  <c r="B69" i="10" l="1"/>
  <c r="B60" i="10"/>
  <c r="AE49" i="10"/>
  <c r="AF49" i="10" s="1"/>
  <c r="AG49" i="10" s="1"/>
  <c r="AE29" i="10"/>
  <c r="AF29" i="10" s="1"/>
  <c r="AE10" i="10"/>
  <c r="AF10" i="10" s="1"/>
  <c r="B62" i="10"/>
  <c r="AE37" i="10"/>
  <c r="AF37" i="10" s="1"/>
  <c r="AH37" i="10" s="1"/>
  <c r="AE51" i="10"/>
  <c r="AF51" i="10" s="1"/>
  <c r="B61" i="10"/>
  <c r="AE28" i="10"/>
  <c r="AF28" i="10" s="1"/>
  <c r="B68" i="10"/>
  <c r="AE16" i="10"/>
  <c r="AF16" i="10" s="1"/>
  <c r="AE33" i="10"/>
  <c r="AF33" i="10" s="1"/>
  <c r="Q24" i="10"/>
  <c r="O24" i="10"/>
  <c r="AE35" i="10"/>
  <c r="AF35" i="10" s="1"/>
  <c r="B66" i="10"/>
  <c r="B59" i="10"/>
  <c r="B63" i="10"/>
  <c r="AE41" i="10"/>
  <c r="AF41" i="10" s="1"/>
  <c r="AE52" i="10"/>
  <c r="AF52" i="10" s="1"/>
  <c r="AE5" i="10"/>
  <c r="AF5" i="10" s="1"/>
  <c r="AE7" i="10"/>
  <c r="AF7" i="10" s="1"/>
  <c r="AE14" i="10"/>
  <c r="AF14" i="10" s="1"/>
  <c r="AE34" i="10"/>
  <c r="AF34" i="10" s="1"/>
  <c r="AH49" i="10"/>
  <c r="AH29" i="10"/>
  <c r="AG29" i="10"/>
  <c r="AE45" i="10"/>
  <c r="AF45" i="10" s="1"/>
  <c r="AG10" i="10"/>
  <c r="AH10" i="10"/>
  <c r="B65" i="10"/>
  <c r="AE6" i="10"/>
  <c r="AF6" i="10" s="1"/>
  <c r="AE40" i="10"/>
  <c r="AF40" i="10" s="1"/>
  <c r="AE48" i="10"/>
  <c r="AF48" i="10" s="1"/>
  <c r="AE43" i="10"/>
  <c r="AF43" i="10" s="1"/>
  <c r="AE42" i="10"/>
  <c r="AF42" i="10" s="1"/>
  <c r="N24" i="10"/>
  <c r="AE24" i="10"/>
  <c r="AF24" i="10" s="1"/>
  <c r="B58" i="10"/>
  <c r="AE54" i="10"/>
  <c r="AF54" i="10" s="1"/>
  <c r="AE20" i="10"/>
  <c r="AF20" i="10" s="1"/>
  <c r="AE12" i="10"/>
  <c r="AF12" i="10" s="1"/>
  <c r="AE39" i="10"/>
  <c r="AF39" i="10" s="1"/>
  <c r="AE19" i="10"/>
  <c r="AF19" i="10" s="1"/>
  <c r="AE25" i="10"/>
  <c r="AF25" i="10" s="1"/>
  <c r="R24" i="10"/>
  <c r="AE23" i="10"/>
  <c r="AF23" i="10" s="1"/>
  <c r="AE46" i="10"/>
  <c r="AF46" i="10" s="1"/>
  <c r="AE38" i="10"/>
  <c r="AF38" i="10" s="1"/>
  <c r="AE27" i="10"/>
  <c r="AF27" i="10" s="1"/>
  <c r="AE53" i="10"/>
  <c r="AF53" i="10" s="1"/>
  <c r="AE26" i="10"/>
  <c r="AF26" i="10" s="1"/>
  <c r="M24" i="10"/>
  <c r="AE4" i="10"/>
  <c r="AF4" i="10" s="1"/>
  <c r="AE21" i="10"/>
  <c r="AF21" i="10" s="1"/>
  <c r="AE15" i="10"/>
  <c r="AF15" i="10" s="1"/>
  <c r="AE22" i="10"/>
  <c r="AF22" i="10" s="1"/>
  <c r="AE47" i="10"/>
  <c r="AF47" i="10" s="1"/>
  <c r="AE50" i="10"/>
  <c r="AF50" i="10" s="1"/>
  <c r="AG36" i="10"/>
  <c r="AH36" i="10"/>
  <c r="B64" i="10"/>
  <c r="AE8" i="10"/>
  <c r="AF8" i="10" s="1"/>
  <c r="AE30" i="10"/>
  <c r="AF30" i="10" s="1"/>
  <c r="AE32" i="10"/>
  <c r="AF32" i="10" s="1"/>
  <c r="AE31" i="10"/>
  <c r="AF31" i="10" s="1"/>
  <c r="S24" i="10"/>
  <c r="AE17" i="10"/>
  <c r="AF17" i="10" s="1"/>
  <c r="AE9" i="10"/>
  <c r="AF9" i="10" s="1"/>
  <c r="B67" i="10"/>
  <c r="AE44" i="10"/>
  <c r="AF44" i="10" s="1"/>
  <c r="AE55" i="10"/>
  <c r="AF55" i="10" s="1"/>
  <c r="AE13" i="10"/>
  <c r="AF13" i="10" s="1"/>
  <c r="AE11" i="10"/>
  <c r="AF11" i="10" s="1"/>
  <c r="AE18" i="10"/>
  <c r="AF18" i="10" s="1"/>
  <c r="P24" i="10"/>
  <c r="AH46" i="9"/>
  <c r="AG46" i="9"/>
  <c r="AE42" i="9"/>
  <c r="AF42" i="9" s="1"/>
  <c r="AE55" i="9"/>
  <c r="AF55" i="9" s="1"/>
  <c r="AE7" i="9"/>
  <c r="AF7" i="9" s="1"/>
  <c r="AE27" i="9"/>
  <c r="AF27" i="9" s="1"/>
  <c r="AE45" i="9"/>
  <c r="AF45" i="9" s="1"/>
  <c r="AE9" i="9"/>
  <c r="AF9" i="9" s="1"/>
  <c r="AE34" i="9"/>
  <c r="AF34" i="9" s="1"/>
  <c r="M24" i="9"/>
  <c r="AE4" i="9"/>
  <c r="AF4" i="9" s="1"/>
  <c r="AE52" i="9"/>
  <c r="AF52" i="9" s="1"/>
  <c r="AE19" i="9"/>
  <c r="AF19" i="9" s="1"/>
  <c r="AE25" i="9"/>
  <c r="AF25" i="9" s="1"/>
  <c r="R24" i="9"/>
  <c r="AE11" i="9"/>
  <c r="AF11" i="9" s="1"/>
  <c r="AE28" i="9"/>
  <c r="AF28" i="9" s="1"/>
  <c r="AG22" i="9"/>
  <c r="AH22" i="9"/>
  <c r="AH47" i="9"/>
  <c r="AG47" i="9"/>
  <c r="AE53" i="9"/>
  <c r="AF53" i="9" s="1"/>
  <c r="AE39" i="9"/>
  <c r="AF39" i="9" s="1"/>
  <c r="AE38" i="9"/>
  <c r="AF38" i="9" s="1"/>
  <c r="AE10" i="9"/>
  <c r="AF10" i="9" s="1"/>
  <c r="S24" i="9"/>
  <c r="AE54" i="9"/>
  <c r="AF54" i="9" s="1"/>
  <c r="AE35" i="9"/>
  <c r="AF35" i="9" s="1"/>
  <c r="AE51" i="9"/>
  <c r="AF51" i="9" s="1"/>
  <c r="AE13" i="9"/>
  <c r="AF13" i="9" s="1"/>
  <c r="AE37" i="9"/>
  <c r="AF37" i="9" s="1"/>
  <c r="AE40" i="9"/>
  <c r="AF40" i="9" s="1"/>
  <c r="AE6" i="9"/>
  <c r="AF6" i="9" s="1"/>
  <c r="AG15" i="9"/>
  <c r="AH15" i="9"/>
  <c r="AG18" i="9"/>
  <c r="AH18" i="9"/>
  <c r="AE49" i="9"/>
  <c r="AF49" i="9" s="1"/>
  <c r="AE17" i="9"/>
  <c r="AF17" i="9" s="1"/>
  <c r="AE29" i="9"/>
  <c r="AF29" i="9" s="1"/>
  <c r="Q24" i="9"/>
  <c r="AE24" i="9"/>
  <c r="AF24" i="9" s="1"/>
  <c r="AE44" i="9"/>
  <c r="AF44" i="9" s="1"/>
  <c r="AE20" i="9"/>
  <c r="AF20" i="9" s="1"/>
  <c r="AE5" i="9"/>
  <c r="AF5" i="9" s="1"/>
  <c r="AE33" i="9"/>
  <c r="AF33" i="9" s="1"/>
  <c r="AE36" i="9"/>
  <c r="AF36" i="9" s="1"/>
  <c r="AE43" i="9"/>
  <c r="AF43" i="9" s="1"/>
  <c r="AH26" i="9"/>
  <c r="AG26" i="9"/>
  <c r="AG48" i="9"/>
  <c r="AH48" i="9"/>
  <c r="AE16" i="9"/>
  <c r="AF16" i="9" s="1"/>
  <c r="AE8" i="9"/>
  <c r="AF8" i="9" s="1"/>
  <c r="AE14" i="9"/>
  <c r="AF14" i="9" s="1"/>
  <c r="AH21" i="9"/>
  <c r="AG21" i="9"/>
  <c r="N24" i="9"/>
  <c r="AE50" i="9"/>
  <c r="AF50" i="9" s="1"/>
  <c r="AE41" i="9"/>
  <c r="AF41" i="9" s="1"/>
  <c r="AE12" i="9"/>
  <c r="AF12" i="9" s="1"/>
  <c r="AE23" i="9"/>
  <c r="AF23" i="9" s="1"/>
  <c r="AE30" i="9"/>
  <c r="AF30" i="9" s="1"/>
  <c r="AE32" i="9"/>
  <c r="AF32" i="9" s="1"/>
  <c r="AE31" i="9"/>
  <c r="AF31" i="9" s="1"/>
  <c r="P24" i="9"/>
  <c r="O24" i="9"/>
  <c r="AB13" i="6"/>
  <c r="AC13" i="6" s="1"/>
  <c r="AD13" i="6" s="1"/>
  <c r="AB48" i="6"/>
  <c r="AC48" i="6" s="1"/>
  <c r="AD48" i="6" s="1"/>
  <c r="AB30" i="6"/>
  <c r="AC30" i="6" s="1"/>
  <c r="AD30" i="6" s="1"/>
  <c r="D10" i="7"/>
  <c r="E10" i="7" s="1"/>
  <c r="C11" i="7"/>
  <c r="AB23" i="6"/>
  <c r="AC23" i="6" s="1"/>
  <c r="AD23" i="6" s="1"/>
  <c r="AB54" i="6"/>
  <c r="AC54" i="6" s="1"/>
  <c r="AD54" i="6" s="1"/>
  <c r="AB51" i="6"/>
  <c r="AC51" i="6" s="1"/>
  <c r="AD51" i="6" s="1"/>
  <c r="M33" i="6"/>
  <c r="AB26" i="6"/>
  <c r="AC26" i="6" s="1"/>
  <c r="AD26" i="6" s="1"/>
  <c r="AB21" i="6"/>
  <c r="AC21" i="6" s="1"/>
  <c r="AD21" i="6" s="1"/>
  <c r="AB17" i="6"/>
  <c r="AC17" i="6" s="1"/>
  <c r="AD17" i="6" s="1"/>
  <c r="AB52" i="6"/>
  <c r="AC52" i="6" s="1"/>
  <c r="AD52" i="6" s="1"/>
  <c r="AB40" i="6"/>
  <c r="AC40" i="6" s="1"/>
  <c r="AD40" i="6" s="1"/>
  <c r="AB28" i="6"/>
  <c r="AC28" i="6" s="1"/>
  <c r="AD28" i="6" s="1"/>
  <c r="AB19" i="6"/>
  <c r="AC19" i="6" s="1"/>
  <c r="AD19" i="6" s="1"/>
  <c r="AB50" i="6"/>
  <c r="AC50" i="6" s="1"/>
  <c r="AD50" i="6" s="1"/>
  <c r="AB16" i="6"/>
  <c r="AC16" i="6" s="1"/>
  <c r="AD16" i="6" s="1"/>
  <c r="AB12" i="6"/>
  <c r="AC12" i="6" s="1"/>
  <c r="AD12" i="6" s="1"/>
  <c r="AB31" i="6"/>
  <c r="AC31" i="6" s="1"/>
  <c r="AD31" i="6" s="1"/>
  <c r="AB24" i="6"/>
  <c r="AC24" i="6" s="1"/>
  <c r="AD24" i="6" s="1"/>
  <c r="O33" i="6"/>
  <c r="AB44" i="6"/>
  <c r="AC44" i="6" s="1"/>
  <c r="AD44" i="6" s="1"/>
  <c r="K33" i="6"/>
  <c r="AB47" i="6"/>
  <c r="AC47" i="6" s="1"/>
  <c r="AD47" i="6" s="1"/>
  <c r="AB37" i="6"/>
  <c r="AC37" i="6" s="1"/>
  <c r="AD37" i="6" s="1"/>
  <c r="AB10" i="6"/>
  <c r="AC10" i="6" s="1"/>
  <c r="AD10" i="6" s="1"/>
  <c r="AB43" i="6"/>
  <c r="AC43" i="6" s="1"/>
  <c r="AD43" i="6" s="1"/>
  <c r="AB11" i="6"/>
  <c r="AC11" i="6" s="1"/>
  <c r="AD11" i="6" s="1"/>
  <c r="AB42" i="6"/>
  <c r="AC42" i="6" s="1"/>
  <c r="AD42" i="6" s="1"/>
  <c r="AB6" i="6"/>
  <c r="AC6" i="6" s="1"/>
  <c r="AD6" i="6" s="1"/>
  <c r="P33" i="6"/>
  <c r="AB27" i="6"/>
  <c r="AC27" i="6" s="1"/>
  <c r="AD27" i="6" s="1"/>
  <c r="AB39" i="6"/>
  <c r="AC39" i="6" s="1"/>
  <c r="AD39" i="6" s="1"/>
  <c r="AB49" i="6"/>
  <c r="AC49" i="6" s="1"/>
  <c r="AD49" i="6" s="1"/>
  <c r="AB15" i="6"/>
  <c r="AC15" i="6" s="1"/>
  <c r="AD15" i="6" s="1"/>
  <c r="AB25" i="6"/>
  <c r="AC25" i="6" s="1"/>
  <c r="AD25" i="6" s="1"/>
  <c r="AB7" i="6"/>
  <c r="AC7" i="6" s="1"/>
  <c r="AD7" i="6" s="1"/>
  <c r="AB20" i="6"/>
  <c r="AC20" i="6" s="1"/>
  <c r="AD20" i="6" s="1"/>
  <c r="AB36" i="6"/>
  <c r="AC36" i="6" s="1"/>
  <c r="AD36" i="6" s="1"/>
  <c r="AB41" i="6"/>
  <c r="AC41" i="6" s="1"/>
  <c r="AD41" i="6" s="1"/>
  <c r="AB14" i="6"/>
  <c r="AC14" i="6" s="1"/>
  <c r="AD14" i="6" s="1"/>
  <c r="AB46" i="6"/>
  <c r="AC46" i="6" s="1"/>
  <c r="AD46" i="6" s="1"/>
  <c r="AB53" i="6"/>
  <c r="AC53" i="6" s="1"/>
  <c r="AD53" i="6" s="1"/>
  <c r="AB29" i="6"/>
  <c r="AC29" i="6" s="1"/>
  <c r="AD29" i="6" s="1"/>
  <c r="AB45" i="6"/>
  <c r="AC45" i="6" s="1"/>
  <c r="AD45" i="6" s="1"/>
  <c r="AB9" i="6"/>
  <c r="AC9" i="6" s="1"/>
  <c r="AD9" i="6" s="1"/>
  <c r="AB18" i="6"/>
  <c r="AC18" i="6" s="1"/>
  <c r="AD18" i="6" s="1"/>
  <c r="AB5" i="6"/>
  <c r="AC5" i="6" s="1"/>
  <c r="AD5" i="6" s="1"/>
  <c r="AB35" i="6"/>
  <c r="AC35" i="6" s="1"/>
  <c r="AD35" i="6" s="1"/>
  <c r="AB38" i="6"/>
  <c r="AC38" i="6" s="1"/>
  <c r="AD38" i="6" s="1"/>
  <c r="L33" i="6"/>
  <c r="AB34" i="6"/>
  <c r="AC34" i="6" s="1"/>
  <c r="AD34" i="6" s="1"/>
  <c r="AB22" i="6"/>
  <c r="AC22" i="6" s="1"/>
  <c r="AD22" i="6" s="1"/>
  <c r="AB8" i="6"/>
  <c r="AC8" i="6" s="1"/>
  <c r="AD8" i="6" s="1"/>
  <c r="AB55" i="6"/>
  <c r="AC55" i="6" s="1"/>
  <c r="AD55" i="6" s="1"/>
  <c r="J33" i="6"/>
  <c r="AB4" i="6"/>
  <c r="AC4" i="6" s="1"/>
  <c r="AD4" i="6" s="1"/>
  <c r="AB33" i="6"/>
  <c r="AC33" i="6" s="1"/>
  <c r="AD33" i="6" s="1"/>
  <c r="AB32" i="6"/>
  <c r="AC32" i="6" s="1"/>
  <c r="AD32" i="6" s="1"/>
  <c r="N33" i="6"/>
  <c r="L30" i="5"/>
  <c r="K30" i="5"/>
  <c r="N30" i="5"/>
  <c r="O30" i="5"/>
  <c r="P30" i="5"/>
  <c r="J30" i="5"/>
  <c r="AG37" i="10" l="1"/>
  <c r="AH53" i="10"/>
  <c r="AG53" i="10"/>
  <c r="AG7" i="10"/>
  <c r="AH7" i="10"/>
  <c r="AG11" i="10"/>
  <c r="AH11" i="10"/>
  <c r="AH13" i="10"/>
  <c r="AG13" i="10"/>
  <c r="AG32" i="10"/>
  <c r="AH32" i="10"/>
  <c r="AG22" i="10"/>
  <c r="AH22" i="10"/>
  <c r="AH38" i="10"/>
  <c r="AG38" i="10"/>
  <c r="AH39" i="10"/>
  <c r="AG39" i="10"/>
  <c r="AG55" i="10"/>
  <c r="AH55" i="10"/>
  <c r="AG30" i="10"/>
  <c r="AH30" i="10"/>
  <c r="AG15" i="10"/>
  <c r="AH15" i="10"/>
  <c r="AG46" i="10"/>
  <c r="AH46" i="10"/>
  <c r="AH12" i="10"/>
  <c r="AG12" i="10"/>
  <c r="AG48" i="10"/>
  <c r="AH48" i="10"/>
  <c r="AH41" i="10"/>
  <c r="AG41" i="10"/>
  <c r="AH16" i="10"/>
  <c r="AG16" i="10"/>
  <c r="AG18" i="10"/>
  <c r="AH18" i="10"/>
  <c r="AG25" i="10"/>
  <c r="AH25" i="10"/>
  <c r="AG47" i="10"/>
  <c r="AH47" i="10"/>
  <c r="AG19" i="10"/>
  <c r="AH19" i="10"/>
  <c r="AH5" i="10"/>
  <c r="AG5" i="10"/>
  <c r="AG43" i="10"/>
  <c r="AH43" i="10"/>
  <c r="AG52" i="10"/>
  <c r="AH52" i="10"/>
  <c r="AG33" i="10"/>
  <c r="AH33" i="10"/>
  <c r="AG44" i="10"/>
  <c r="AH44" i="10"/>
  <c r="AH8" i="10"/>
  <c r="AG8" i="10"/>
  <c r="AH21" i="10"/>
  <c r="AG21" i="10"/>
  <c r="AH23" i="10"/>
  <c r="AG23" i="10"/>
  <c r="AH20" i="10"/>
  <c r="AG20" i="10"/>
  <c r="AG40" i="10"/>
  <c r="AH40" i="10"/>
  <c r="AG31" i="10"/>
  <c r="AH31" i="10"/>
  <c r="AH42" i="10"/>
  <c r="AG42" i="10"/>
  <c r="AH4" i="10"/>
  <c r="AG4" i="10"/>
  <c r="N66" i="10"/>
  <c r="N65" i="10"/>
  <c r="N67" i="10" s="1"/>
  <c r="N68" i="10" s="1"/>
  <c r="N69" i="10" s="1"/>
  <c r="AH9" i="10"/>
  <c r="AG9" i="10"/>
  <c r="M26" i="10" a="1"/>
  <c r="B71" i="10"/>
  <c r="AH34" i="10"/>
  <c r="AG34" i="10"/>
  <c r="AH50" i="10"/>
  <c r="AG50" i="10"/>
  <c r="AG27" i="10"/>
  <c r="AH27" i="10"/>
  <c r="AG45" i="10"/>
  <c r="AH45" i="10"/>
  <c r="AG54" i="10"/>
  <c r="AH54" i="10"/>
  <c r="AG6" i="10"/>
  <c r="AH6" i="10"/>
  <c r="AH28" i="10"/>
  <c r="AG28" i="10"/>
  <c r="AG17" i="10"/>
  <c r="AH17" i="10"/>
  <c r="AG26" i="10"/>
  <c r="AH26" i="10"/>
  <c r="AG24" i="10"/>
  <c r="AH24" i="10"/>
  <c r="AG14" i="10"/>
  <c r="AH14" i="10"/>
  <c r="AG35" i="10"/>
  <c r="AH35" i="10"/>
  <c r="AG51" i="10"/>
  <c r="AH51" i="10"/>
  <c r="AH29" i="9"/>
  <c r="AG29" i="9"/>
  <c r="AH38" i="9"/>
  <c r="AG38" i="9"/>
  <c r="AG11" i="9"/>
  <c r="AH11" i="9"/>
  <c r="AG30" i="9"/>
  <c r="AH30" i="9"/>
  <c r="AG36" i="9"/>
  <c r="AH36" i="9"/>
  <c r="AG37" i="9"/>
  <c r="AH37" i="9"/>
  <c r="AH23" i="9"/>
  <c r="AG23" i="9"/>
  <c r="AG33" i="9"/>
  <c r="AH33" i="9"/>
  <c r="AH13" i="9"/>
  <c r="AG13" i="9"/>
  <c r="AG25" i="9"/>
  <c r="AH25" i="9"/>
  <c r="AH12" i="9"/>
  <c r="AG12" i="9"/>
  <c r="AH5" i="9"/>
  <c r="AG5" i="9"/>
  <c r="AG7" i="9"/>
  <c r="AH7" i="9"/>
  <c r="AH52" i="9"/>
  <c r="AG52" i="9"/>
  <c r="AG32" i="9"/>
  <c r="AH32" i="9"/>
  <c r="AG43" i="9"/>
  <c r="AH43" i="9"/>
  <c r="AG40" i="9"/>
  <c r="AH40" i="9"/>
  <c r="AH9" i="9"/>
  <c r="AG9" i="9"/>
  <c r="AG14" i="9"/>
  <c r="AH14" i="9"/>
  <c r="AG17" i="9"/>
  <c r="AH17" i="9"/>
  <c r="AH39" i="9"/>
  <c r="AG39" i="9"/>
  <c r="AH45" i="9"/>
  <c r="AG45" i="9"/>
  <c r="AH8" i="9"/>
  <c r="AG8" i="9"/>
  <c r="AG49" i="9"/>
  <c r="AH49" i="9"/>
  <c r="AH53" i="9"/>
  <c r="AG53" i="9"/>
  <c r="AG27" i="9"/>
  <c r="AH27" i="9"/>
  <c r="AH16" i="9"/>
  <c r="AG16" i="9"/>
  <c r="AG51" i="9"/>
  <c r="AH51" i="9"/>
  <c r="AG19" i="9"/>
  <c r="AH19" i="9"/>
  <c r="AH41" i="9"/>
  <c r="AG41" i="9"/>
  <c r="AH20" i="9"/>
  <c r="AG20" i="9"/>
  <c r="AG35" i="9"/>
  <c r="AH35" i="9"/>
  <c r="AG55" i="9"/>
  <c r="AH55" i="9"/>
  <c r="AH50" i="9"/>
  <c r="AG50" i="9"/>
  <c r="AH44" i="9"/>
  <c r="AG44" i="9"/>
  <c r="AH54" i="9"/>
  <c r="AG54" i="9"/>
  <c r="AH4" i="9"/>
  <c r="AG4" i="9"/>
  <c r="AH42" i="9"/>
  <c r="AG42" i="9"/>
  <c r="AH24" i="9"/>
  <c r="AG24" i="9"/>
  <c r="M26" i="9" a="1"/>
  <c r="AG31" i="9"/>
  <c r="AH31" i="9"/>
  <c r="AG6" i="9"/>
  <c r="AH6" i="9"/>
  <c r="AG10" i="9"/>
  <c r="AH10" i="9"/>
  <c r="AH28" i="9"/>
  <c r="AG28" i="9"/>
  <c r="AH34" i="9"/>
  <c r="AG34" i="9"/>
  <c r="D11" i="7"/>
  <c r="E11" i="7" s="1"/>
  <c r="C12" i="7"/>
  <c r="J35" i="6" a="1"/>
  <c r="M26" i="10" l="1"/>
  <c r="N26" i="10"/>
  <c r="M27" i="10"/>
  <c r="N27" i="10"/>
  <c r="M28" i="10"/>
  <c r="N32" i="10"/>
  <c r="N31" i="10"/>
  <c r="O31" i="10" s="1"/>
  <c r="M32" i="10"/>
  <c r="N30" i="10"/>
  <c r="M31" i="10"/>
  <c r="M30" i="10"/>
  <c r="M29" i="10"/>
  <c r="N28" i="10"/>
  <c r="N29" i="10"/>
  <c r="N60" i="10"/>
  <c r="N61" i="10" s="1"/>
  <c r="N62" i="10" s="1"/>
  <c r="M26" i="9"/>
  <c r="N26" i="9"/>
  <c r="M27" i="9"/>
  <c r="N27" i="9"/>
  <c r="M28" i="9"/>
  <c r="N32" i="9"/>
  <c r="N31" i="9"/>
  <c r="O31" i="9" s="1"/>
  <c r="M32" i="9"/>
  <c r="N30" i="9"/>
  <c r="M31" i="9"/>
  <c r="N29" i="9"/>
  <c r="N28" i="9"/>
  <c r="M29" i="9"/>
  <c r="M30" i="9"/>
  <c r="D12" i="7"/>
  <c r="E12" i="7" s="1"/>
  <c r="C13" i="7"/>
  <c r="J37" i="6"/>
  <c r="K40" i="6"/>
  <c r="K37" i="6"/>
  <c r="J39" i="6"/>
  <c r="J41" i="6"/>
  <c r="J36" i="6"/>
  <c r="K36" i="6"/>
  <c r="K39" i="6"/>
  <c r="J40" i="6"/>
  <c r="J35" i="6"/>
  <c r="K35" i="6"/>
  <c r="K38" i="6"/>
  <c r="K41" i="6"/>
  <c r="J38" i="6"/>
  <c r="O32" i="10" l="1"/>
  <c r="O27" i="10"/>
  <c r="O28" i="10"/>
  <c r="O26" i="10"/>
  <c r="O29" i="10"/>
  <c r="O30" i="10"/>
  <c r="O32" i="9"/>
  <c r="O28" i="9"/>
  <c r="O27" i="9"/>
  <c r="O29" i="9"/>
  <c r="O26" i="9"/>
  <c r="O30" i="9"/>
  <c r="L35" i="6"/>
  <c r="D13" i="7"/>
  <c r="E13" i="7" s="1"/>
  <c r="C14" i="7"/>
  <c r="L37" i="6"/>
  <c r="L40" i="6"/>
  <c r="L39" i="6"/>
  <c r="L36" i="6"/>
  <c r="L41" i="6"/>
  <c r="L38" i="6"/>
  <c r="C15" i="7" l="1"/>
  <c r="D14" i="7"/>
  <c r="E14" i="7" s="1"/>
  <c r="C16" i="7" l="1"/>
  <c r="D15" i="7"/>
  <c r="E15" i="7" s="1"/>
  <c r="C17" i="7" l="1"/>
  <c r="D16" i="7"/>
  <c r="E16" i="7" s="1"/>
  <c r="C18" i="7" l="1"/>
  <c r="D17" i="7"/>
  <c r="E17" i="7" s="1"/>
  <c r="C19" i="7" l="1"/>
  <c r="D18" i="7"/>
  <c r="E18" i="7" s="1"/>
  <c r="D19" i="7" l="1"/>
  <c r="E19" i="7" s="1"/>
  <c r="C20" i="7"/>
  <c r="D20" i="7" l="1"/>
  <c r="E20" i="7" s="1"/>
  <c r="C21" i="7"/>
  <c r="D21" i="7" s="1"/>
  <c r="E21" i="7" s="1"/>
</calcChain>
</file>

<file path=xl/sharedStrings.xml><?xml version="1.0" encoding="utf-8"?>
<sst xmlns="http://schemas.openxmlformats.org/spreadsheetml/2006/main" count="263" uniqueCount="101">
  <si>
    <t>Week</t>
  </si>
  <si>
    <t>Revenue</t>
  </si>
  <si>
    <t>Newspaper Ads</t>
  </si>
  <si>
    <t>Search Ads</t>
  </si>
  <si>
    <t>Social Ads</t>
  </si>
  <si>
    <t>Price Change</t>
  </si>
  <si>
    <t>Temperature</t>
  </si>
  <si>
    <t>Holiday</t>
  </si>
  <si>
    <t>Avg Before</t>
  </si>
  <si>
    <t>Avg After</t>
  </si>
  <si>
    <t>Difference</t>
  </si>
  <si>
    <t>% Change</t>
  </si>
  <si>
    <t>Avg Spend</t>
  </si>
  <si>
    <t>ROI</t>
  </si>
  <si>
    <t>R Squared</t>
  </si>
  <si>
    <t>Forecast Revenue</t>
  </si>
  <si>
    <t>Baseline Coef</t>
  </si>
  <si>
    <t>Temperature Coef</t>
  </si>
  <si>
    <t>Correlation between temperature and revenue</t>
  </si>
  <si>
    <t>Perfect Negative Correlation</t>
  </si>
  <si>
    <t>Strong Negative Correlation</t>
  </si>
  <si>
    <t>Moderate Negative Correlation</t>
  </si>
  <si>
    <t>Weak Negative Correlation</t>
  </si>
  <si>
    <t>No Correlation</t>
  </si>
  <si>
    <t>Weak Positive Correlation</t>
  </si>
  <si>
    <t>Moderate Positive Correlation</t>
  </si>
  <si>
    <t>Strong Positive Correlation</t>
  </si>
  <si>
    <t>Perfect Positive Correlation</t>
  </si>
  <si>
    <t>Correlation Strength</t>
  </si>
  <si>
    <t>Baseline</t>
  </si>
  <si>
    <t>R-Squared</t>
  </si>
  <si>
    <t>Coefficients</t>
  </si>
  <si>
    <t>Error %</t>
  </si>
  <si>
    <t>Error</t>
  </si>
  <si>
    <t>Predicted</t>
  </si>
  <si>
    <t>The decrease in efficiency of advertising as budget is increased</t>
  </si>
  <si>
    <t>Diminishing Returns</t>
  </si>
  <si>
    <t>The prolonged or lagged effect of advertising on consumer purchase behavior</t>
  </si>
  <si>
    <t>Adstocks</t>
  </si>
  <si>
    <t>The share of the changes in y that can be explained by X</t>
  </si>
  <si>
    <t>How much y changes when X is changed by 1 unit</t>
  </si>
  <si>
    <t>Coefficient</t>
  </si>
  <si>
    <t>A constant added to a model to determine where it intersects the y axis</t>
  </si>
  <si>
    <t>Glossary</t>
  </si>
  <si>
    <t>% Error</t>
  </si>
  <si>
    <t>Predictions</t>
  </si>
  <si>
    <t>ROAS, Social Ads</t>
  </si>
  <si>
    <t>Revenue, Social Ads</t>
  </si>
  <si>
    <t>Weekly Spend</t>
  </si>
  <si>
    <t>Determines if the errors are normally distributed</t>
  </si>
  <si>
    <t>Jarque Bera Test</t>
  </si>
  <si>
    <t>Describes the degree to which points cluster in the tails or the peak of the distribution (normally -7 to 7)</t>
  </si>
  <si>
    <t>Kurtosis</t>
  </si>
  <si>
    <t>A measure of the asymmetry of the probability distribution of a variable about its mean (normally -2 to 2)</t>
  </si>
  <si>
    <t>Skewness</t>
  </si>
  <si>
    <t>The root mean squared error divided by the average value for y</t>
  </si>
  <si>
    <t>Normalized Root Mean Squared Error</t>
  </si>
  <si>
    <t>The square root of the mean squared error</t>
  </si>
  <si>
    <t>Root Mean Squared Error</t>
  </si>
  <si>
    <t>The average squared difference between estimated values and actuals</t>
  </si>
  <si>
    <t>Mean Squared Error</t>
  </si>
  <si>
    <t>The average of the y values</t>
  </si>
  <si>
    <t>Mean of y</t>
  </si>
  <si>
    <t>The upper end of a range that's likely to include the true value with a 95% degree of confidence</t>
  </si>
  <si>
    <t>Upper 95% Confidence Interval</t>
  </si>
  <si>
    <t>The lower end of a range that's likely to include the true value with a 95% degree of confidence</t>
  </si>
  <si>
    <t>Lower 95% Confidence Interval</t>
  </si>
  <si>
    <t>How much the results will differ from the real population value</t>
  </si>
  <si>
    <t>Margin of Error E</t>
  </si>
  <si>
    <t>The probability of obtaining test results at least as extreme as the results actually observed</t>
  </si>
  <si>
    <t>P-Value</t>
  </si>
  <si>
    <t>The ratio of the difference between the estimated value of a variable and itspredicted value compared to its standard error</t>
  </si>
  <si>
    <t>T-Statistic</t>
  </si>
  <si>
    <t>How much the variation in the dependent variable cannot be explained by the model</t>
  </si>
  <si>
    <t>Residual Sum of Squares</t>
  </si>
  <si>
    <t>How well a regression model represents the modeled data</t>
  </si>
  <si>
    <t>Regression Sum of Squares</t>
  </si>
  <si>
    <t>The maximum number of logically independent values (observations - variables)</t>
  </si>
  <si>
    <t>Degrees of Freedom</t>
  </si>
  <si>
    <t>If &lt;= 0.05 your model is statistically significantly better than a model with just the intercept</t>
  </si>
  <si>
    <t>P-Value of F-Statistic</t>
  </si>
  <si>
    <t>Used to calculate whether your model better fits the data than a model with just the intercept</t>
  </si>
  <si>
    <t>F-Statistic</t>
  </si>
  <si>
    <t>The square root of the average squared deviation for the y estimate</t>
  </si>
  <si>
    <t>Standard Error for y estimate</t>
  </si>
  <si>
    <t>The average distance the values fall from the regression line</t>
  </si>
  <si>
    <t>Standard Error</t>
  </si>
  <si>
    <t>Error ^ 2</t>
  </si>
  <si>
    <t>Adstock Rate</t>
  </si>
  <si>
    <t>Jarque Bera P-Value</t>
  </si>
  <si>
    <t>Jarque Bera Statistic</t>
  </si>
  <si>
    <t>Observations</t>
  </si>
  <si>
    <t>F-Test Statistically Significant?</t>
  </si>
  <si>
    <t>Forecast</t>
  </si>
  <si>
    <t>Week (next year)</t>
  </si>
  <si>
    <t>Upper 95% Confidence Intervals</t>
  </si>
  <si>
    <t>Lower 95% Confidence Intervals</t>
  </si>
  <si>
    <t>Margins of Error E</t>
  </si>
  <si>
    <t>Statistically Significant?</t>
  </si>
  <si>
    <t>P-Values</t>
  </si>
  <si>
    <t>T-Statistics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</si>
</sst>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[$$]#,##0"/>
    <numFmt numFmtId="165" formatCode="[$$]#,##0.00"/>
    <numFmt numFmtId="166" formatCode="#,##0.0"/>
    <numFmt numFmtId="167" formatCode="0.000"/>
    <numFmt numFmtId="168" formatCode="0.0"/>
  </numFmts>
  <fonts count="10">
    <font>
      <sz val="10"/>
      <color rgb="FF000000"/>
      <name val="Arial"/>
    </font>
    <font>
      <sz val="10"/>
      <color theme="1"/>
      <name val="Arial"/>
      <family val="2"/>
    </font>
    <font>
      <sz val="10"/>
      <color rgb="FF3D3D34"/>
      <name val="&quot;Helvetica Neue&quot;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0000FF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58BC8B"/>
        <bgColor rgb="FF58BC8B"/>
      </patternFill>
    </fill>
    <fill>
      <patternFill patternType="solid">
        <fgColor rgb="FFE67C73"/>
        <bgColor rgb="FFE67C73"/>
      </patternFill>
    </fill>
    <fill>
      <patternFill patternType="solid">
        <fgColor rgb="FFEB968F"/>
        <bgColor rgb="FFEB968F"/>
      </patternFill>
    </fill>
    <fill>
      <patternFill patternType="solid">
        <fgColor rgb="FFF3C3BF"/>
        <bgColor rgb="FFF3C3BF"/>
      </patternFill>
    </fill>
    <fill>
      <patternFill patternType="solid">
        <fgColor rgb="FF57BB8A"/>
        <bgColor rgb="FF57BB8A"/>
      </patternFill>
    </fill>
    <fill>
      <patternFill patternType="solid">
        <fgColor rgb="FFE78178"/>
        <bgColor rgb="FFE78178"/>
      </patternFill>
    </fill>
    <fill>
      <patternFill patternType="solid">
        <fgColor rgb="FFFDF8F7"/>
        <bgColor rgb="FFFDF8F7"/>
      </patternFill>
    </fill>
    <fill>
      <patternFill patternType="solid">
        <fgColor rgb="FFF3C4C0"/>
        <bgColor rgb="FFF3C4C0"/>
      </patternFill>
    </fill>
    <fill>
      <patternFill patternType="solid">
        <fgColor rgb="FFE88981"/>
        <bgColor rgb="FFE88981"/>
      </patternFill>
    </fill>
    <fill>
      <patternFill patternType="solid">
        <fgColor rgb="FFA7DCC2"/>
        <bgColor rgb="FFA7DCC2"/>
      </patternFill>
    </fill>
    <fill>
      <patternFill patternType="solid">
        <fgColor rgb="FFF9E2E0"/>
        <bgColor rgb="FFF9E2E0"/>
      </patternFill>
    </fill>
    <fill>
      <patternFill patternType="solid">
        <fgColor rgb="FFFEFEFE"/>
        <bgColor rgb="FFFEFEFE"/>
      </patternFill>
    </fill>
    <fill>
      <patternFill patternType="solid">
        <fgColor rgb="FFE99089"/>
        <bgColor rgb="FFE99089"/>
      </patternFill>
    </fill>
    <fill>
      <patternFill patternType="solid">
        <fgColor rgb="FFFFFFFF"/>
        <bgColor rgb="FFFFFFFF"/>
      </patternFill>
    </fill>
    <fill>
      <patternFill patternType="solid">
        <fgColor rgb="FFF6D3D0"/>
        <bgColor rgb="FFF6D3D0"/>
      </patternFill>
    </fill>
    <fill>
      <patternFill patternType="solid">
        <fgColor rgb="FFEEF8F3"/>
        <bgColor rgb="FFEEF8F3"/>
      </patternFill>
    </fill>
    <fill>
      <patternFill patternType="solid">
        <fgColor rgb="FF9CD7BA"/>
        <bgColor rgb="FF9CD7BA"/>
      </patternFill>
    </fill>
    <fill>
      <patternFill patternType="solid">
        <fgColor rgb="FFF1B6B1"/>
        <bgColor rgb="FFF1B6B1"/>
      </patternFill>
    </fill>
    <fill>
      <patternFill patternType="solid">
        <fgColor rgb="FFD0ECDF"/>
        <bgColor rgb="FFD0ECDF"/>
      </patternFill>
    </fill>
    <fill>
      <patternFill patternType="solid">
        <fgColor rgb="FFEFADA8"/>
        <bgColor rgb="FFEFADA8"/>
      </patternFill>
    </fill>
    <fill>
      <patternFill patternType="solid">
        <fgColor rgb="FFD1EDDF"/>
        <bgColor rgb="FFD1EDDF"/>
      </patternFill>
    </fill>
    <fill>
      <patternFill patternType="solid">
        <fgColor rgb="FFBDE5D1"/>
        <bgColor rgb="FFBDE5D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3" fontId="2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1" fillId="0" borderId="0" xfId="0" applyNumberFormat="1" applyFont="1"/>
    <xf numFmtId="0" fontId="4" fillId="2" borderId="0" xfId="0" applyFont="1" applyFill="1" applyAlignment="1"/>
    <xf numFmtId="0" fontId="4" fillId="3" borderId="0" xfId="0" applyFont="1" applyFill="1" applyAlignment="1"/>
    <xf numFmtId="10" fontId="1" fillId="0" borderId="0" xfId="0" applyNumberFormat="1" applyFont="1"/>
    <xf numFmtId="164" fontId="3" fillId="3" borderId="0" xfId="0" applyNumberFormat="1" applyFont="1" applyFill="1" applyAlignment="1">
      <alignment horizontal="right"/>
    </xf>
    <xf numFmtId="2" fontId="1" fillId="0" borderId="0" xfId="0" applyNumberFormat="1" applyFont="1"/>
    <xf numFmtId="0" fontId="5" fillId="0" borderId="0" xfId="1"/>
    <xf numFmtId="166" fontId="1" fillId="0" borderId="0" xfId="1" applyNumberFormat="1" applyFont="1"/>
    <xf numFmtId="164" fontId="1" fillId="0" borderId="0" xfId="1" applyNumberFormat="1" applyFont="1" applyAlignment="1">
      <alignment horizontal="right"/>
    </xf>
    <xf numFmtId="0" fontId="1" fillId="0" borderId="0" xfId="1" applyFont="1"/>
    <xf numFmtId="2" fontId="1" fillId="0" borderId="0" xfId="1" applyNumberFormat="1" applyFont="1"/>
    <xf numFmtId="165" fontId="1" fillId="0" borderId="0" xfId="1" applyNumberFormat="1" applyFont="1"/>
    <xf numFmtId="164" fontId="1" fillId="0" borderId="0" xfId="1" applyNumberFormat="1" applyFont="1"/>
    <xf numFmtId="167" fontId="1" fillId="4" borderId="0" xfId="1" applyNumberFormat="1" applyFont="1" applyFill="1" applyAlignment="1">
      <alignment horizontal="right"/>
    </xf>
    <xf numFmtId="167" fontId="1" fillId="0" borderId="0" xfId="1" applyNumberFormat="1" applyFont="1"/>
    <xf numFmtId="167" fontId="1" fillId="5" borderId="0" xfId="1" applyNumberFormat="1" applyFont="1" applyFill="1" applyAlignment="1">
      <alignment horizontal="right"/>
    </xf>
    <xf numFmtId="167" fontId="1" fillId="6" borderId="0" xfId="1" applyNumberFormat="1" applyFont="1" applyFill="1" applyAlignment="1">
      <alignment horizontal="right"/>
    </xf>
    <xf numFmtId="167" fontId="1" fillId="7" borderId="0" xfId="1" applyNumberFormat="1" applyFont="1" applyFill="1" applyAlignment="1">
      <alignment horizontal="right"/>
    </xf>
    <xf numFmtId="167" fontId="1" fillId="8" borderId="0" xfId="1" applyNumberFormat="1" applyFont="1" applyFill="1" applyAlignment="1">
      <alignment horizontal="right"/>
    </xf>
    <xf numFmtId="167" fontId="1" fillId="9" borderId="0" xfId="1" applyNumberFormat="1" applyFont="1" applyFill="1" applyAlignment="1">
      <alignment horizontal="right"/>
    </xf>
    <xf numFmtId="167" fontId="1" fillId="10" borderId="0" xfId="1" applyNumberFormat="1" applyFont="1" applyFill="1" applyAlignment="1">
      <alignment horizontal="right"/>
    </xf>
    <xf numFmtId="167" fontId="1" fillId="11" borderId="0" xfId="1" applyNumberFormat="1" applyFont="1" applyFill="1" applyAlignment="1">
      <alignment horizontal="right"/>
    </xf>
    <xf numFmtId="167" fontId="1" fillId="12" borderId="0" xfId="1" applyNumberFormat="1" applyFont="1" applyFill="1" applyAlignment="1">
      <alignment horizontal="right"/>
    </xf>
    <xf numFmtId="167" fontId="1" fillId="13" borderId="0" xfId="1" applyNumberFormat="1" applyFont="1" applyFill="1" applyAlignment="1">
      <alignment horizontal="right"/>
    </xf>
    <xf numFmtId="167" fontId="1" fillId="14" borderId="0" xfId="1" applyNumberFormat="1" applyFont="1" applyFill="1" applyAlignment="1">
      <alignment horizontal="right"/>
    </xf>
    <xf numFmtId="167" fontId="1" fillId="15" borderId="0" xfId="1" applyNumberFormat="1" applyFont="1" applyFill="1" applyAlignment="1">
      <alignment horizontal="right"/>
    </xf>
    <xf numFmtId="167" fontId="1" fillId="16" borderId="0" xfId="1" applyNumberFormat="1" applyFont="1" applyFill="1" applyAlignment="1">
      <alignment horizontal="right"/>
    </xf>
    <xf numFmtId="167" fontId="1" fillId="17" borderId="0" xfId="1" applyNumberFormat="1" applyFont="1" applyFill="1" applyAlignment="1">
      <alignment horizontal="right"/>
    </xf>
    <xf numFmtId="167" fontId="1" fillId="18" borderId="0" xfId="1" applyNumberFormat="1" applyFont="1" applyFill="1" applyAlignment="1">
      <alignment horizontal="right"/>
    </xf>
    <xf numFmtId="167" fontId="1" fillId="19" borderId="0" xfId="1" applyNumberFormat="1" applyFont="1" applyFill="1" applyAlignment="1">
      <alignment horizontal="right"/>
    </xf>
    <xf numFmtId="167" fontId="1" fillId="20" borderId="0" xfId="1" applyNumberFormat="1" applyFont="1" applyFill="1" applyAlignment="1">
      <alignment horizontal="right"/>
    </xf>
    <xf numFmtId="167" fontId="1" fillId="21" borderId="0" xfId="1" applyNumberFormat="1" applyFont="1" applyFill="1" applyAlignment="1">
      <alignment horizontal="right"/>
    </xf>
    <xf numFmtId="167" fontId="1" fillId="22" borderId="0" xfId="1" applyNumberFormat="1" applyFont="1" applyFill="1" applyAlignment="1">
      <alignment horizontal="right"/>
    </xf>
    <xf numFmtId="167" fontId="1" fillId="23" borderId="0" xfId="1" applyNumberFormat="1" applyFont="1" applyFill="1" applyAlignment="1">
      <alignment horizontal="right"/>
    </xf>
    <xf numFmtId="167" fontId="1" fillId="24" borderId="0" xfId="1" applyNumberFormat="1" applyFont="1" applyFill="1" applyAlignment="1">
      <alignment horizontal="right"/>
    </xf>
    <xf numFmtId="167" fontId="1" fillId="25" borderId="0" xfId="1" applyNumberFormat="1" applyFont="1" applyFill="1" applyAlignment="1">
      <alignment horizontal="right"/>
    </xf>
    <xf numFmtId="0" fontId="3" fillId="0" borderId="0" xfId="1" applyFont="1"/>
    <xf numFmtId="168" fontId="3" fillId="0" borderId="0" xfId="1" applyNumberFormat="1" applyFont="1" applyAlignment="1">
      <alignment horizontal="right"/>
    </xf>
    <xf numFmtId="0" fontId="3" fillId="0" borderId="0" xfId="1" applyFont="1" applyAlignment="1">
      <alignment horizontal="right"/>
    </xf>
    <xf numFmtId="3" fontId="2" fillId="0" borderId="0" xfId="1" applyNumberFormat="1" applyFont="1" applyAlignment="1">
      <alignment horizontal="left" vertical="top"/>
    </xf>
    <xf numFmtId="3" fontId="6" fillId="0" borderId="0" xfId="1" applyNumberFormat="1" applyFont="1"/>
    <xf numFmtId="10" fontId="1" fillId="0" borderId="0" xfId="1" applyNumberFormat="1" applyFont="1"/>
    <xf numFmtId="4" fontId="1" fillId="0" borderId="0" xfId="1" applyNumberFormat="1" applyFont="1"/>
    <xf numFmtId="0" fontId="7" fillId="0" borderId="0" xfId="1" applyFont="1"/>
    <xf numFmtId="0" fontId="1" fillId="3" borderId="0" xfId="1" applyFont="1" applyFill="1"/>
    <xf numFmtId="0" fontId="8" fillId="0" borderId="0" xfId="1" applyFont="1" applyAlignment="1">
      <alignment wrapText="1"/>
    </xf>
    <xf numFmtId="165" fontId="3" fillId="0" borderId="0" xfId="1" applyNumberFormat="1" applyFont="1"/>
    <xf numFmtId="2" fontId="1" fillId="0" borderId="0" xfId="1" applyNumberFormat="1" applyFont="1" applyAlignment="1">
      <alignment horizontal="right"/>
    </xf>
    <xf numFmtId="168" fontId="1" fillId="0" borderId="0" xfId="1" applyNumberFormat="1" applyFont="1"/>
    <xf numFmtId="0" fontId="1" fillId="0" borderId="0" xfId="1" applyFont="1" applyAlignment="1">
      <alignment horizontal="right"/>
    </xf>
    <xf numFmtId="0" fontId="8" fillId="0" borderId="0" xfId="1" applyFont="1"/>
    <xf numFmtId="166" fontId="9" fillId="3" borderId="0" xfId="1" applyNumberFormat="1" applyFont="1" applyFill="1"/>
    <xf numFmtId="164" fontId="3" fillId="0" borderId="0" xfId="1" applyNumberFormat="1" applyFont="1"/>
    <xf numFmtId="4" fontId="9" fillId="0" borderId="0" xfId="1" applyNumberFormat="1" applyFont="1"/>
    <xf numFmtId="164" fontId="9" fillId="0" borderId="0" xfId="1" applyNumberFormat="1" applyFont="1"/>
    <xf numFmtId="0" fontId="6" fillId="0" borderId="0" xfId="1" applyFont="1"/>
    <xf numFmtId="2" fontId="1" fillId="3" borderId="0" xfId="1" applyNumberFormat="1" applyFont="1" applyFill="1" applyAlignment="1">
      <alignment horizontal="right"/>
    </xf>
  </cellXfs>
  <cellStyles count="2">
    <cellStyle name="Normal" xfId="0" builtinId="0"/>
    <cellStyle name="Normal 2" xfId="1" xr:uid="{1A8C3A43-EC76-8D4B-A6A5-E0BA0EEBC537}"/>
  </cellStyles>
  <dxfs count="23">
    <dxf>
      <font>
        <color rgb="FFC53929"/>
      </font>
      <fill>
        <patternFill patternType="none"/>
      </fill>
    </dxf>
    <dxf>
      <font>
        <color rgb="FFC53929"/>
      </font>
      <fill>
        <patternFill patternType="none"/>
      </fill>
    </dxf>
    <dxf>
      <font>
        <color rgb="FFC53929"/>
      </font>
      <fill>
        <patternFill patternType="none"/>
      </fill>
    </dxf>
    <dxf>
      <font>
        <color rgb="FFC53929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solid">
          <fgColor rgb="FFFDDCE8"/>
          <bgColor rgb="FFFDDCE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91D63"/>
          <bgColor rgb="FFE91D63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  <dxf>
      <fill>
        <patternFill patternType="solid">
          <fgColor rgb="FFFDDCE8"/>
          <bgColor rgb="FFFDDCE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91D63"/>
          <bgColor rgb="FFE91D63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6" defaultTableStyle="TableStyleMedium2" defaultPivotStyle="PivotStyleLight16">
    <tableStyle name="Model-style" pivot="0" count="3" xr9:uid="{E966BE8C-DAB3-3E47-ACC5-019B557CFCAB}">
      <tableStyleElement type="headerRow" dxfId="22"/>
      <tableStyleElement type="firstRowStripe" dxfId="21"/>
      <tableStyleElement type="secondRowStripe" dxfId="20"/>
    </tableStyle>
    <tableStyle name="Model-style 2" pivot="0" count="3" xr9:uid="{DBF0BCCE-2D0F-254F-89E1-D186E657C57D}">
      <tableStyleElement type="headerRow" dxfId="19"/>
      <tableStyleElement type="firstRowStripe" dxfId="18"/>
      <tableStyleElement type="secondRowStripe" dxfId="17"/>
    </tableStyle>
    <tableStyle name="Model-style 2 2" pivot="0" count="3" xr9:uid="{A8D28306-56D0-B14E-A347-8F65CD9AE1C8}">
      <tableStyleElement type="headerRow" dxfId="10"/>
      <tableStyleElement type="firstRowStripe" dxfId="9"/>
      <tableStyleElement type="secondRowStripe" dxfId="8"/>
    </tableStyle>
    <tableStyle name="Model-style 3" pivot="0" count="3" xr9:uid="{40274EF8-C814-D248-AFA3-54440A203A33}">
      <tableStyleElement type="headerRow" dxfId="16"/>
      <tableStyleElement type="firstRowStripe" dxfId="15"/>
      <tableStyleElement type="secondRowStripe" dxfId="14"/>
    </tableStyle>
    <tableStyle name="Model-style 3 2" pivot="0" count="3" xr9:uid="{9FE4C146-3C25-9C40-9823-B36A3CA1CC6D}">
      <tableStyleElement type="headerRow" dxfId="7"/>
      <tableStyleElement type="firstRowStripe" dxfId="6"/>
      <tableStyleElement type="secondRowStripe" dxfId="5"/>
    </tableStyle>
    <tableStyle name="Model-style 4" pivot="0" count="3" xr9:uid="{BF0AC171-C2F7-B140-A2E6-3BF3FB866D02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Revenue vs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Trend!$B$1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Trend!$A$2:$A$53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Trend!$B$2:$B$53</c:f>
              <c:numCache>
                <c:formatCode>[$$]#,##0</c:formatCode>
                <c:ptCount val="52"/>
                <c:pt idx="0">
                  <c:v>3302.99</c:v>
                </c:pt>
                <c:pt idx="1">
                  <c:v>2706.27</c:v>
                </c:pt>
                <c:pt idx="2">
                  <c:v>2330.41</c:v>
                </c:pt>
                <c:pt idx="3">
                  <c:v>2351.63</c:v>
                </c:pt>
                <c:pt idx="4">
                  <c:v>2398.48</c:v>
                </c:pt>
                <c:pt idx="5">
                  <c:v>2611.66</c:v>
                </c:pt>
                <c:pt idx="6">
                  <c:v>2557.31</c:v>
                </c:pt>
                <c:pt idx="7">
                  <c:v>3250.96</c:v>
                </c:pt>
                <c:pt idx="8">
                  <c:v>2802.04</c:v>
                </c:pt>
                <c:pt idx="9">
                  <c:v>2881.28</c:v>
                </c:pt>
                <c:pt idx="10">
                  <c:v>2734.97</c:v>
                </c:pt>
                <c:pt idx="11">
                  <c:v>3580.57</c:v>
                </c:pt>
                <c:pt idx="12">
                  <c:v>3581.54</c:v>
                </c:pt>
                <c:pt idx="13">
                  <c:v>2962.99</c:v>
                </c:pt>
                <c:pt idx="14">
                  <c:v>2510.8200000000002</c:v>
                </c:pt>
                <c:pt idx="15">
                  <c:v>2523.34</c:v>
                </c:pt>
                <c:pt idx="16">
                  <c:v>2708.6</c:v>
                </c:pt>
                <c:pt idx="17">
                  <c:v>2459.0300000000002</c:v>
                </c:pt>
                <c:pt idx="18">
                  <c:v>3429.26</c:v>
                </c:pt>
                <c:pt idx="19">
                  <c:v>2707.15</c:v>
                </c:pt>
                <c:pt idx="20">
                  <c:v>2658.95</c:v>
                </c:pt>
                <c:pt idx="21">
                  <c:v>2848.53</c:v>
                </c:pt>
                <c:pt idx="22">
                  <c:v>2801.63</c:v>
                </c:pt>
                <c:pt idx="23">
                  <c:v>4645.67</c:v>
                </c:pt>
                <c:pt idx="24">
                  <c:v>4034.12</c:v>
                </c:pt>
                <c:pt idx="25">
                  <c:v>4510.32</c:v>
                </c:pt>
                <c:pt idx="26">
                  <c:v>4436.8999999999996</c:v>
                </c:pt>
                <c:pt idx="27">
                  <c:v>5427.97</c:v>
                </c:pt>
                <c:pt idx="28">
                  <c:v>4758.76</c:v>
                </c:pt>
                <c:pt idx="29">
                  <c:v>4773.62</c:v>
                </c:pt>
                <c:pt idx="30">
                  <c:v>4866.54</c:v>
                </c:pt>
                <c:pt idx="31">
                  <c:v>4846.53</c:v>
                </c:pt>
                <c:pt idx="32">
                  <c:v>5209.8999999999996</c:v>
                </c:pt>
                <c:pt idx="33">
                  <c:v>4831.16</c:v>
                </c:pt>
                <c:pt idx="34">
                  <c:v>4999.6400000000003</c:v>
                </c:pt>
                <c:pt idx="35">
                  <c:v>4073.66</c:v>
                </c:pt>
                <c:pt idx="36">
                  <c:v>3885.19</c:v>
                </c:pt>
                <c:pt idx="37">
                  <c:v>3395.17</c:v>
                </c:pt>
                <c:pt idx="38">
                  <c:v>3543.52</c:v>
                </c:pt>
                <c:pt idx="39">
                  <c:v>3318.82</c:v>
                </c:pt>
                <c:pt idx="40">
                  <c:v>3439.85</c:v>
                </c:pt>
                <c:pt idx="41">
                  <c:v>3396.71</c:v>
                </c:pt>
                <c:pt idx="42">
                  <c:v>3249.66</c:v>
                </c:pt>
                <c:pt idx="43">
                  <c:v>2931.35</c:v>
                </c:pt>
                <c:pt idx="44">
                  <c:v>3933.05</c:v>
                </c:pt>
                <c:pt idx="45">
                  <c:v>3506.81</c:v>
                </c:pt>
                <c:pt idx="46">
                  <c:v>2818.97</c:v>
                </c:pt>
                <c:pt idx="47">
                  <c:v>3856.38</c:v>
                </c:pt>
                <c:pt idx="48">
                  <c:v>3060.15</c:v>
                </c:pt>
                <c:pt idx="49">
                  <c:v>2761.15</c:v>
                </c:pt>
                <c:pt idx="50">
                  <c:v>2323.12</c:v>
                </c:pt>
                <c:pt idx="51">
                  <c:v>3577.04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22-4B0D-B796-A7E5DF38193D}"/>
            </c:ext>
          </c:extLst>
        </c:ser>
        <c:ser>
          <c:idx val="0"/>
          <c:order val="1"/>
          <c:tx>
            <c:strRef>
              <c:f>Trend!$D$1</c:f>
              <c:strCache>
                <c:ptCount val="1"/>
                <c:pt idx="0">
                  <c:v>Avg Before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Trend!$A$2:$A$53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Trend!$D$2:$D$53</c:f>
              <c:numCache>
                <c:formatCode>General</c:formatCode>
                <c:ptCount val="52"/>
                <c:pt idx="11" formatCode="[$$]#,##0">
                  <c:v>2897.7008333333338</c:v>
                </c:pt>
                <c:pt idx="12" formatCode="[$$]#,##0">
                  <c:v>2897.7008333333338</c:v>
                </c:pt>
                <c:pt idx="13" formatCode="[$$]#,##0">
                  <c:v>2897.7008333333338</c:v>
                </c:pt>
                <c:pt idx="14" formatCode="[$$]#,##0">
                  <c:v>2897.7008333333338</c:v>
                </c:pt>
                <c:pt idx="15" formatCode="[$$]#,##0">
                  <c:v>2897.7008333333338</c:v>
                </c:pt>
                <c:pt idx="16" formatCode="[$$]#,##0">
                  <c:v>2897.7008333333338</c:v>
                </c:pt>
                <c:pt idx="17" formatCode="[$$]#,##0">
                  <c:v>2897.7008333333338</c:v>
                </c:pt>
                <c:pt idx="18" formatCode="[$$]#,##0">
                  <c:v>2897.7008333333338</c:v>
                </c:pt>
                <c:pt idx="19" formatCode="[$$]#,##0">
                  <c:v>2897.7008333333338</c:v>
                </c:pt>
                <c:pt idx="20" formatCode="[$$]#,##0">
                  <c:v>2897.7008333333338</c:v>
                </c:pt>
                <c:pt idx="21" formatCode="[$$]#,##0">
                  <c:v>2897.7008333333338</c:v>
                </c:pt>
                <c:pt idx="22" formatCode="[$$]#,##0">
                  <c:v>2897.7008333333338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22-4B0D-B796-A7E5DF38193D}"/>
            </c:ext>
          </c:extLst>
        </c:ser>
        <c:ser>
          <c:idx val="2"/>
          <c:order val="2"/>
          <c:tx>
            <c:strRef>
              <c:f>Trend!$E$1</c:f>
              <c:strCache>
                <c:ptCount val="1"/>
                <c:pt idx="0">
                  <c:v>Avg After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Trend!$A$2:$A$53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Trend!$E$2:$E$53</c:f>
              <c:numCache>
                <c:formatCode>General</c:formatCode>
                <c:ptCount val="52"/>
                <c:pt idx="23" formatCode="[$$]#,##0">
                  <c:v>4778.4275000000007</c:v>
                </c:pt>
                <c:pt idx="24" formatCode="[$$]#,##0">
                  <c:v>4778.4275000000007</c:v>
                </c:pt>
                <c:pt idx="25" formatCode="[$$]#,##0">
                  <c:v>4778.4275000000007</c:v>
                </c:pt>
                <c:pt idx="26" formatCode="[$$]#,##0">
                  <c:v>4778.4275000000007</c:v>
                </c:pt>
                <c:pt idx="27" formatCode="[$$]#,##0">
                  <c:v>4778.4275000000007</c:v>
                </c:pt>
                <c:pt idx="28" formatCode="[$$]#,##0">
                  <c:v>4778.4275000000007</c:v>
                </c:pt>
                <c:pt idx="29" formatCode="[$$]#,##0">
                  <c:v>4778.4275000000007</c:v>
                </c:pt>
                <c:pt idx="30" formatCode="[$$]#,##0">
                  <c:v>4778.4275000000007</c:v>
                </c:pt>
                <c:pt idx="31" formatCode="[$$]#,##0">
                  <c:v>4778.4275000000007</c:v>
                </c:pt>
                <c:pt idx="32" formatCode="[$$]#,##0">
                  <c:v>4778.4275000000007</c:v>
                </c:pt>
                <c:pt idx="33" formatCode="[$$]#,##0">
                  <c:v>4778.4275000000007</c:v>
                </c:pt>
                <c:pt idx="34" formatCode="[$$]#,##0">
                  <c:v>4778.4275000000007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22-4B0D-B796-A7E5DF381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5211600"/>
        <c:axId val="635211920"/>
      </c:lineChart>
      <c:catAx>
        <c:axId val="635211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211920"/>
        <c:crosses val="autoZero"/>
        <c:auto val="1"/>
        <c:lblAlgn val="ctr"/>
        <c:lblOffset val="100"/>
        <c:noMultiLvlLbl val="0"/>
      </c:catAx>
      <c:valAx>
        <c:axId val="63521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21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Temperature vs Revenue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Regression'!$B$1</c:f>
              <c:strCache>
                <c:ptCount val="1"/>
                <c:pt idx="0">
                  <c:v>Revenue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'Linear Regression'!$C$2:$C$53</c:f>
              <c:numCache>
                <c:formatCode>#,##0.0</c:formatCode>
                <c:ptCount val="52"/>
                <c:pt idx="0">
                  <c:v>39.799999999999997</c:v>
                </c:pt>
                <c:pt idx="1">
                  <c:v>37.299999999999997</c:v>
                </c:pt>
                <c:pt idx="2">
                  <c:v>38.6</c:v>
                </c:pt>
                <c:pt idx="3">
                  <c:v>32.299999999999997</c:v>
                </c:pt>
                <c:pt idx="4">
                  <c:v>34.9</c:v>
                </c:pt>
                <c:pt idx="5">
                  <c:v>38.700000000000003</c:v>
                </c:pt>
                <c:pt idx="6">
                  <c:v>35.1</c:v>
                </c:pt>
                <c:pt idx="7">
                  <c:v>34.4</c:v>
                </c:pt>
                <c:pt idx="8">
                  <c:v>37.9</c:v>
                </c:pt>
                <c:pt idx="9">
                  <c:v>40.6</c:v>
                </c:pt>
                <c:pt idx="10">
                  <c:v>46.1</c:v>
                </c:pt>
                <c:pt idx="11">
                  <c:v>43.6</c:v>
                </c:pt>
                <c:pt idx="12">
                  <c:v>41.9</c:v>
                </c:pt>
                <c:pt idx="13">
                  <c:v>45.1</c:v>
                </c:pt>
                <c:pt idx="14">
                  <c:v>48</c:v>
                </c:pt>
                <c:pt idx="15">
                  <c:v>45.7</c:v>
                </c:pt>
                <c:pt idx="16">
                  <c:v>45</c:v>
                </c:pt>
                <c:pt idx="17">
                  <c:v>50.2</c:v>
                </c:pt>
                <c:pt idx="18">
                  <c:v>50.2</c:v>
                </c:pt>
                <c:pt idx="19">
                  <c:v>52.8</c:v>
                </c:pt>
                <c:pt idx="20">
                  <c:v>55.4</c:v>
                </c:pt>
                <c:pt idx="21">
                  <c:v>61.7</c:v>
                </c:pt>
                <c:pt idx="22">
                  <c:v>64.7</c:v>
                </c:pt>
                <c:pt idx="23">
                  <c:v>67.599999999999994</c:v>
                </c:pt>
                <c:pt idx="24">
                  <c:v>66.3</c:v>
                </c:pt>
                <c:pt idx="25">
                  <c:v>74.400000000000006</c:v>
                </c:pt>
                <c:pt idx="26">
                  <c:v>75.400000000000006</c:v>
                </c:pt>
                <c:pt idx="27">
                  <c:v>77.099999999999994</c:v>
                </c:pt>
                <c:pt idx="28">
                  <c:v>75.400000000000006</c:v>
                </c:pt>
                <c:pt idx="29">
                  <c:v>79.599999999999994</c:v>
                </c:pt>
                <c:pt idx="30">
                  <c:v>80.2</c:v>
                </c:pt>
                <c:pt idx="31">
                  <c:v>75.900000000000006</c:v>
                </c:pt>
                <c:pt idx="32">
                  <c:v>77.3</c:v>
                </c:pt>
                <c:pt idx="33">
                  <c:v>72.7</c:v>
                </c:pt>
                <c:pt idx="34">
                  <c:v>76.7</c:v>
                </c:pt>
                <c:pt idx="35">
                  <c:v>72.7</c:v>
                </c:pt>
                <c:pt idx="36">
                  <c:v>71.7</c:v>
                </c:pt>
                <c:pt idx="37">
                  <c:v>64.5</c:v>
                </c:pt>
                <c:pt idx="38">
                  <c:v>62.5</c:v>
                </c:pt>
                <c:pt idx="39">
                  <c:v>65.5</c:v>
                </c:pt>
                <c:pt idx="40">
                  <c:v>60.9</c:v>
                </c:pt>
                <c:pt idx="41">
                  <c:v>58.1</c:v>
                </c:pt>
                <c:pt idx="42">
                  <c:v>61.1</c:v>
                </c:pt>
                <c:pt idx="43">
                  <c:v>50.2</c:v>
                </c:pt>
                <c:pt idx="44">
                  <c:v>50.4</c:v>
                </c:pt>
                <c:pt idx="45">
                  <c:v>55</c:v>
                </c:pt>
                <c:pt idx="46">
                  <c:v>44.4</c:v>
                </c:pt>
                <c:pt idx="47">
                  <c:v>48.5</c:v>
                </c:pt>
                <c:pt idx="48">
                  <c:v>44.5</c:v>
                </c:pt>
                <c:pt idx="49">
                  <c:v>37.6</c:v>
                </c:pt>
                <c:pt idx="50">
                  <c:v>32.799999999999997</c:v>
                </c:pt>
                <c:pt idx="51">
                  <c:v>35.9</c:v>
                </c:pt>
              </c:numCache>
            </c:numRef>
          </c:xVal>
          <c:yVal>
            <c:numRef>
              <c:f>'Linear Regression'!$B$2:$B$53</c:f>
              <c:numCache>
                <c:formatCode>[$$]#,##0</c:formatCode>
                <c:ptCount val="52"/>
                <c:pt idx="0">
                  <c:v>3302.99</c:v>
                </c:pt>
                <c:pt idx="1">
                  <c:v>2706.27</c:v>
                </c:pt>
                <c:pt idx="2">
                  <c:v>2330.41</c:v>
                </c:pt>
                <c:pt idx="3">
                  <c:v>2351.63</c:v>
                </c:pt>
                <c:pt idx="4">
                  <c:v>2398.48</c:v>
                </c:pt>
                <c:pt idx="5">
                  <c:v>2611.66</c:v>
                </c:pt>
                <c:pt idx="6">
                  <c:v>2557.31</c:v>
                </c:pt>
                <c:pt idx="7">
                  <c:v>3250.96</c:v>
                </c:pt>
                <c:pt idx="8">
                  <c:v>2802.04</c:v>
                </c:pt>
                <c:pt idx="9">
                  <c:v>2881.28</c:v>
                </c:pt>
                <c:pt idx="10">
                  <c:v>2734.97</c:v>
                </c:pt>
                <c:pt idx="11">
                  <c:v>3580.57</c:v>
                </c:pt>
                <c:pt idx="12">
                  <c:v>3581.54</c:v>
                </c:pt>
                <c:pt idx="13">
                  <c:v>2962.99</c:v>
                </c:pt>
                <c:pt idx="14">
                  <c:v>2510.8200000000002</c:v>
                </c:pt>
                <c:pt idx="15">
                  <c:v>2523.34</c:v>
                </c:pt>
                <c:pt idx="16">
                  <c:v>2708.6</c:v>
                </c:pt>
                <c:pt idx="17">
                  <c:v>2459.0300000000002</c:v>
                </c:pt>
                <c:pt idx="18">
                  <c:v>3429.26</c:v>
                </c:pt>
                <c:pt idx="19">
                  <c:v>2707.15</c:v>
                </c:pt>
                <c:pt idx="20">
                  <c:v>2658.95</c:v>
                </c:pt>
                <c:pt idx="21">
                  <c:v>2848.53</c:v>
                </c:pt>
                <c:pt idx="22">
                  <c:v>2801.63</c:v>
                </c:pt>
                <c:pt idx="23">
                  <c:v>4645.67</c:v>
                </c:pt>
                <c:pt idx="24">
                  <c:v>4034.12</c:v>
                </c:pt>
                <c:pt idx="25">
                  <c:v>4510.32</c:v>
                </c:pt>
                <c:pt idx="26">
                  <c:v>4436.8999999999996</c:v>
                </c:pt>
                <c:pt idx="27">
                  <c:v>5427.97</c:v>
                </c:pt>
                <c:pt idx="28">
                  <c:v>4758.76</c:v>
                </c:pt>
                <c:pt idx="29">
                  <c:v>4773.62</c:v>
                </c:pt>
                <c:pt idx="30">
                  <c:v>4866.54</c:v>
                </c:pt>
                <c:pt idx="31">
                  <c:v>4846.53</c:v>
                </c:pt>
                <c:pt idx="32">
                  <c:v>5209.8999999999996</c:v>
                </c:pt>
                <c:pt idx="33">
                  <c:v>4831.16</c:v>
                </c:pt>
                <c:pt idx="34">
                  <c:v>4999.6400000000003</c:v>
                </c:pt>
                <c:pt idx="35">
                  <c:v>4073.66</c:v>
                </c:pt>
                <c:pt idx="36">
                  <c:v>3885.19</c:v>
                </c:pt>
                <c:pt idx="37">
                  <c:v>3395.17</c:v>
                </c:pt>
                <c:pt idx="38">
                  <c:v>3543.52</c:v>
                </c:pt>
                <c:pt idx="39">
                  <c:v>3318.82</c:v>
                </c:pt>
                <c:pt idx="40">
                  <c:v>3439.85</c:v>
                </c:pt>
                <c:pt idx="41">
                  <c:v>3396.71</c:v>
                </c:pt>
                <c:pt idx="42">
                  <c:v>3249.66</c:v>
                </c:pt>
                <c:pt idx="43">
                  <c:v>2931.35</c:v>
                </c:pt>
                <c:pt idx="44">
                  <c:v>3933.05</c:v>
                </c:pt>
                <c:pt idx="45">
                  <c:v>3506.81</c:v>
                </c:pt>
                <c:pt idx="46">
                  <c:v>2818.97</c:v>
                </c:pt>
                <c:pt idx="47">
                  <c:v>3856.38</c:v>
                </c:pt>
                <c:pt idx="48">
                  <c:v>3060.15</c:v>
                </c:pt>
                <c:pt idx="49">
                  <c:v>2761.15</c:v>
                </c:pt>
                <c:pt idx="50">
                  <c:v>2323.12</c:v>
                </c:pt>
                <c:pt idx="51">
                  <c:v>3577.04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FBB-A742-9818-3879F5B50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739802"/>
        <c:axId val="1105736237"/>
      </c:scatterChart>
      <c:valAx>
        <c:axId val="206173980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Temperature</a:t>
                </a:r>
              </a:p>
            </c:rich>
          </c:tx>
          <c:overlay val="0"/>
        </c:title>
        <c:numFmt formatCode="#,##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05736237"/>
        <c:crosses val="autoZero"/>
        <c:crossBetween val="midCat"/>
      </c:valAx>
      <c:valAx>
        <c:axId val="11057362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[$$]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6173980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vs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Correlation!$B$1</c:f>
              <c:strCache>
                <c:ptCount val="1"/>
                <c:pt idx="0">
                  <c:v>Revenue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Correlation!$A$2:$A$53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Correlation!$B$2:$B$53</c:f>
              <c:numCache>
                <c:formatCode>[$$]#,##0</c:formatCode>
                <c:ptCount val="52"/>
                <c:pt idx="0">
                  <c:v>3302.99</c:v>
                </c:pt>
                <c:pt idx="1">
                  <c:v>2706.27</c:v>
                </c:pt>
                <c:pt idx="2">
                  <c:v>2330.41</c:v>
                </c:pt>
                <c:pt idx="3">
                  <c:v>2351.63</c:v>
                </c:pt>
                <c:pt idx="4">
                  <c:v>2398.48</c:v>
                </c:pt>
                <c:pt idx="5">
                  <c:v>2611.66</c:v>
                </c:pt>
                <c:pt idx="6">
                  <c:v>2557.31</c:v>
                </c:pt>
                <c:pt idx="7">
                  <c:v>3250.96</c:v>
                </c:pt>
                <c:pt idx="8">
                  <c:v>2802.04</c:v>
                </c:pt>
                <c:pt idx="9">
                  <c:v>2881.28</c:v>
                </c:pt>
                <c:pt idx="10">
                  <c:v>2734.97</c:v>
                </c:pt>
                <c:pt idx="11">
                  <c:v>3580.57</c:v>
                </c:pt>
                <c:pt idx="12">
                  <c:v>3581.54</c:v>
                </c:pt>
                <c:pt idx="13">
                  <c:v>2962.99</c:v>
                </c:pt>
                <c:pt idx="14">
                  <c:v>2510.8200000000002</c:v>
                </c:pt>
                <c:pt idx="15">
                  <c:v>2523.34</c:v>
                </c:pt>
                <c:pt idx="16">
                  <c:v>2708.6</c:v>
                </c:pt>
                <c:pt idx="17">
                  <c:v>2459.0300000000002</c:v>
                </c:pt>
                <c:pt idx="18">
                  <c:v>3429.26</c:v>
                </c:pt>
                <c:pt idx="19">
                  <c:v>2707.15</c:v>
                </c:pt>
                <c:pt idx="20">
                  <c:v>2658.95</c:v>
                </c:pt>
                <c:pt idx="21">
                  <c:v>2848.53</c:v>
                </c:pt>
                <c:pt idx="22">
                  <c:v>2801.63</c:v>
                </c:pt>
                <c:pt idx="23">
                  <c:v>4645.67</c:v>
                </c:pt>
                <c:pt idx="24">
                  <c:v>4034.12</c:v>
                </c:pt>
                <c:pt idx="25">
                  <c:v>4510.32</c:v>
                </c:pt>
                <c:pt idx="26">
                  <c:v>4436.8999999999996</c:v>
                </c:pt>
                <c:pt idx="27">
                  <c:v>5427.97</c:v>
                </c:pt>
                <c:pt idx="28">
                  <c:v>4758.76</c:v>
                </c:pt>
                <c:pt idx="29">
                  <c:v>4773.62</c:v>
                </c:pt>
                <c:pt idx="30">
                  <c:v>4866.54</c:v>
                </c:pt>
                <c:pt idx="31">
                  <c:v>4846.53</c:v>
                </c:pt>
                <c:pt idx="32">
                  <c:v>5209.8999999999996</c:v>
                </c:pt>
                <c:pt idx="33">
                  <c:v>4831.16</c:v>
                </c:pt>
                <c:pt idx="34">
                  <c:v>4999.6400000000003</c:v>
                </c:pt>
                <c:pt idx="35">
                  <c:v>4073.66</c:v>
                </c:pt>
                <c:pt idx="36">
                  <c:v>3885.19</c:v>
                </c:pt>
                <c:pt idx="37">
                  <c:v>3395.17</c:v>
                </c:pt>
                <c:pt idx="38">
                  <c:v>3543.52</c:v>
                </c:pt>
                <c:pt idx="39">
                  <c:v>3318.82</c:v>
                </c:pt>
                <c:pt idx="40">
                  <c:v>3439.85</c:v>
                </c:pt>
                <c:pt idx="41">
                  <c:v>3396.71</c:v>
                </c:pt>
                <c:pt idx="42">
                  <c:v>3249.66</c:v>
                </c:pt>
                <c:pt idx="43">
                  <c:v>2931.35</c:v>
                </c:pt>
                <c:pt idx="44">
                  <c:v>3933.05</c:v>
                </c:pt>
                <c:pt idx="45">
                  <c:v>3506.81</c:v>
                </c:pt>
                <c:pt idx="46">
                  <c:v>2818.97</c:v>
                </c:pt>
                <c:pt idx="47">
                  <c:v>3856.38</c:v>
                </c:pt>
                <c:pt idx="48">
                  <c:v>3060.15</c:v>
                </c:pt>
                <c:pt idx="49">
                  <c:v>2761.15</c:v>
                </c:pt>
                <c:pt idx="50">
                  <c:v>2323.12</c:v>
                </c:pt>
                <c:pt idx="51">
                  <c:v>3577.04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C-414A-9C94-5C86C2E90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1706840"/>
        <c:axId val="1425240224"/>
      </c:lineChart>
      <c:lineChart>
        <c:grouping val="standard"/>
        <c:varyColors val="0"/>
        <c:ser>
          <c:idx val="1"/>
          <c:order val="1"/>
          <c:tx>
            <c:strRef>
              <c:f>Correlation!$G$1</c:f>
              <c:strCache>
                <c:ptCount val="1"/>
                <c:pt idx="0">
                  <c:v>Temperature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Correlation!$A$2:$A$53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Correlation!$G$2:$G$53</c:f>
              <c:numCache>
                <c:formatCode>#,##0.0</c:formatCode>
                <c:ptCount val="52"/>
                <c:pt idx="0">
                  <c:v>39.799999999999997</c:v>
                </c:pt>
                <c:pt idx="1">
                  <c:v>37.299999999999997</c:v>
                </c:pt>
                <c:pt idx="2">
                  <c:v>38.6</c:v>
                </c:pt>
                <c:pt idx="3">
                  <c:v>32.299999999999997</c:v>
                </c:pt>
                <c:pt idx="4">
                  <c:v>34.9</c:v>
                </c:pt>
                <c:pt idx="5">
                  <c:v>38.700000000000003</c:v>
                </c:pt>
                <c:pt idx="6">
                  <c:v>35.1</c:v>
                </c:pt>
                <c:pt idx="7">
                  <c:v>34.4</c:v>
                </c:pt>
                <c:pt idx="8">
                  <c:v>37.9</c:v>
                </c:pt>
                <c:pt idx="9">
                  <c:v>40.6</c:v>
                </c:pt>
                <c:pt idx="10">
                  <c:v>46.1</c:v>
                </c:pt>
                <c:pt idx="11">
                  <c:v>43.6</c:v>
                </c:pt>
                <c:pt idx="12">
                  <c:v>41.9</c:v>
                </c:pt>
                <c:pt idx="13">
                  <c:v>45.1</c:v>
                </c:pt>
                <c:pt idx="14">
                  <c:v>48</c:v>
                </c:pt>
                <c:pt idx="15">
                  <c:v>45.7</c:v>
                </c:pt>
                <c:pt idx="16">
                  <c:v>45</c:v>
                </c:pt>
                <c:pt idx="17">
                  <c:v>50.2</c:v>
                </c:pt>
                <c:pt idx="18">
                  <c:v>50.2</c:v>
                </c:pt>
                <c:pt idx="19">
                  <c:v>52.8</c:v>
                </c:pt>
                <c:pt idx="20">
                  <c:v>55.4</c:v>
                </c:pt>
                <c:pt idx="21">
                  <c:v>61.7</c:v>
                </c:pt>
                <c:pt idx="22">
                  <c:v>64.7</c:v>
                </c:pt>
                <c:pt idx="23">
                  <c:v>67.599999999999994</c:v>
                </c:pt>
                <c:pt idx="24">
                  <c:v>66.3</c:v>
                </c:pt>
                <c:pt idx="25">
                  <c:v>74.400000000000006</c:v>
                </c:pt>
                <c:pt idx="26">
                  <c:v>75.400000000000006</c:v>
                </c:pt>
                <c:pt idx="27">
                  <c:v>77.099999999999994</c:v>
                </c:pt>
                <c:pt idx="28">
                  <c:v>75.400000000000006</c:v>
                </c:pt>
                <c:pt idx="29">
                  <c:v>79.599999999999994</c:v>
                </c:pt>
                <c:pt idx="30">
                  <c:v>80.2</c:v>
                </c:pt>
                <c:pt idx="31">
                  <c:v>75.900000000000006</c:v>
                </c:pt>
                <c:pt idx="32">
                  <c:v>77.3</c:v>
                </c:pt>
                <c:pt idx="33">
                  <c:v>72.7</c:v>
                </c:pt>
                <c:pt idx="34">
                  <c:v>76.7</c:v>
                </c:pt>
                <c:pt idx="35">
                  <c:v>72.7</c:v>
                </c:pt>
                <c:pt idx="36">
                  <c:v>71.7</c:v>
                </c:pt>
                <c:pt idx="37">
                  <c:v>64.5</c:v>
                </c:pt>
                <c:pt idx="38">
                  <c:v>62.5</c:v>
                </c:pt>
                <c:pt idx="39">
                  <c:v>65.5</c:v>
                </c:pt>
                <c:pt idx="40">
                  <c:v>60.9</c:v>
                </c:pt>
                <c:pt idx="41">
                  <c:v>58.1</c:v>
                </c:pt>
                <c:pt idx="42">
                  <c:v>61.1</c:v>
                </c:pt>
                <c:pt idx="43">
                  <c:v>50.2</c:v>
                </c:pt>
                <c:pt idx="44">
                  <c:v>50.4</c:v>
                </c:pt>
                <c:pt idx="45">
                  <c:v>55</c:v>
                </c:pt>
                <c:pt idx="46">
                  <c:v>44.4</c:v>
                </c:pt>
                <c:pt idx="47">
                  <c:v>48.5</c:v>
                </c:pt>
                <c:pt idx="48">
                  <c:v>44.5</c:v>
                </c:pt>
                <c:pt idx="49">
                  <c:v>37.6</c:v>
                </c:pt>
                <c:pt idx="50">
                  <c:v>32.799999999999997</c:v>
                </c:pt>
                <c:pt idx="51">
                  <c:v>35.9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7C-414A-9C94-5C86C2E90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0844247"/>
        <c:axId val="615625756"/>
      </c:lineChart>
      <c:catAx>
        <c:axId val="261706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240224"/>
        <c:crosses val="autoZero"/>
        <c:auto val="1"/>
        <c:lblAlgn val="ctr"/>
        <c:lblOffset val="100"/>
        <c:noMultiLvlLbl val="1"/>
      </c:catAx>
      <c:valAx>
        <c:axId val="14252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CCCCCC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706840"/>
        <c:crosses val="autoZero"/>
        <c:crossBetween val="between"/>
      </c:valAx>
      <c:catAx>
        <c:axId val="7508442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15625756"/>
        <c:crosses val="autoZero"/>
        <c:auto val="1"/>
        <c:lblAlgn val="ctr"/>
        <c:lblOffset val="100"/>
        <c:noMultiLvlLbl val="1"/>
      </c:catAx>
      <c:valAx>
        <c:axId val="61562575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844247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vs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'Multiple Regression'!$B$1</c:f>
              <c:strCache>
                <c:ptCount val="1"/>
                <c:pt idx="0">
                  <c:v>Revenue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'Multiple Regression'!$A$2:$A$53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'Multiple Regression'!$B$2:$B$53</c:f>
              <c:numCache>
                <c:formatCode>[$$]#,##0</c:formatCode>
                <c:ptCount val="52"/>
                <c:pt idx="0">
                  <c:v>3302.99</c:v>
                </c:pt>
                <c:pt idx="1">
                  <c:v>2706.27</c:v>
                </c:pt>
                <c:pt idx="2">
                  <c:v>2330.41</c:v>
                </c:pt>
                <c:pt idx="3">
                  <c:v>2351.63</c:v>
                </c:pt>
                <c:pt idx="4">
                  <c:v>2398.48</c:v>
                </c:pt>
                <c:pt idx="5">
                  <c:v>2611.66</c:v>
                </c:pt>
                <c:pt idx="6">
                  <c:v>2557.31</c:v>
                </c:pt>
                <c:pt idx="7">
                  <c:v>3250.96</c:v>
                </c:pt>
                <c:pt idx="8">
                  <c:v>2802.04</c:v>
                </c:pt>
                <c:pt idx="9">
                  <c:v>2881.28</c:v>
                </c:pt>
                <c:pt idx="10">
                  <c:v>2734.97</c:v>
                </c:pt>
                <c:pt idx="11">
                  <c:v>3580.57</c:v>
                </c:pt>
                <c:pt idx="12">
                  <c:v>3581.54</c:v>
                </c:pt>
                <c:pt idx="13">
                  <c:v>2962.99</c:v>
                </c:pt>
                <c:pt idx="14">
                  <c:v>2510.8200000000002</c:v>
                </c:pt>
                <c:pt idx="15">
                  <c:v>2523.34</c:v>
                </c:pt>
                <c:pt idx="16">
                  <c:v>2708.6</c:v>
                </c:pt>
                <c:pt idx="17">
                  <c:v>2459.0300000000002</c:v>
                </c:pt>
                <c:pt idx="18">
                  <c:v>3429.26</c:v>
                </c:pt>
                <c:pt idx="19">
                  <c:v>2707.15</c:v>
                </c:pt>
                <c:pt idx="20">
                  <c:v>2658.95</c:v>
                </c:pt>
                <c:pt idx="21">
                  <c:v>2848.53</c:v>
                </c:pt>
                <c:pt idx="22">
                  <c:v>2801.63</c:v>
                </c:pt>
                <c:pt idx="23">
                  <c:v>4645.67</c:v>
                </c:pt>
                <c:pt idx="24">
                  <c:v>4034.12</c:v>
                </c:pt>
                <c:pt idx="25">
                  <c:v>4510.32</c:v>
                </c:pt>
                <c:pt idx="26">
                  <c:v>4436.8999999999996</c:v>
                </c:pt>
                <c:pt idx="27">
                  <c:v>5427.97</c:v>
                </c:pt>
                <c:pt idx="28">
                  <c:v>4758.76</c:v>
                </c:pt>
                <c:pt idx="29">
                  <c:v>4773.62</c:v>
                </c:pt>
                <c:pt idx="30">
                  <c:v>4866.54</c:v>
                </c:pt>
                <c:pt idx="31">
                  <c:v>4846.53</c:v>
                </c:pt>
                <c:pt idx="32">
                  <c:v>5209.8999999999996</c:v>
                </c:pt>
                <c:pt idx="33">
                  <c:v>4831.16</c:v>
                </c:pt>
                <c:pt idx="34">
                  <c:v>4999.6400000000003</c:v>
                </c:pt>
                <c:pt idx="35">
                  <c:v>4073.66</c:v>
                </c:pt>
                <c:pt idx="36">
                  <c:v>3885.19</c:v>
                </c:pt>
                <c:pt idx="37">
                  <c:v>3395.17</c:v>
                </c:pt>
                <c:pt idx="38">
                  <c:v>3543.52</c:v>
                </c:pt>
                <c:pt idx="39">
                  <c:v>3318.82</c:v>
                </c:pt>
                <c:pt idx="40">
                  <c:v>3439.85</c:v>
                </c:pt>
                <c:pt idx="41">
                  <c:v>3396.71</c:v>
                </c:pt>
                <c:pt idx="42">
                  <c:v>3249.66</c:v>
                </c:pt>
                <c:pt idx="43">
                  <c:v>2931.35</c:v>
                </c:pt>
                <c:pt idx="44">
                  <c:v>3933.05</c:v>
                </c:pt>
                <c:pt idx="45">
                  <c:v>3506.81</c:v>
                </c:pt>
                <c:pt idx="46">
                  <c:v>2818.97</c:v>
                </c:pt>
                <c:pt idx="47">
                  <c:v>3856.38</c:v>
                </c:pt>
                <c:pt idx="48">
                  <c:v>3060.15</c:v>
                </c:pt>
                <c:pt idx="49">
                  <c:v>2761.15</c:v>
                </c:pt>
                <c:pt idx="50">
                  <c:v>2323.12</c:v>
                </c:pt>
                <c:pt idx="51">
                  <c:v>3577.04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64-3B40-B27C-3FBADAD030FC}"/>
            </c:ext>
          </c:extLst>
        </c:ser>
        <c:ser>
          <c:idx val="1"/>
          <c:order val="1"/>
          <c:tx>
            <c:strRef>
              <c:f>'Multiple Regression'!$T$1</c:f>
              <c:strCache>
                <c:ptCount val="1"/>
                <c:pt idx="0">
                  <c:v>Predicted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'Multiple Regression'!$A$2:$A$53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'Multiple Regression'!$T$2:$T$53</c:f>
              <c:numCache>
                <c:formatCode>[$$]#,##0</c:formatCode>
                <c:ptCount val="52"/>
                <c:pt idx="0">
                  <c:v>3420.6547622928538</c:v>
                </c:pt>
                <c:pt idx="1">
                  <c:v>2547.4356494344524</c:v>
                </c:pt>
                <c:pt idx="2">
                  <c:v>2583.3204058923839</c:v>
                </c:pt>
                <c:pt idx="3">
                  <c:v>2409.4173553654873</c:v>
                </c:pt>
                <c:pt idx="4">
                  <c:v>2509.0857983506203</c:v>
                </c:pt>
                <c:pt idx="5">
                  <c:v>2613.9797018430336</c:v>
                </c:pt>
                <c:pt idx="6">
                  <c:v>2514.606530113379</c:v>
                </c:pt>
                <c:pt idx="7">
                  <c:v>3299.4939347676418</c:v>
                </c:pt>
                <c:pt idx="8">
                  <c:v>2591.8967747919992</c:v>
                </c:pt>
                <c:pt idx="9">
                  <c:v>2680.3761186238762</c:v>
                </c:pt>
                <c:pt idx="10">
                  <c:v>2832.1962420997379</c:v>
                </c:pt>
                <c:pt idx="11">
                  <c:v>3567.3970608891736</c:v>
                </c:pt>
                <c:pt idx="12">
                  <c:v>3520.4708409057257</c:v>
                </c:pt>
                <c:pt idx="13">
                  <c:v>2804.5925832859448</c:v>
                </c:pt>
                <c:pt idx="14">
                  <c:v>2884.6431938459446</c:v>
                </c:pt>
                <c:pt idx="15">
                  <c:v>2445.1921318293007</c:v>
                </c:pt>
                <c:pt idx="16">
                  <c:v>2425.8695706596454</c:v>
                </c:pt>
                <c:pt idx="17">
                  <c:v>2583.3580615260053</c:v>
                </c:pt>
                <c:pt idx="18">
                  <c:v>3387.5680273499233</c:v>
                </c:pt>
                <c:pt idx="19">
                  <c:v>2655.1275744418667</c:v>
                </c:pt>
                <c:pt idx="20">
                  <c:v>2726.8970873577291</c:v>
                </c:pt>
                <c:pt idx="21">
                  <c:v>2900.8001378846252</c:v>
                </c:pt>
                <c:pt idx="22">
                  <c:v>2983.6111143260046</c:v>
                </c:pt>
                <c:pt idx="23">
                  <c:v>4822.9958641945468</c:v>
                </c:pt>
                <c:pt idx="24">
                  <c:v>3982.9011419126969</c:v>
                </c:pt>
                <c:pt idx="25">
                  <c:v>4466.1970660662737</c:v>
                </c:pt>
                <c:pt idx="26">
                  <c:v>4521.6996549493379</c:v>
                </c:pt>
                <c:pt idx="27">
                  <c:v>5372.835840756703</c:v>
                </c:pt>
                <c:pt idx="28">
                  <c:v>4521.6996549493379</c:v>
                </c:pt>
                <c:pt idx="29">
                  <c:v>4897.3413097291213</c:v>
                </c:pt>
                <c:pt idx="30">
                  <c:v>4913.903505017397</c:v>
                </c:pt>
                <c:pt idx="31">
                  <c:v>4767.3088420488157</c:v>
                </c:pt>
                <c:pt idx="32">
                  <c:v>5332.3016698310148</c:v>
                </c:pt>
                <c:pt idx="33">
                  <c:v>4815.765407644787</c:v>
                </c:pt>
                <c:pt idx="34">
                  <c:v>4926.1800428999595</c:v>
                </c:pt>
                <c:pt idx="35">
                  <c:v>3860.6412341601635</c:v>
                </c:pt>
                <c:pt idx="36">
                  <c:v>3833.0375753463704</c:v>
                </c:pt>
                <c:pt idx="37">
                  <c:v>3504.438088006134</c:v>
                </c:pt>
                <c:pt idx="38">
                  <c:v>3449.2307703785477</c:v>
                </c:pt>
                <c:pt idx="39">
                  <c:v>3532.0417468199271</c:v>
                </c:pt>
                <c:pt idx="40">
                  <c:v>3391.1154512418434</c:v>
                </c:pt>
                <c:pt idx="41">
                  <c:v>3313.8252065632232</c:v>
                </c:pt>
                <c:pt idx="42">
                  <c:v>3396.6361830046026</c:v>
                </c:pt>
                <c:pt idx="43">
                  <c:v>3095.7563019342579</c:v>
                </c:pt>
                <c:pt idx="44">
                  <c:v>3891.5375344862991</c:v>
                </c:pt>
                <c:pt idx="45">
                  <c:v>3214.3043992058292</c:v>
                </c:pt>
                <c:pt idx="46">
                  <c:v>2921.7056157796223</c:v>
                </c:pt>
                <c:pt idx="47">
                  <c:v>3839.0905827400925</c:v>
                </c:pt>
                <c:pt idx="48">
                  <c:v>2896.5670515917309</c:v>
                </c:pt>
                <c:pt idx="49">
                  <c:v>2706.1018057765586</c:v>
                </c:pt>
                <c:pt idx="50">
                  <c:v>2573.6042434703518</c:v>
                </c:pt>
                <c:pt idx="51">
                  <c:v>3463.3855516170288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64-3B40-B27C-3FBADAD03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259277"/>
        <c:axId val="2117559402"/>
      </c:lineChart>
      <c:catAx>
        <c:axId val="63325927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559402"/>
        <c:crosses val="autoZero"/>
        <c:auto val="1"/>
        <c:lblAlgn val="ctr"/>
        <c:lblOffset val="100"/>
        <c:noMultiLvlLbl val="1"/>
      </c:catAx>
      <c:valAx>
        <c:axId val="211755940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25927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Error %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'Multiple Regression'!$AC$1</c:f>
              <c:strCache>
                <c:ptCount val="1"/>
                <c:pt idx="0">
                  <c:v>Error %</c:v>
                </c:pt>
              </c:strCache>
            </c:strRef>
          </c:tx>
          <c:spPr>
            <a:solidFill>
              <a:srgbClr val="FF00FF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'Multiple Regression'!$AC$2:$AC$53</c:f>
              <c:numCache>
                <c:formatCode>0.00%</c:formatCode>
                <c:ptCount val="52"/>
                <c:pt idx="0">
                  <c:v>3.5623711332112416E-2</c:v>
                </c:pt>
                <c:pt idx="1">
                  <c:v>-5.8691243137435491E-2</c:v>
                </c:pt>
                <c:pt idx="2">
                  <c:v>0.10852614170570159</c:v>
                </c:pt>
                <c:pt idx="3">
                  <c:v>2.4573319512630473E-2</c:v>
                </c:pt>
                <c:pt idx="4">
                  <c:v>4.6114955451210873E-2</c:v>
                </c:pt>
                <c:pt idx="5">
                  <c:v>8.8820973749788518E-4</c:v>
                </c:pt>
                <c:pt idx="6">
                  <c:v>-1.6698589489198005E-2</c:v>
                </c:pt>
                <c:pt idx="7">
                  <c:v>1.4929108561053278E-2</c:v>
                </c:pt>
                <c:pt idx="8">
                  <c:v>-7.4996511544446476E-2</c:v>
                </c:pt>
                <c:pt idx="9">
                  <c:v>-6.9727302232384214E-2</c:v>
                </c:pt>
                <c:pt idx="10">
                  <c:v>3.5549290156651848E-2</c:v>
                </c:pt>
                <c:pt idx="11">
                  <c:v>-3.6790061668467641E-3</c:v>
                </c:pt>
                <c:pt idx="12">
                  <c:v>-1.7051089501799298E-2</c:v>
                </c:pt>
                <c:pt idx="13">
                  <c:v>-5.3458640330900545E-2</c:v>
                </c:pt>
                <c:pt idx="14">
                  <c:v>0.14888490367527119</c:v>
                </c:pt>
                <c:pt idx="15">
                  <c:v>-3.0970011243312213E-2</c:v>
                </c:pt>
                <c:pt idx="16">
                  <c:v>-0.10438249624911559</c:v>
                </c:pt>
                <c:pt idx="17">
                  <c:v>5.0559798589689856E-2</c:v>
                </c:pt>
                <c:pt idx="18">
                  <c:v>-1.2157717014771955E-2</c:v>
                </c:pt>
                <c:pt idx="19">
                  <c:v>-1.9216676415467693E-2</c:v>
                </c:pt>
                <c:pt idx="20">
                  <c:v>2.5554104950348554E-2</c:v>
                </c:pt>
                <c:pt idx="21">
                  <c:v>1.834986392441891E-2</c:v>
                </c:pt>
                <c:pt idx="22">
                  <c:v>6.4955441769971214E-2</c:v>
                </c:pt>
                <c:pt idx="23">
                  <c:v>3.817013782609327E-2</c:v>
                </c:pt>
                <c:pt idx="24">
                  <c:v>-1.2696414109471962E-2</c:v>
                </c:pt>
                <c:pt idx="25">
                  <c:v>-9.7826615259507133E-3</c:v>
                </c:pt>
                <c:pt idx="26">
                  <c:v>1.9112365604214254E-2</c:v>
                </c:pt>
                <c:pt idx="27">
                  <c:v>-1.0157417827161404E-2</c:v>
                </c:pt>
                <c:pt idx="28">
                  <c:v>-4.9815570663505275E-2</c:v>
                </c:pt>
                <c:pt idx="29">
                  <c:v>2.5917712287346177E-2</c:v>
                </c:pt>
                <c:pt idx="30">
                  <c:v>9.7324803695021667E-3</c:v>
                </c:pt>
                <c:pt idx="31">
                  <c:v>-1.6345954311885839E-2</c:v>
                </c:pt>
                <c:pt idx="32">
                  <c:v>2.3494053596233168E-2</c:v>
                </c:pt>
                <c:pt idx="33">
                  <c:v>-3.1865209091010874E-3</c:v>
                </c:pt>
                <c:pt idx="34">
                  <c:v>-1.4693049319559169E-2</c:v>
                </c:pt>
                <c:pt idx="35">
                  <c:v>-5.2291739084714066E-2</c:v>
                </c:pt>
                <c:pt idx="36">
                  <c:v>-1.3423391044872869E-2</c:v>
                </c:pt>
                <c:pt idx="37">
                  <c:v>3.2183392291441633E-2</c:v>
                </c:pt>
                <c:pt idx="38">
                  <c:v>-2.6608917015129661E-2</c:v>
                </c:pt>
                <c:pt idx="39">
                  <c:v>6.4246252228179562E-2</c:v>
                </c:pt>
                <c:pt idx="40">
                  <c:v>-1.416763776273864E-2</c:v>
                </c:pt>
                <c:pt idx="41">
                  <c:v>-2.4401492454986389E-2</c:v>
                </c:pt>
                <c:pt idx="42">
                  <c:v>4.5228172487153342E-2</c:v>
                </c:pt>
                <c:pt idx="43">
                  <c:v>5.6085524394650234E-2</c:v>
                </c:pt>
                <c:pt idx="44">
                  <c:v>-1.0554776957755696E-2</c:v>
                </c:pt>
                <c:pt idx="45">
                  <c:v>-8.3410735339003464E-2</c:v>
                </c:pt>
                <c:pt idx="46">
                  <c:v>3.6444380670820391E-2</c:v>
                </c:pt>
                <c:pt idx="47">
                  <c:v>-4.4833282145192183E-3</c:v>
                </c:pt>
                <c:pt idx="48">
                  <c:v>-5.3455859486714441E-2</c:v>
                </c:pt>
                <c:pt idx="49">
                  <c:v>-1.9936690952480466E-2</c:v>
                </c:pt>
                <c:pt idx="50">
                  <c:v>0.10782234386099379</c:v>
                </c:pt>
                <c:pt idx="51">
                  <c:v>-3.1773323301660356E-2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47E-8E4F-A014-76D288738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6068136"/>
        <c:axId val="1766354084"/>
      </c:barChart>
      <c:catAx>
        <c:axId val="1366068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66354084"/>
        <c:crosses val="autoZero"/>
        <c:auto val="1"/>
        <c:lblAlgn val="ctr"/>
        <c:lblOffset val="100"/>
        <c:noMultiLvlLbl val="1"/>
      </c:catAx>
      <c:valAx>
        <c:axId val="17663540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Error %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606813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 rt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'Multiple Regression'!$J$28:$P$28</c:f>
              <c:strCache>
                <c:ptCount val="7"/>
                <c:pt idx="0">
                  <c:v>Newspaper Ads</c:v>
                </c:pt>
                <c:pt idx="1">
                  <c:v>Search Ads</c:v>
                </c:pt>
                <c:pt idx="2">
                  <c:v>Social Ads</c:v>
                </c:pt>
                <c:pt idx="3">
                  <c:v>Price Change</c:v>
                </c:pt>
                <c:pt idx="4">
                  <c:v>Temperature</c:v>
                </c:pt>
                <c:pt idx="5">
                  <c:v>Holiday</c:v>
                </c:pt>
                <c:pt idx="6">
                  <c:v>Baseline</c:v>
                </c:pt>
              </c:strCache>
            </c:strRef>
          </c:cat>
          <c:val>
            <c:numRef>
              <c:f>'Multiple Regression'!$J$30:$P$30</c:f>
              <c:numCache>
                <c:formatCode>0.00%</c:formatCode>
                <c:ptCount val="7"/>
                <c:pt idx="0">
                  <c:v>6.0252285301001907E-2</c:v>
                </c:pt>
                <c:pt idx="1">
                  <c:v>1.5887760969555915E-2</c:v>
                </c:pt>
                <c:pt idx="2">
                  <c:v>2.0299506380002715E-2</c:v>
                </c:pt>
                <c:pt idx="3">
                  <c:v>-1.8891314796999726E-2</c:v>
                </c:pt>
                <c:pt idx="4">
                  <c:v>0.43689731121085379</c:v>
                </c:pt>
                <c:pt idx="5">
                  <c:v>4.489980220346422E-2</c:v>
                </c:pt>
                <c:pt idx="6">
                  <c:v>0.44065464873212123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969-CC4E-81D6-AB4F73A10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1992854"/>
        <c:axId val="26261260"/>
      </c:barChart>
      <c:catAx>
        <c:axId val="165199285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6261260"/>
        <c:crosses val="autoZero"/>
        <c:auto val="1"/>
        <c:lblAlgn val="ctr"/>
        <c:lblOffset val="100"/>
        <c:noMultiLvlLbl val="1"/>
      </c:catAx>
      <c:valAx>
        <c:axId val="2626126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51992854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1"/>
        <c:ser>
          <c:idx val="0"/>
          <c:order val="0"/>
          <c:tx>
            <c:strRef>
              <c:f>'Multiple Regression'!$U$1</c:f>
              <c:strCache>
                <c:ptCount val="1"/>
                <c:pt idx="0">
                  <c:v>Newspaper Ads</c:v>
                </c:pt>
              </c:strCache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numRef>
              <c:f>'Multiple Regression'!$S$2:$S$53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'Multiple Regression'!$U$2:$U$53</c:f>
              <c:numCache>
                <c:formatCode>[$$]#,##0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899.32631334608186</c:v>
                </c:pt>
                <c:pt idx="24">
                  <c:v>899.32631334608186</c:v>
                </c:pt>
                <c:pt idx="25">
                  <c:v>899.32631334608186</c:v>
                </c:pt>
                <c:pt idx="26">
                  <c:v>899.32631334608186</c:v>
                </c:pt>
                <c:pt idx="27">
                  <c:v>899.32631334608186</c:v>
                </c:pt>
                <c:pt idx="28">
                  <c:v>899.32631334608186</c:v>
                </c:pt>
                <c:pt idx="29">
                  <c:v>899.32631334608186</c:v>
                </c:pt>
                <c:pt idx="30">
                  <c:v>899.32631334608186</c:v>
                </c:pt>
                <c:pt idx="31">
                  <c:v>899.32631334608186</c:v>
                </c:pt>
                <c:pt idx="32">
                  <c:v>899.32631334608186</c:v>
                </c:pt>
                <c:pt idx="33">
                  <c:v>899.32631334608186</c:v>
                </c:pt>
                <c:pt idx="34">
                  <c:v>899.32631334608186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B0-6548-A78A-0D183DE75302}"/>
            </c:ext>
          </c:extLst>
        </c:ser>
        <c:ser>
          <c:idx val="1"/>
          <c:order val="1"/>
          <c:tx>
            <c:strRef>
              <c:f>'Multiple Regression'!$V$1</c:f>
              <c:strCache>
                <c:ptCount val="1"/>
                <c:pt idx="0">
                  <c:v>Search Ads</c:v>
                </c:pt>
              </c:strCache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numRef>
              <c:f>'Multiple Regression'!$S$2:$S$53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'Multiple Regression'!$V$2:$V$53</c:f>
              <c:numCache>
                <c:formatCode>[$$]#,##0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27.898930069270897</c:v>
                </c:pt>
                <c:pt idx="5">
                  <c:v>27.898930069270897</c:v>
                </c:pt>
                <c:pt idx="6">
                  <c:v>27.898930069270897</c:v>
                </c:pt>
                <c:pt idx="7">
                  <c:v>27.898930069270897</c:v>
                </c:pt>
                <c:pt idx="8">
                  <c:v>27.898930069270897</c:v>
                </c:pt>
                <c:pt idx="9">
                  <c:v>41.848395103906348</c:v>
                </c:pt>
                <c:pt idx="10">
                  <c:v>41.848395103906348</c:v>
                </c:pt>
                <c:pt idx="11">
                  <c:v>41.848395103906348</c:v>
                </c:pt>
                <c:pt idx="12">
                  <c:v>41.848395103906348</c:v>
                </c:pt>
                <c:pt idx="13">
                  <c:v>41.848395103906348</c:v>
                </c:pt>
                <c:pt idx="14">
                  <c:v>41.848395103906348</c:v>
                </c:pt>
                <c:pt idx="15">
                  <c:v>41.848395103906348</c:v>
                </c:pt>
                <c:pt idx="16">
                  <c:v>41.848395103906348</c:v>
                </c:pt>
                <c:pt idx="17">
                  <c:v>55.797860138541793</c:v>
                </c:pt>
                <c:pt idx="18">
                  <c:v>55.797860138541793</c:v>
                </c:pt>
                <c:pt idx="19">
                  <c:v>55.797860138541793</c:v>
                </c:pt>
                <c:pt idx="20">
                  <c:v>55.797860138541793</c:v>
                </c:pt>
                <c:pt idx="21">
                  <c:v>55.797860138541793</c:v>
                </c:pt>
                <c:pt idx="22">
                  <c:v>55.797860138541793</c:v>
                </c:pt>
                <c:pt idx="23">
                  <c:v>111.59572027708359</c:v>
                </c:pt>
                <c:pt idx="24">
                  <c:v>111.59572027708359</c:v>
                </c:pt>
                <c:pt idx="25">
                  <c:v>111.59572027708359</c:v>
                </c:pt>
                <c:pt idx="26">
                  <c:v>139.49465034635449</c:v>
                </c:pt>
                <c:pt idx="27">
                  <c:v>139.49465034635449</c:v>
                </c:pt>
                <c:pt idx="28">
                  <c:v>139.49465034635449</c:v>
                </c:pt>
                <c:pt idx="29">
                  <c:v>139.49465034635449</c:v>
                </c:pt>
                <c:pt idx="30">
                  <c:v>139.49465034635449</c:v>
                </c:pt>
                <c:pt idx="31">
                  <c:v>111.59572027708359</c:v>
                </c:pt>
                <c:pt idx="32">
                  <c:v>111.59572027708359</c:v>
                </c:pt>
                <c:pt idx="33">
                  <c:v>111.59572027708359</c:v>
                </c:pt>
                <c:pt idx="34">
                  <c:v>111.59572027708359</c:v>
                </c:pt>
                <c:pt idx="35">
                  <c:v>55.797860138541793</c:v>
                </c:pt>
                <c:pt idx="36">
                  <c:v>55.797860138541793</c:v>
                </c:pt>
                <c:pt idx="37">
                  <c:v>55.797860138541793</c:v>
                </c:pt>
                <c:pt idx="38">
                  <c:v>55.797860138541793</c:v>
                </c:pt>
                <c:pt idx="39">
                  <c:v>55.797860138541793</c:v>
                </c:pt>
                <c:pt idx="40">
                  <c:v>41.848395103906348</c:v>
                </c:pt>
                <c:pt idx="41">
                  <c:v>41.848395103906348</c:v>
                </c:pt>
                <c:pt idx="42">
                  <c:v>41.848395103906348</c:v>
                </c:pt>
                <c:pt idx="43">
                  <c:v>41.848395103906348</c:v>
                </c:pt>
                <c:pt idx="44">
                  <c:v>27.898930069270897</c:v>
                </c:pt>
                <c:pt idx="45">
                  <c:v>27.898930069270897</c:v>
                </c:pt>
                <c:pt idx="46">
                  <c:v>27.898930069270897</c:v>
                </c:pt>
                <c:pt idx="47">
                  <c:v>27.898930069270897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B0-6548-A78A-0D183DE75302}"/>
            </c:ext>
          </c:extLst>
        </c:ser>
        <c:ser>
          <c:idx val="2"/>
          <c:order val="2"/>
          <c:tx>
            <c:strRef>
              <c:f>'Multiple Regression'!$W$1</c:f>
              <c:strCache>
                <c:ptCount val="1"/>
                <c:pt idx="0">
                  <c:v>Social Ads</c:v>
                </c:pt>
              </c:strCache>
            </c:strRef>
          </c:tx>
          <c:spPr>
            <a:solidFill>
              <a:srgbClr val="FBBC04">
                <a:alpha val="30000"/>
              </a:srgbClr>
            </a:solidFill>
            <a:ln cmpd="sng">
              <a:solidFill>
                <a:srgbClr val="FBBC04"/>
              </a:solidFill>
            </a:ln>
          </c:spPr>
          <c:cat>
            <c:numRef>
              <c:f>'Multiple Regression'!$S$2:$S$53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'Multiple Regression'!$W$2:$W$53</c:f>
              <c:numCache>
                <c:formatCode>[$$]#,##0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259.70628776185259</c:v>
                </c:pt>
                <c:pt idx="26">
                  <c:v>259.70628776185259</c:v>
                </c:pt>
                <c:pt idx="27">
                  <c:v>259.70628776185259</c:v>
                </c:pt>
                <c:pt idx="28">
                  <c:v>259.70628776185259</c:v>
                </c:pt>
                <c:pt idx="29">
                  <c:v>519.41257552370519</c:v>
                </c:pt>
                <c:pt idx="30">
                  <c:v>519.41257552370519</c:v>
                </c:pt>
                <c:pt idx="31">
                  <c:v>519.41257552370519</c:v>
                </c:pt>
                <c:pt idx="32">
                  <c:v>519.41257552370519</c:v>
                </c:pt>
                <c:pt idx="33">
                  <c:v>129.8531438809263</c:v>
                </c:pt>
                <c:pt idx="34">
                  <c:v>129.8531438809263</c:v>
                </c:pt>
                <c:pt idx="35">
                  <c:v>129.8531438809263</c:v>
                </c:pt>
                <c:pt idx="36">
                  <c:v>129.8531438809263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B0-6548-A78A-0D183DE75302}"/>
            </c:ext>
          </c:extLst>
        </c:ser>
        <c:ser>
          <c:idx val="3"/>
          <c:order val="3"/>
          <c:tx>
            <c:strRef>
              <c:f>'Multiple Regression'!$X$1</c:f>
              <c:strCache>
                <c:ptCount val="1"/>
                <c:pt idx="0">
                  <c:v>Price Change</c:v>
                </c:pt>
              </c:strCache>
            </c:strRef>
          </c:tx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numRef>
              <c:f>'Multiple Regression'!$S$2:$S$53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'Multiple Regression'!$X$2:$X$53</c:f>
              <c:numCache>
                <c:formatCode>[$$]#,##0.00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-375.96264674492022</c:v>
                </c:pt>
                <c:pt idx="16">
                  <c:v>-375.96264674492022</c:v>
                </c:pt>
                <c:pt idx="17">
                  <c:v>-375.96264674492022</c:v>
                </c:pt>
                <c:pt idx="18">
                  <c:v>-375.96264674492022</c:v>
                </c:pt>
                <c:pt idx="19">
                  <c:v>-375.96264674492022</c:v>
                </c:pt>
                <c:pt idx="20">
                  <c:v>-375.96264674492022</c:v>
                </c:pt>
                <c:pt idx="21">
                  <c:v>-375.96264674492022</c:v>
                </c:pt>
                <c:pt idx="22">
                  <c:v>-375.96264674492022</c:v>
                </c:pt>
                <c:pt idx="23">
                  <c:v>-375.96264674492022</c:v>
                </c:pt>
                <c:pt idx="24">
                  <c:v>-375.96264674492022</c:v>
                </c:pt>
                <c:pt idx="25">
                  <c:v>-375.96264674492022</c:v>
                </c:pt>
                <c:pt idx="26">
                  <c:v>-375.96264674492022</c:v>
                </c:pt>
                <c:pt idx="27">
                  <c:v>-375.96264674492022</c:v>
                </c:pt>
                <c:pt idx="28">
                  <c:v>-375.96264674492022</c:v>
                </c:pt>
                <c:pt idx="29">
                  <c:v>-375.96264674492022</c:v>
                </c:pt>
                <c:pt idx="30">
                  <c:v>-375.96264674492022</c:v>
                </c:pt>
                <c:pt idx="31">
                  <c:v>-375.96264674492022</c:v>
                </c:pt>
                <c:pt idx="32">
                  <c:v>150.38505869796811</c:v>
                </c:pt>
                <c:pt idx="33">
                  <c:v>150.38505869796811</c:v>
                </c:pt>
                <c:pt idx="34">
                  <c:v>150.38505869796811</c:v>
                </c:pt>
                <c:pt idx="35">
                  <c:v>150.38505869796811</c:v>
                </c:pt>
                <c:pt idx="36">
                  <c:v>150.38505869796811</c:v>
                </c:pt>
                <c:pt idx="37">
                  <c:v>150.38505869796811</c:v>
                </c:pt>
                <c:pt idx="38">
                  <c:v>150.38505869796811</c:v>
                </c:pt>
                <c:pt idx="39">
                  <c:v>150.38505869796811</c:v>
                </c:pt>
                <c:pt idx="40">
                  <c:v>150.38505869796811</c:v>
                </c:pt>
                <c:pt idx="41">
                  <c:v>150.38505869796811</c:v>
                </c:pt>
                <c:pt idx="42">
                  <c:v>150.38505869796811</c:v>
                </c:pt>
                <c:pt idx="43">
                  <c:v>150.38505869796811</c:v>
                </c:pt>
                <c:pt idx="44">
                  <c:v>150.38505869796811</c:v>
                </c:pt>
                <c:pt idx="45">
                  <c:v>150.38505869796811</c:v>
                </c:pt>
                <c:pt idx="46">
                  <c:v>150.38505869796811</c:v>
                </c:pt>
                <c:pt idx="47">
                  <c:v>150.38505869796811</c:v>
                </c:pt>
                <c:pt idx="48">
                  <c:v>150.38505869796811</c:v>
                </c:pt>
                <c:pt idx="49">
                  <c:v>150.38505869796811</c:v>
                </c:pt>
                <c:pt idx="50">
                  <c:v>150.38505869796811</c:v>
                </c:pt>
                <c:pt idx="51">
                  <c:v>150.38505869796811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B0-6548-A78A-0D183DE75302}"/>
            </c:ext>
          </c:extLst>
        </c:ser>
        <c:ser>
          <c:idx val="4"/>
          <c:order val="4"/>
          <c:tx>
            <c:strRef>
              <c:f>'Multiple Regression'!$Y$1</c:f>
              <c:strCache>
                <c:ptCount val="1"/>
                <c:pt idx="0">
                  <c:v>Temperature</c:v>
                </c:pt>
              </c:strCache>
            </c:strRef>
          </c:tx>
          <c:spPr>
            <a:solidFill>
              <a:srgbClr val="FF6D01">
                <a:alpha val="30000"/>
              </a:srgbClr>
            </a:solidFill>
            <a:ln cmpd="sng">
              <a:solidFill>
                <a:srgbClr val="FF6D01"/>
              </a:solidFill>
            </a:ln>
          </c:spPr>
          <c:cat>
            <c:numRef>
              <c:f>'Multiple Regression'!$S$2:$S$53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'Multiple Regression'!$Y$2:$Y$53</c:f>
              <c:numCache>
                <c:formatCode>General</c:formatCode>
                <c:ptCount val="52"/>
                <c:pt idx="0">
                  <c:v>1098.6256207889642</c:v>
                </c:pt>
                <c:pt idx="1">
                  <c:v>1029.6164737544814</c:v>
                </c:pt>
                <c:pt idx="2">
                  <c:v>1065.5012302124126</c:v>
                </c:pt>
                <c:pt idx="3">
                  <c:v>891.59817968551613</c:v>
                </c:pt>
                <c:pt idx="4">
                  <c:v>963.36769260137817</c:v>
                </c:pt>
                <c:pt idx="5">
                  <c:v>1068.2615960937919</c:v>
                </c:pt>
                <c:pt idx="6">
                  <c:v>968.88842436413688</c:v>
                </c:pt>
                <c:pt idx="7">
                  <c:v>949.56586319448161</c:v>
                </c:pt>
                <c:pt idx="8">
                  <c:v>1046.1786690427573</c:v>
                </c:pt>
                <c:pt idx="9">
                  <c:v>1120.7085478399988</c:v>
                </c:pt>
                <c:pt idx="10">
                  <c:v>1272.5286713158607</c:v>
                </c:pt>
                <c:pt idx="11">
                  <c:v>1203.5195242813779</c:v>
                </c:pt>
                <c:pt idx="12">
                  <c:v>1156.5933042979298</c:v>
                </c:pt>
                <c:pt idx="13">
                  <c:v>1244.9250125020676</c:v>
                </c:pt>
                <c:pt idx="14">
                  <c:v>1324.9756230620674</c:v>
                </c:pt>
                <c:pt idx="15">
                  <c:v>1261.4872077903435</c:v>
                </c:pt>
                <c:pt idx="16">
                  <c:v>1242.1646466206882</c:v>
                </c:pt>
                <c:pt idx="17">
                  <c:v>1385.7036724524123</c:v>
                </c:pt>
                <c:pt idx="18">
                  <c:v>1385.7036724524123</c:v>
                </c:pt>
                <c:pt idx="19">
                  <c:v>1457.473185368274</c:v>
                </c:pt>
                <c:pt idx="20">
                  <c:v>1529.2426982841362</c:v>
                </c:pt>
                <c:pt idx="21">
                  <c:v>1703.1457488110325</c:v>
                </c:pt>
                <c:pt idx="22">
                  <c:v>1785.9567252524118</c:v>
                </c:pt>
                <c:pt idx="23">
                  <c:v>1866.0073358124114</c:v>
                </c:pt>
                <c:pt idx="24">
                  <c:v>1830.1225793544806</c:v>
                </c:pt>
                <c:pt idx="25">
                  <c:v>2053.7122157462045</c:v>
                </c:pt>
                <c:pt idx="26">
                  <c:v>2081.3158745599976</c:v>
                </c:pt>
                <c:pt idx="27">
                  <c:v>2128.2420945434455</c:v>
                </c:pt>
                <c:pt idx="28">
                  <c:v>2081.3158745599976</c:v>
                </c:pt>
                <c:pt idx="29">
                  <c:v>2197.2512415779283</c:v>
                </c:pt>
                <c:pt idx="30">
                  <c:v>2213.8134368662045</c:v>
                </c:pt>
                <c:pt idx="31">
                  <c:v>2095.1177039668942</c:v>
                </c:pt>
                <c:pt idx="32">
                  <c:v>2133.7628263062043</c:v>
                </c:pt>
                <c:pt idx="33">
                  <c:v>2006.7859957627563</c:v>
                </c:pt>
                <c:pt idx="34">
                  <c:v>2117.2006310179286</c:v>
                </c:pt>
                <c:pt idx="35">
                  <c:v>2006.7859957627563</c:v>
                </c:pt>
                <c:pt idx="36">
                  <c:v>1979.1823369489632</c:v>
                </c:pt>
                <c:pt idx="37">
                  <c:v>1780.4359934896531</c:v>
                </c:pt>
                <c:pt idx="38">
                  <c:v>1725.2286758620669</c:v>
                </c:pt>
                <c:pt idx="39">
                  <c:v>1808.0396523034462</c:v>
                </c:pt>
                <c:pt idx="40">
                  <c:v>1681.0628217599981</c:v>
                </c:pt>
                <c:pt idx="41">
                  <c:v>1603.7725770813774</c:v>
                </c:pt>
                <c:pt idx="42">
                  <c:v>1686.5835535227568</c:v>
                </c:pt>
                <c:pt idx="43">
                  <c:v>1385.7036724524123</c:v>
                </c:pt>
                <c:pt idx="44">
                  <c:v>1391.2244042151708</c:v>
                </c:pt>
                <c:pt idx="45">
                  <c:v>1518.201234758619</c:v>
                </c:pt>
                <c:pt idx="46">
                  <c:v>1225.6024513324123</c:v>
                </c:pt>
                <c:pt idx="47">
                  <c:v>1338.7774524689639</c:v>
                </c:pt>
                <c:pt idx="48">
                  <c:v>1228.3628172137917</c:v>
                </c:pt>
                <c:pt idx="49">
                  <c:v>1037.8975713986194</c:v>
                </c:pt>
                <c:pt idx="50">
                  <c:v>905.40000909241269</c:v>
                </c:pt>
                <c:pt idx="51">
                  <c:v>990.97135141517117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B0-6548-A78A-0D183DE75302}"/>
            </c:ext>
          </c:extLst>
        </c:ser>
        <c:ser>
          <c:idx val="5"/>
          <c:order val="5"/>
          <c:tx>
            <c:strRef>
              <c:f>'Multiple Regression'!$Z$1</c:f>
              <c:strCache>
                <c:ptCount val="1"/>
                <c:pt idx="0">
                  <c:v>Holiday</c:v>
                </c:pt>
              </c:strCache>
            </c:strRef>
          </c:tx>
          <c:spPr>
            <a:solidFill>
              <a:srgbClr val="46BDC6">
                <a:alpha val="30000"/>
              </a:srgbClr>
            </a:solidFill>
            <a:ln cmpd="sng">
              <a:solidFill>
                <a:srgbClr val="46BDC6"/>
              </a:solidFill>
            </a:ln>
          </c:spPr>
          <c:cat>
            <c:numRef>
              <c:f>'Multiple Regression'!$S$2:$S$53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'Multiple Regression'!$Z$2:$Z$53</c:f>
              <c:numCache>
                <c:formatCode>General</c:formatCode>
                <c:ptCount val="52"/>
                <c:pt idx="0">
                  <c:v>804.20996582391831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804.20996582391831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804.20996582391831</c:v>
                </c:pt>
                <c:pt idx="12">
                  <c:v>804.20996582391831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804.20996582391831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804.20996582391831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804.20996582391831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804.20996582391831</c:v>
                </c:pt>
                <c:pt idx="45">
                  <c:v>0</c:v>
                </c:pt>
                <c:pt idx="46">
                  <c:v>0</c:v>
                </c:pt>
                <c:pt idx="47">
                  <c:v>804.20996582391831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804.20996582391831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FB0-6548-A78A-0D183DE75302}"/>
            </c:ext>
          </c:extLst>
        </c:ser>
        <c:ser>
          <c:idx val="6"/>
          <c:order val="6"/>
          <c:tx>
            <c:strRef>
              <c:f>'Multiple Regression'!$AA$1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7BAAF7">
                <a:alpha val="30000"/>
              </a:srgbClr>
            </a:solidFill>
            <a:ln cmpd="sng">
              <a:solidFill>
                <a:srgbClr val="7BAAF7"/>
              </a:solidFill>
            </a:ln>
          </c:spPr>
          <c:cat>
            <c:numRef>
              <c:f>'Multiple Regression'!$S$2:$S$53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'Multiple Regression'!$AA$2:$AA$53</c:f>
              <c:numCache>
                <c:formatCode>General</c:formatCode>
                <c:ptCount val="52"/>
                <c:pt idx="0">
                  <c:v>1517.8191756799711</c:v>
                </c:pt>
                <c:pt idx="1">
                  <c:v>1517.8191756799711</c:v>
                </c:pt>
                <c:pt idx="2">
                  <c:v>1517.8191756799711</c:v>
                </c:pt>
                <c:pt idx="3">
                  <c:v>1517.8191756799711</c:v>
                </c:pt>
                <c:pt idx="4">
                  <c:v>1517.8191756799711</c:v>
                </c:pt>
                <c:pt idx="5">
                  <c:v>1517.8191756799711</c:v>
                </c:pt>
                <c:pt idx="6">
                  <c:v>1517.8191756799711</c:v>
                </c:pt>
                <c:pt idx="7">
                  <c:v>1517.8191756799711</c:v>
                </c:pt>
                <c:pt idx="8">
                  <c:v>1517.8191756799711</c:v>
                </c:pt>
                <c:pt idx="9">
                  <c:v>1517.8191756799711</c:v>
                </c:pt>
                <c:pt idx="10">
                  <c:v>1517.8191756799711</c:v>
                </c:pt>
                <c:pt idx="11">
                  <c:v>1517.8191756799711</c:v>
                </c:pt>
                <c:pt idx="12">
                  <c:v>1517.8191756799711</c:v>
                </c:pt>
                <c:pt idx="13">
                  <c:v>1517.8191756799711</c:v>
                </c:pt>
                <c:pt idx="14">
                  <c:v>1517.8191756799711</c:v>
                </c:pt>
                <c:pt idx="15">
                  <c:v>1517.8191756799711</c:v>
                </c:pt>
                <c:pt idx="16">
                  <c:v>1517.8191756799711</c:v>
                </c:pt>
                <c:pt idx="17">
                  <c:v>1517.8191756799711</c:v>
                </c:pt>
                <c:pt idx="18">
                  <c:v>1517.8191756799711</c:v>
                </c:pt>
                <c:pt idx="19">
                  <c:v>1517.8191756799711</c:v>
                </c:pt>
                <c:pt idx="20">
                  <c:v>1517.8191756799711</c:v>
                </c:pt>
                <c:pt idx="21">
                  <c:v>1517.8191756799711</c:v>
                </c:pt>
                <c:pt idx="22">
                  <c:v>1517.8191756799711</c:v>
                </c:pt>
                <c:pt idx="23">
                  <c:v>1517.8191756799711</c:v>
                </c:pt>
                <c:pt idx="24">
                  <c:v>1517.8191756799711</c:v>
                </c:pt>
                <c:pt idx="25">
                  <c:v>1517.8191756799711</c:v>
                </c:pt>
                <c:pt idx="26">
                  <c:v>1517.8191756799711</c:v>
                </c:pt>
                <c:pt idx="27">
                  <c:v>1517.8191756799711</c:v>
                </c:pt>
                <c:pt idx="28">
                  <c:v>1517.8191756799711</c:v>
                </c:pt>
                <c:pt idx="29">
                  <c:v>1517.8191756799711</c:v>
                </c:pt>
                <c:pt idx="30">
                  <c:v>1517.8191756799711</c:v>
                </c:pt>
                <c:pt idx="31">
                  <c:v>1517.8191756799711</c:v>
                </c:pt>
                <c:pt idx="32">
                  <c:v>1517.8191756799711</c:v>
                </c:pt>
                <c:pt idx="33">
                  <c:v>1517.8191756799711</c:v>
                </c:pt>
                <c:pt idx="34">
                  <c:v>1517.8191756799711</c:v>
                </c:pt>
                <c:pt idx="35">
                  <c:v>1517.8191756799711</c:v>
                </c:pt>
                <c:pt idx="36">
                  <c:v>1517.8191756799711</c:v>
                </c:pt>
                <c:pt idx="37">
                  <c:v>1517.8191756799711</c:v>
                </c:pt>
                <c:pt idx="38">
                  <c:v>1517.8191756799711</c:v>
                </c:pt>
                <c:pt idx="39">
                  <c:v>1517.8191756799711</c:v>
                </c:pt>
                <c:pt idx="40">
                  <c:v>1517.8191756799711</c:v>
                </c:pt>
                <c:pt idx="41">
                  <c:v>1517.8191756799711</c:v>
                </c:pt>
                <c:pt idx="42">
                  <c:v>1517.8191756799711</c:v>
                </c:pt>
                <c:pt idx="43">
                  <c:v>1517.8191756799711</c:v>
                </c:pt>
                <c:pt idx="44">
                  <c:v>1517.8191756799711</c:v>
                </c:pt>
                <c:pt idx="45">
                  <c:v>1517.8191756799711</c:v>
                </c:pt>
                <c:pt idx="46">
                  <c:v>1517.8191756799711</c:v>
                </c:pt>
                <c:pt idx="47">
                  <c:v>1517.8191756799711</c:v>
                </c:pt>
                <c:pt idx="48">
                  <c:v>1517.8191756799711</c:v>
                </c:pt>
                <c:pt idx="49">
                  <c:v>1517.8191756799711</c:v>
                </c:pt>
                <c:pt idx="50">
                  <c:v>1517.8191756799711</c:v>
                </c:pt>
                <c:pt idx="51">
                  <c:v>1517.8191756799711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B0-6548-A78A-0D183DE75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844783"/>
        <c:axId val="1921350522"/>
      </c:areaChart>
      <c:catAx>
        <c:axId val="11908447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21350522"/>
        <c:crosses val="autoZero"/>
        <c:auto val="1"/>
        <c:lblAlgn val="ctr"/>
        <c:lblOffset val="100"/>
        <c:noMultiLvlLbl val="1"/>
      </c:catAx>
      <c:valAx>
        <c:axId val="19213505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[$$]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90844783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Prediction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Model!$B$3</c:f>
              <c:strCache>
                <c:ptCount val="1"/>
                <c:pt idx="0">
                  <c:v>Revenue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Model!$A$4:$A$55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Model!$B$4:$B$55</c:f>
              <c:numCache>
                <c:formatCode>[$$]#,##0</c:formatCode>
                <c:ptCount val="52"/>
                <c:pt idx="0">
                  <c:v>3302.99</c:v>
                </c:pt>
                <c:pt idx="1">
                  <c:v>2706.27</c:v>
                </c:pt>
                <c:pt idx="2">
                  <c:v>2330.41</c:v>
                </c:pt>
                <c:pt idx="3">
                  <c:v>2351.63</c:v>
                </c:pt>
                <c:pt idx="4">
                  <c:v>2398.48</c:v>
                </c:pt>
                <c:pt idx="5">
                  <c:v>2611.66</c:v>
                </c:pt>
                <c:pt idx="6">
                  <c:v>2557.31</c:v>
                </c:pt>
                <c:pt idx="7">
                  <c:v>3250.96</c:v>
                </c:pt>
                <c:pt idx="8">
                  <c:v>2802.04</c:v>
                </c:pt>
                <c:pt idx="9">
                  <c:v>2881.28</c:v>
                </c:pt>
                <c:pt idx="10">
                  <c:v>2734.97</c:v>
                </c:pt>
                <c:pt idx="11">
                  <c:v>3580.57</c:v>
                </c:pt>
                <c:pt idx="12">
                  <c:v>3581.54</c:v>
                </c:pt>
                <c:pt idx="13">
                  <c:v>2962.99</c:v>
                </c:pt>
                <c:pt idx="14">
                  <c:v>2510.8200000000002</c:v>
                </c:pt>
                <c:pt idx="15">
                  <c:v>2523.34</c:v>
                </c:pt>
                <c:pt idx="16">
                  <c:v>2708.6</c:v>
                </c:pt>
                <c:pt idx="17">
                  <c:v>2459.0300000000002</c:v>
                </c:pt>
                <c:pt idx="18">
                  <c:v>3429.26</c:v>
                </c:pt>
                <c:pt idx="19">
                  <c:v>2707.15</c:v>
                </c:pt>
                <c:pt idx="20">
                  <c:v>2658.95</c:v>
                </c:pt>
                <c:pt idx="21">
                  <c:v>2848.53</c:v>
                </c:pt>
                <c:pt idx="22">
                  <c:v>2801.63</c:v>
                </c:pt>
                <c:pt idx="23">
                  <c:v>4645.67</c:v>
                </c:pt>
                <c:pt idx="24">
                  <c:v>4034.12</c:v>
                </c:pt>
                <c:pt idx="25">
                  <c:v>4510.32</c:v>
                </c:pt>
                <c:pt idx="26">
                  <c:v>4436.8999999999996</c:v>
                </c:pt>
                <c:pt idx="27">
                  <c:v>5427.97</c:v>
                </c:pt>
                <c:pt idx="28">
                  <c:v>4758.76</c:v>
                </c:pt>
                <c:pt idx="29">
                  <c:v>4773.62</c:v>
                </c:pt>
                <c:pt idx="30">
                  <c:v>4866.54</c:v>
                </c:pt>
                <c:pt idx="31">
                  <c:v>4846.53</c:v>
                </c:pt>
                <c:pt idx="32">
                  <c:v>5209.8999999999996</c:v>
                </c:pt>
                <c:pt idx="33">
                  <c:v>4831.16</c:v>
                </c:pt>
                <c:pt idx="34">
                  <c:v>4999.6400000000003</c:v>
                </c:pt>
                <c:pt idx="35">
                  <c:v>4073.66</c:v>
                </c:pt>
                <c:pt idx="36">
                  <c:v>3885.19</c:v>
                </c:pt>
                <c:pt idx="37">
                  <c:v>3395.17</c:v>
                </c:pt>
                <c:pt idx="38">
                  <c:v>3543.52</c:v>
                </c:pt>
                <c:pt idx="39">
                  <c:v>3318.82</c:v>
                </c:pt>
                <c:pt idx="40">
                  <c:v>3439.85</c:v>
                </c:pt>
                <c:pt idx="41">
                  <c:v>3396.71</c:v>
                </c:pt>
                <c:pt idx="42">
                  <c:v>3249.66</c:v>
                </c:pt>
                <c:pt idx="43">
                  <c:v>2931.35</c:v>
                </c:pt>
                <c:pt idx="44">
                  <c:v>3933.05</c:v>
                </c:pt>
                <c:pt idx="45">
                  <c:v>3506.81</c:v>
                </c:pt>
                <c:pt idx="46">
                  <c:v>2818.97</c:v>
                </c:pt>
                <c:pt idx="47">
                  <c:v>3856.38</c:v>
                </c:pt>
                <c:pt idx="48">
                  <c:v>3060.15</c:v>
                </c:pt>
                <c:pt idx="49">
                  <c:v>2761.15</c:v>
                </c:pt>
                <c:pt idx="50">
                  <c:v>2323.12</c:v>
                </c:pt>
                <c:pt idx="51">
                  <c:v>3577.04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9D-9B40-83EC-AB8C264682B9}"/>
            </c:ext>
          </c:extLst>
        </c:ser>
        <c:ser>
          <c:idx val="1"/>
          <c:order val="1"/>
          <c:tx>
            <c:strRef>
              <c:f>Model!$AB$3</c:f>
              <c:strCache>
                <c:ptCount val="1"/>
                <c:pt idx="0">
                  <c:v>Predicted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Model!$A$4:$A$55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Model!$AB$4:$AB$55</c:f>
              <c:numCache>
                <c:formatCode>[$$]#,##0</c:formatCode>
                <c:ptCount val="52"/>
                <c:pt idx="0">
                  <c:v>3447.1130851410212</c:v>
                </c:pt>
                <c:pt idx="1">
                  <c:v>2560.9828022995453</c:v>
                </c:pt>
                <c:pt idx="2">
                  <c:v>2594.072074847144</c:v>
                </c:pt>
                <c:pt idx="3">
                  <c:v>2433.7163694241658</c:v>
                </c:pt>
                <c:pt idx="4">
                  <c:v>2521.5084371551079</c:v>
                </c:pt>
                <c:pt idx="5">
                  <c:v>2618.2309261403962</c:v>
                </c:pt>
                <c:pt idx="6">
                  <c:v>2526.5990944701234</c:v>
                </c:pt>
                <c:pt idx="7">
                  <c:v>3331.2788602713563</c:v>
                </c:pt>
                <c:pt idx="8">
                  <c:v>2597.8682968803355</c:v>
                </c:pt>
                <c:pt idx="9">
                  <c:v>2677.3989319509128</c:v>
                </c:pt>
                <c:pt idx="10">
                  <c:v>2817.3920081138303</c:v>
                </c:pt>
                <c:pt idx="11">
                  <c:v>3576.2558580799268</c:v>
                </c:pt>
                <c:pt idx="12">
                  <c:v>3532.9852709022975</c:v>
                </c:pt>
                <c:pt idx="13">
                  <c:v>2791.9387215387542</c:v>
                </c:pt>
                <c:pt idx="14">
                  <c:v>2865.7532526064742</c:v>
                </c:pt>
                <c:pt idx="15">
                  <c:v>2468.5565893261219</c:v>
                </c:pt>
                <c:pt idx="16">
                  <c:v>2450.7392887235687</c:v>
                </c:pt>
                <c:pt idx="17">
                  <c:v>2593.9031402318356</c:v>
                </c:pt>
                <c:pt idx="18">
                  <c:v>3416.4002066356215</c:v>
                </c:pt>
                <c:pt idx="19">
                  <c:v>2660.0816853270326</c:v>
                </c:pt>
                <c:pt idx="20">
                  <c:v>2726.2602304222301</c:v>
                </c:pt>
                <c:pt idx="21">
                  <c:v>2886.6159358452082</c:v>
                </c:pt>
                <c:pt idx="22">
                  <c:v>2962.9757955704358</c:v>
                </c:pt>
                <c:pt idx="23">
                  <c:v>4631.4110277603022</c:v>
                </c:pt>
                <c:pt idx="24">
                  <c:v>3994.4936656429786</c:v>
                </c:pt>
                <c:pt idx="25">
                  <c:v>4528.6288031733075</c:v>
                </c:pt>
                <c:pt idx="26">
                  <c:v>4595.3758202991939</c:v>
                </c:pt>
                <c:pt idx="27">
                  <c:v>5467.0475362551279</c:v>
                </c:pt>
                <c:pt idx="28">
                  <c:v>4603.0511013860687</c:v>
                </c:pt>
                <c:pt idx="29">
                  <c:v>4819.1605102561398</c:v>
                </c:pt>
                <c:pt idx="30">
                  <c:v>4834.5918918852985</c:v>
                </c:pt>
                <c:pt idx="31">
                  <c:v>4703.5770598819599</c:v>
                </c:pt>
                <c:pt idx="32">
                  <c:v>5213.3417537793857</c:v>
                </c:pt>
                <c:pt idx="33">
                  <c:v>4910.7424081639874</c:v>
                </c:pt>
                <c:pt idx="34">
                  <c:v>5012.5568456827323</c:v>
                </c:pt>
                <c:pt idx="35">
                  <c:v>4138.6204520296005</c:v>
                </c:pt>
                <c:pt idx="36">
                  <c:v>3894.4983048301233</c:v>
                </c:pt>
                <c:pt idx="37">
                  <c:v>3460.1154518707358</c:v>
                </c:pt>
                <c:pt idx="38">
                  <c:v>3389.5286812643881</c:v>
                </c:pt>
                <c:pt idx="39">
                  <c:v>3459.9844817527564</c:v>
                </c:pt>
                <c:pt idx="40">
                  <c:v>3330.3213844184775</c:v>
                </c:pt>
                <c:pt idx="41">
                  <c:v>3258.520816676948</c:v>
                </c:pt>
                <c:pt idx="42">
                  <c:v>3334.7212668027805</c:v>
                </c:pt>
                <c:pt idx="43">
                  <c:v>3057.2326202546346</c:v>
                </c:pt>
                <c:pt idx="44">
                  <c:v>3873.999235791618</c:v>
                </c:pt>
                <c:pt idx="45">
                  <c:v>3168.5829835739974</c:v>
                </c:pt>
                <c:pt idx="46">
                  <c:v>2898.7768546604379</c:v>
                </c:pt>
                <c:pt idx="47">
                  <c:v>3825.6320086567084</c:v>
                </c:pt>
                <c:pt idx="48">
                  <c:v>2879.7081571072763</c:v>
                </c:pt>
                <c:pt idx="49">
                  <c:v>2704.0804448763733</c:v>
                </c:pt>
                <c:pt idx="50">
                  <c:v>2581.9046588571455</c:v>
                </c:pt>
                <c:pt idx="51">
                  <c:v>3483.3069105060076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9D-9B40-83EC-AB8C26468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2469197"/>
        <c:axId val="1615985691"/>
      </c:lineChart>
      <c:catAx>
        <c:axId val="10724691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985691"/>
        <c:crosses val="autoZero"/>
        <c:auto val="1"/>
        <c:lblAlgn val="ctr"/>
        <c:lblOffset val="100"/>
        <c:noMultiLvlLbl val="1"/>
      </c:catAx>
      <c:valAx>
        <c:axId val="16159856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46919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% Error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Model!$AD$3</c:f>
              <c:strCache>
                <c:ptCount val="1"/>
                <c:pt idx="0">
                  <c:v>% Error</c:v>
                </c:pt>
              </c:strCache>
            </c:strRef>
          </c:tx>
          <c:spPr>
            <a:solidFill>
              <a:srgbClr val="FF00FF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Model!$AD$4:$AD$55</c:f>
              <c:numCache>
                <c:formatCode>0.00%</c:formatCode>
                <c:ptCount val="52"/>
                <c:pt idx="0">
                  <c:v>4.3634127000390988E-2</c:v>
                </c:pt>
                <c:pt idx="1">
                  <c:v>-5.3685403784712808E-2</c:v>
                </c:pt>
                <c:pt idx="2">
                  <c:v>0.11313978005893562</c:v>
                </c:pt>
                <c:pt idx="3">
                  <c:v>3.4906158462073407E-2</c:v>
                </c:pt>
                <c:pt idx="4">
                  <c:v>5.1294335226938687E-2</c:v>
                </c:pt>
                <c:pt idx="5">
                  <c:v>2.5159960103521501E-3</c:v>
                </c:pt>
                <c:pt idx="6">
                  <c:v>-1.2009066374384227E-2</c:v>
                </c:pt>
                <c:pt idx="7">
                  <c:v>2.4706197637422867E-2</c:v>
                </c:pt>
                <c:pt idx="8">
                  <c:v>-7.2865377767506706E-2</c:v>
                </c:pt>
                <c:pt idx="9">
                  <c:v>-7.076058836665905E-2</c:v>
                </c:pt>
                <c:pt idx="10">
                  <c:v>3.0136348155128046E-2</c:v>
                </c:pt>
                <c:pt idx="11">
                  <c:v>-1.2048757376823592E-3</c:v>
                </c:pt>
                <c:pt idx="12">
                  <c:v>-1.3556941733919605E-2</c:v>
                </c:pt>
                <c:pt idx="13">
                  <c:v>-5.7729279700993126E-2</c:v>
                </c:pt>
                <c:pt idx="14">
                  <c:v>0.14136148852027389</c:v>
                </c:pt>
                <c:pt idx="15">
                  <c:v>-2.1710673422479045E-2</c:v>
                </c:pt>
                <c:pt idx="16">
                  <c:v>-9.5200735168142647E-2</c:v>
                </c:pt>
                <c:pt idx="17">
                  <c:v>5.4848106868088366E-2</c:v>
                </c:pt>
                <c:pt idx="18">
                  <c:v>-3.7500199356067122E-3</c:v>
                </c:pt>
                <c:pt idx="19">
                  <c:v>-1.738666666899415E-2</c:v>
                </c:pt>
                <c:pt idx="20">
                  <c:v>2.531459050460905E-2</c:v>
                </c:pt>
                <c:pt idx="21">
                  <c:v>1.3370382564062179E-2</c:v>
                </c:pt>
                <c:pt idx="22">
                  <c:v>5.7589972826688644E-2</c:v>
                </c:pt>
                <c:pt idx="23">
                  <c:v>-3.0693037257699899E-3</c:v>
                </c:pt>
                <c:pt idx="24">
                  <c:v>-9.8227951466543575E-3</c:v>
                </c:pt>
                <c:pt idx="25">
                  <c:v>4.0593135682851222E-3</c:v>
                </c:pt>
                <c:pt idx="26">
                  <c:v>3.5717690346682214E-2</c:v>
                </c:pt>
                <c:pt idx="27">
                  <c:v>7.1992911263561877E-3</c:v>
                </c:pt>
                <c:pt idx="28">
                  <c:v>-3.272047731214256E-2</c:v>
                </c:pt>
                <c:pt idx="29">
                  <c:v>9.5400367553638322E-3</c:v>
                </c:pt>
                <c:pt idx="30">
                  <c:v>-6.5648506155711094E-3</c:v>
                </c:pt>
                <c:pt idx="31">
                  <c:v>-2.9495936292159505E-2</c:v>
                </c:pt>
                <c:pt idx="32">
                  <c:v>6.6061801174419673E-4</c:v>
                </c:pt>
                <c:pt idx="33">
                  <c:v>1.6472732876573654E-2</c:v>
                </c:pt>
                <c:pt idx="34">
                  <c:v>2.5835551525173702E-3</c:v>
                </c:pt>
                <c:pt idx="35">
                  <c:v>1.5946458965549574E-2</c:v>
                </c:pt>
                <c:pt idx="36">
                  <c:v>2.3958428880243268E-3</c:v>
                </c:pt>
                <c:pt idx="37">
                  <c:v>1.9128777607818084E-2</c:v>
                </c:pt>
                <c:pt idx="38">
                  <c:v>-4.3457160883983131E-2</c:v>
                </c:pt>
                <c:pt idx="39">
                  <c:v>4.2534539912606369E-2</c:v>
                </c:pt>
                <c:pt idx="40">
                  <c:v>-3.1841102251994255E-2</c:v>
                </c:pt>
                <c:pt idx="41">
                  <c:v>-4.0683244469811086E-2</c:v>
                </c:pt>
                <c:pt idx="42">
                  <c:v>2.6175435831065609E-2</c:v>
                </c:pt>
                <c:pt idx="43">
                  <c:v>4.2943565338371306E-2</c:v>
                </c:pt>
                <c:pt idx="44">
                  <c:v>-1.501398767073445E-2</c:v>
                </c:pt>
                <c:pt idx="45">
                  <c:v>-9.6448628932278221E-2</c:v>
                </c:pt>
                <c:pt idx="46">
                  <c:v>2.83106434834135E-2</c:v>
                </c:pt>
                <c:pt idx="47">
                  <c:v>-7.9732783966548135E-3</c:v>
                </c:pt>
                <c:pt idx="48">
                  <c:v>-5.8965032071213432E-2</c:v>
                </c:pt>
                <c:pt idx="49">
                  <c:v>-2.0668763060183889E-2</c:v>
                </c:pt>
                <c:pt idx="50">
                  <c:v>0.11139530409843039</c:v>
                </c:pt>
                <c:pt idx="51">
                  <c:v>-2.6204093187102279E-2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5EE-BB4C-9FA0-A3B4CC5AF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6070546"/>
        <c:axId val="751582184"/>
      </c:barChart>
      <c:catAx>
        <c:axId val="20160705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51582184"/>
        <c:crosses val="autoZero"/>
        <c:auto val="1"/>
        <c:lblAlgn val="ctr"/>
        <c:lblOffset val="100"/>
        <c:noMultiLvlLbl val="1"/>
      </c:catAx>
      <c:valAx>
        <c:axId val="7515821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% Error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1607054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 rt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Contribution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Model!$J$35:$J$41</c:f>
              <c:strCache>
                <c:ptCount val="7"/>
                <c:pt idx="0">
                  <c:v>Newspaper Ads Adstock</c:v>
                </c:pt>
                <c:pt idx="1">
                  <c:v>Search Ads</c:v>
                </c:pt>
                <c:pt idx="2">
                  <c:v>Social Ads</c:v>
                </c:pt>
                <c:pt idx="3">
                  <c:v>Price Change</c:v>
                </c:pt>
                <c:pt idx="4">
                  <c:v>Temperature</c:v>
                </c:pt>
                <c:pt idx="5">
                  <c:v>Holiday</c:v>
                </c:pt>
                <c:pt idx="6">
                  <c:v>Baseline</c:v>
                </c:pt>
              </c:strCache>
            </c:strRef>
          </c:cat>
          <c:val>
            <c:numRef>
              <c:f>Model!$L$35:$L$41</c:f>
              <c:numCache>
                <c:formatCode>0.00%</c:formatCode>
                <c:ptCount val="7"/>
                <c:pt idx="0">
                  <c:v>6.9762831845050777E-2</c:v>
                </c:pt>
                <c:pt idx="1">
                  <c:v>1.2308374568278621E-2</c:v>
                </c:pt>
                <c:pt idx="2">
                  <c:v>1.8288395583159405E-2</c:v>
                </c:pt>
                <c:pt idx="3">
                  <c:v>-1.7016640733671651E-2</c:v>
                </c:pt>
                <c:pt idx="4">
                  <c:v>0.40286226333783176</c:v>
                </c:pt>
                <c:pt idx="5">
                  <c:v>4.5920788306353003E-2</c:v>
                </c:pt>
                <c:pt idx="6">
                  <c:v>0.4678739870929981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0F9-B44B-82D0-8A3662A3A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1684708"/>
        <c:axId val="1691730621"/>
      </c:barChart>
      <c:catAx>
        <c:axId val="169168470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91730621"/>
        <c:crosses val="autoZero"/>
        <c:auto val="1"/>
        <c:lblAlgn val="ctr"/>
        <c:lblOffset val="100"/>
        <c:noMultiLvlLbl val="1"/>
      </c:catAx>
      <c:valAx>
        <c:axId val="169173062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Share of Revenue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91684708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1"/>
        <c:ser>
          <c:idx val="0"/>
          <c:order val="0"/>
          <c:tx>
            <c:strRef>
              <c:f>Model!$U$3</c:f>
              <c:strCache>
                <c:ptCount val="1"/>
                <c:pt idx="0">
                  <c:v>Newspaper Ads Adstock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numRef>
              <c:f>Model!$A$4:$A$55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Model!$U$4:$U$55</c:f>
              <c:numCache>
                <c:formatCode>[$$]#,##0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728.89658944687085</c:v>
                </c:pt>
                <c:pt idx="24">
                  <c:v>947.56556628093222</c:v>
                </c:pt>
                <c:pt idx="25">
                  <c:v>1013.1662593311505</c:v>
                </c:pt>
                <c:pt idx="26">
                  <c:v>1032.846467246216</c:v>
                </c:pt>
                <c:pt idx="27">
                  <c:v>1038.7505296207357</c:v>
                </c:pt>
                <c:pt idx="28">
                  <c:v>1040.5217483330914</c:v>
                </c:pt>
                <c:pt idx="29">
                  <c:v>1041.0531139467982</c:v>
                </c:pt>
                <c:pt idx="30">
                  <c:v>1041.2125236309105</c:v>
                </c:pt>
                <c:pt idx="31">
                  <c:v>1041.260346536144</c:v>
                </c:pt>
                <c:pt idx="32">
                  <c:v>1041.274693407714</c:v>
                </c:pt>
                <c:pt idx="33">
                  <c:v>1041.278997469185</c:v>
                </c:pt>
                <c:pt idx="34">
                  <c:v>1041.2802886876266</c:v>
                </c:pt>
                <c:pt idx="35">
                  <c:v>312.38408660628795</c:v>
                </c:pt>
                <c:pt idx="36">
                  <c:v>93.715225981886377</c:v>
                </c:pt>
                <c:pt idx="37">
                  <c:v>28.114567794565914</c:v>
                </c:pt>
                <c:pt idx="38">
                  <c:v>8.4343703383697743</c:v>
                </c:pt>
                <c:pt idx="39">
                  <c:v>2.5303111015109319</c:v>
                </c:pt>
                <c:pt idx="40">
                  <c:v>0.75909333045327954</c:v>
                </c:pt>
                <c:pt idx="41">
                  <c:v>0.22772799913598385</c:v>
                </c:pt>
                <c:pt idx="42">
                  <c:v>6.8318399740795149E-2</c:v>
                </c:pt>
                <c:pt idx="43">
                  <c:v>2.0495519922238546E-2</c:v>
                </c:pt>
                <c:pt idx="44">
                  <c:v>6.1486559766715633E-3</c:v>
                </c:pt>
                <c:pt idx="45">
                  <c:v>1.844596793001469E-3</c:v>
                </c:pt>
                <c:pt idx="46">
                  <c:v>5.5337903790044071E-4</c:v>
                </c:pt>
                <c:pt idx="47">
                  <c:v>1.6601371137013222E-4</c:v>
                </c:pt>
                <c:pt idx="48">
                  <c:v>4.9804113411039667E-5</c:v>
                </c:pt>
                <c:pt idx="49">
                  <c:v>1.49412340233119E-5</c:v>
                </c:pt>
                <c:pt idx="50">
                  <c:v>4.4823702069935698E-6</c:v>
                </c:pt>
                <c:pt idx="51">
                  <c:v>1.3447110620980709E-6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5F-0642-8ABF-B7D7FD764262}"/>
            </c:ext>
          </c:extLst>
        </c:ser>
        <c:ser>
          <c:idx val="1"/>
          <c:order val="1"/>
          <c:tx>
            <c:strRef>
              <c:f>Model!$V$3</c:f>
              <c:strCache>
                <c:ptCount val="1"/>
                <c:pt idx="0">
                  <c:v>Search Ads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numRef>
              <c:f>Model!$A$4:$A$55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Model!$V$4:$V$55</c:f>
              <c:numCache>
                <c:formatCode>[$$]#,##0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21.613522635744712</c:v>
                </c:pt>
                <c:pt idx="5">
                  <c:v>21.613522635744712</c:v>
                </c:pt>
                <c:pt idx="6">
                  <c:v>21.613522635744712</c:v>
                </c:pt>
                <c:pt idx="7">
                  <c:v>21.613522635744712</c:v>
                </c:pt>
                <c:pt idx="8">
                  <c:v>21.613522635744712</c:v>
                </c:pt>
                <c:pt idx="9">
                  <c:v>32.420283953617066</c:v>
                </c:pt>
                <c:pt idx="10">
                  <c:v>32.420283953617066</c:v>
                </c:pt>
                <c:pt idx="11">
                  <c:v>32.420283953617066</c:v>
                </c:pt>
                <c:pt idx="12">
                  <c:v>32.420283953617066</c:v>
                </c:pt>
                <c:pt idx="13">
                  <c:v>32.420283953617066</c:v>
                </c:pt>
                <c:pt idx="14">
                  <c:v>32.420283953617066</c:v>
                </c:pt>
                <c:pt idx="15">
                  <c:v>32.420283953617066</c:v>
                </c:pt>
                <c:pt idx="16">
                  <c:v>32.420283953617066</c:v>
                </c:pt>
                <c:pt idx="17">
                  <c:v>43.227045271489423</c:v>
                </c:pt>
                <c:pt idx="18">
                  <c:v>43.227045271489423</c:v>
                </c:pt>
                <c:pt idx="19">
                  <c:v>43.227045271489423</c:v>
                </c:pt>
                <c:pt idx="20">
                  <c:v>43.227045271489423</c:v>
                </c:pt>
                <c:pt idx="21">
                  <c:v>43.227045271489423</c:v>
                </c:pt>
                <c:pt idx="22">
                  <c:v>43.227045271489423</c:v>
                </c:pt>
                <c:pt idx="23">
                  <c:v>86.454090542978847</c:v>
                </c:pt>
                <c:pt idx="24">
                  <c:v>86.454090542978847</c:v>
                </c:pt>
                <c:pt idx="25">
                  <c:v>86.454090542978847</c:v>
                </c:pt>
                <c:pt idx="26">
                  <c:v>108.06761317872355</c:v>
                </c:pt>
                <c:pt idx="27">
                  <c:v>108.06761317872355</c:v>
                </c:pt>
                <c:pt idx="28">
                  <c:v>108.06761317872355</c:v>
                </c:pt>
                <c:pt idx="29">
                  <c:v>108.06761317872355</c:v>
                </c:pt>
                <c:pt idx="30">
                  <c:v>108.06761317872355</c:v>
                </c:pt>
                <c:pt idx="31">
                  <c:v>86.454090542978847</c:v>
                </c:pt>
                <c:pt idx="32">
                  <c:v>86.454090542978847</c:v>
                </c:pt>
                <c:pt idx="33">
                  <c:v>86.454090542978847</c:v>
                </c:pt>
                <c:pt idx="34">
                  <c:v>86.454090542978847</c:v>
                </c:pt>
                <c:pt idx="35">
                  <c:v>43.227045271489423</c:v>
                </c:pt>
                <c:pt idx="36">
                  <c:v>43.227045271489423</c:v>
                </c:pt>
                <c:pt idx="37">
                  <c:v>43.227045271489423</c:v>
                </c:pt>
                <c:pt idx="38">
                  <c:v>43.227045271489423</c:v>
                </c:pt>
                <c:pt idx="39">
                  <c:v>43.227045271489423</c:v>
                </c:pt>
                <c:pt idx="40">
                  <c:v>32.420283953617066</c:v>
                </c:pt>
                <c:pt idx="41">
                  <c:v>32.420283953617066</c:v>
                </c:pt>
                <c:pt idx="42">
                  <c:v>32.420283953617066</c:v>
                </c:pt>
                <c:pt idx="43">
                  <c:v>32.420283953617066</c:v>
                </c:pt>
                <c:pt idx="44">
                  <c:v>21.613522635744712</c:v>
                </c:pt>
                <c:pt idx="45">
                  <c:v>21.613522635744712</c:v>
                </c:pt>
                <c:pt idx="46">
                  <c:v>21.613522635744712</c:v>
                </c:pt>
                <c:pt idx="47">
                  <c:v>21.613522635744712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5F-0642-8ABF-B7D7FD764262}"/>
            </c:ext>
          </c:extLst>
        </c:ser>
        <c:ser>
          <c:idx val="2"/>
          <c:order val="2"/>
          <c:tx>
            <c:strRef>
              <c:f>Model!$W$3</c:f>
              <c:strCache>
                <c:ptCount val="1"/>
                <c:pt idx="0">
                  <c:v>Social Ads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numRef>
              <c:f>Model!$A$4:$A$55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Model!$W$4:$W$55</c:f>
              <c:numCache>
                <c:formatCode>[$$]#,##0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262.36282322199577</c:v>
                </c:pt>
                <c:pt idx="26">
                  <c:v>262.36282322199577</c:v>
                </c:pt>
                <c:pt idx="27">
                  <c:v>262.36282322199577</c:v>
                </c:pt>
                <c:pt idx="28">
                  <c:v>262.36282322199577</c:v>
                </c:pt>
                <c:pt idx="29">
                  <c:v>371.03706286304117</c:v>
                </c:pt>
                <c:pt idx="30">
                  <c:v>371.03706286304117</c:v>
                </c:pt>
                <c:pt idx="31">
                  <c:v>371.03706286304117</c:v>
                </c:pt>
                <c:pt idx="32">
                  <c:v>371.03706286304117</c:v>
                </c:pt>
                <c:pt idx="33">
                  <c:v>185.51853143152059</c:v>
                </c:pt>
                <c:pt idx="34">
                  <c:v>185.51853143152059</c:v>
                </c:pt>
                <c:pt idx="35">
                  <c:v>185.51853143152059</c:v>
                </c:pt>
                <c:pt idx="36">
                  <c:v>185.51853143152059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5F-0642-8ABF-B7D7FD764262}"/>
            </c:ext>
          </c:extLst>
        </c:ser>
        <c:ser>
          <c:idx val="3"/>
          <c:order val="3"/>
          <c:tx>
            <c:strRef>
              <c:f>Model!$X$3</c:f>
              <c:strCache>
                <c:ptCount val="1"/>
                <c:pt idx="0">
                  <c:v>Price Change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numRef>
              <c:f>Model!$A$4:$A$55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Model!$X$4:$X$55</c:f>
              <c:numCache>
                <c:formatCode>[$$]#,##0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-338.65410415767803</c:v>
                </c:pt>
                <c:pt idx="16">
                  <c:v>-338.65410415767803</c:v>
                </c:pt>
                <c:pt idx="17">
                  <c:v>-338.65410415767803</c:v>
                </c:pt>
                <c:pt idx="18">
                  <c:v>-338.65410415767803</c:v>
                </c:pt>
                <c:pt idx="19">
                  <c:v>-338.65410415767803</c:v>
                </c:pt>
                <c:pt idx="20">
                  <c:v>-338.65410415767803</c:v>
                </c:pt>
                <c:pt idx="21">
                  <c:v>-338.65410415767803</c:v>
                </c:pt>
                <c:pt idx="22">
                  <c:v>-338.65410415767803</c:v>
                </c:pt>
                <c:pt idx="23">
                  <c:v>-338.65410415767803</c:v>
                </c:pt>
                <c:pt idx="24">
                  <c:v>-338.65410415767803</c:v>
                </c:pt>
                <c:pt idx="25">
                  <c:v>-338.65410415767803</c:v>
                </c:pt>
                <c:pt idx="26">
                  <c:v>-338.65410415767803</c:v>
                </c:pt>
                <c:pt idx="27">
                  <c:v>-338.65410415767803</c:v>
                </c:pt>
                <c:pt idx="28">
                  <c:v>-338.65410415767803</c:v>
                </c:pt>
                <c:pt idx="29">
                  <c:v>-338.65410415767803</c:v>
                </c:pt>
                <c:pt idx="30">
                  <c:v>-338.65410415767803</c:v>
                </c:pt>
                <c:pt idx="31">
                  <c:v>-338.65410415767803</c:v>
                </c:pt>
                <c:pt idx="32">
                  <c:v>135.46164166307122</c:v>
                </c:pt>
                <c:pt idx="33">
                  <c:v>135.46164166307122</c:v>
                </c:pt>
                <c:pt idx="34">
                  <c:v>135.46164166307122</c:v>
                </c:pt>
                <c:pt idx="35">
                  <c:v>135.46164166307122</c:v>
                </c:pt>
                <c:pt idx="36">
                  <c:v>135.46164166307122</c:v>
                </c:pt>
                <c:pt idx="37">
                  <c:v>135.46164166307122</c:v>
                </c:pt>
                <c:pt idx="38">
                  <c:v>135.46164166307122</c:v>
                </c:pt>
                <c:pt idx="39">
                  <c:v>135.46164166307122</c:v>
                </c:pt>
                <c:pt idx="40">
                  <c:v>135.46164166307122</c:v>
                </c:pt>
                <c:pt idx="41">
                  <c:v>135.46164166307122</c:v>
                </c:pt>
                <c:pt idx="42">
                  <c:v>135.46164166307122</c:v>
                </c:pt>
                <c:pt idx="43">
                  <c:v>135.46164166307122</c:v>
                </c:pt>
                <c:pt idx="44">
                  <c:v>135.46164166307122</c:v>
                </c:pt>
                <c:pt idx="45">
                  <c:v>135.46164166307122</c:v>
                </c:pt>
                <c:pt idx="46">
                  <c:v>135.46164166307122</c:v>
                </c:pt>
                <c:pt idx="47">
                  <c:v>135.46164166307122</c:v>
                </c:pt>
                <c:pt idx="48">
                  <c:v>135.46164166307122</c:v>
                </c:pt>
                <c:pt idx="49">
                  <c:v>135.46164166307122</c:v>
                </c:pt>
                <c:pt idx="50">
                  <c:v>135.46164166307122</c:v>
                </c:pt>
                <c:pt idx="51">
                  <c:v>135.46164166307122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5F-0642-8ABF-B7D7FD764262}"/>
            </c:ext>
          </c:extLst>
        </c:ser>
        <c:ser>
          <c:idx val="4"/>
          <c:order val="4"/>
          <c:tx>
            <c:strRef>
              <c:f>Model!$Y$3</c:f>
              <c:strCache>
                <c:ptCount val="1"/>
                <c:pt idx="0">
                  <c:v>Temperature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numRef>
              <c:f>Model!$A$4:$A$55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Model!$Y$4:$Y$55</c:f>
              <c:numCache>
                <c:formatCode>[$$]#,##0</c:formatCode>
                <c:ptCount val="52"/>
                <c:pt idx="0">
                  <c:v>1013.0408056880199</c:v>
                </c:pt>
                <c:pt idx="1">
                  <c:v>949.40758925033026</c:v>
                </c:pt>
                <c:pt idx="2">
                  <c:v>982.496861797929</c:v>
                </c:pt>
                <c:pt idx="3">
                  <c:v>822.14115637495081</c:v>
                </c:pt>
                <c:pt idx="4">
                  <c:v>888.31970147014817</c:v>
                </c:pt>
                <c:pt idx="5">
                  <c:v>985.04219045543653</c:v>
                </c:pt>
                <c:pt idx="6">
                  <c:v>893.41035878516334</c:v>
                </c:pt>
                <c:pt idx="7">
                  <c:v>875.59305818261021</c:v>
                </c:pt>
                <c:pt idx="8">
                  <c:v>964.67956119537575</c:v>
                </c:pt>
                <c:pt idx="9">
                  <c:v>1033.4034349480808</c:v>
                </c:pt>
                <c:pt idx="10">
                  <c:v>1173.3965111109981</c:v>
                </c:pt>
                <c:pt idx="11">
                  <c:v>1109.7632946733083</c:v>
                </c:pt>
                <c:pt idx="12">
                  <c:v>1066.4927074956793</c:v>
                </c:pt>
                <c:pt idx="13">
                  <c:v>1147.9432245359221</c:v>
                </c:pt>
                <c:pt idx="14">
                  <c:v>1221.7577556036422</c:v>
                </c:pt>
                <c:pt idx="15">
                  <c:v>1163.2151964809677</c:v>
                </c:pt>
                <c:pt idx="16">
                  <c:v>1145.3978958784146</c:v>
                </c:pt>
                <c:pt idx="17">
                  <c:v>1277.7549860688091</c:v>
                </c:pt>
                <c:pt idx="18">
                  <c:v>1277.7549860688091</c:v>
                </c:pt>
                <c:pt idx="19">
                  <c:v>1343.9335311640064</c:v>
                </c:pt>
                <c:pt idx="20">
                  <c:v>1410.1120762592036</c:v>
                </c:pt>
                <c:pt idx="21">
                  <c:v>1570.4677816821818</c:v>
                </c:pt>
                <c:pt idx="22">
                  <c:v>1646.8276414074094</c:v>
                </c:pt>
                <c:pt idx="23">
                  <c:v>1720.6421724751292</c:v>
                </c:pt>
                <c:pt idx="24">
                  <c:v>1687.5528999275307</c:v>
                </c:pt>
                <c:pt idx="25">
                  <c:v>1893.7245211856455</c:v>
                </c:pt>
                <c:pt idx="26">
                  <c:v>1919.1778077607214</c:v>
                </c:pt>
                <c:pt idx="27">
                  <c:v>1962.44839493835</c:v>
                </c:pt>
                <c:pt idx="28">
                  <c:v>1919.1778077607214</c:v>
                </c:pt>
                <c:pt idx="29">
                  <c:v>2026.0816113760397</c:v>
                </c:pt>
                <c:pt idx="30">
                  <c:v>2041.3535833210856</c:v>
                </c:pt>
                <c:pt idx="31">
                  <c:v>1931.9044510482593</c:v>
                </c:pt>
                <c:pt idx="32">
                  <c:v>1967.5390522533653</c:v>
                </c:pt>
                <c:pt idx="33">
                  <c:v>1850.4539340080164</c:v>
                </c:pt>
                <c:pt idx="34">
                  <c:v>1952.2670803083199</c:v>
                </c:pt>
                <c:pt idx="35">
                  <c:v>1850.4539340080164</c:v>
                </c:pt>
                <c:pt idx="36">
                  <c:v>1825.0006474329405</c:v>
                </c:pt>
                <c:pt idx="37">
                  <c:v>1641.7369840923941</c:v>
                </c:pt>
                <c:pt idx="38">
                  <c:v>1590.8304109422425</c:v>
                </c:pt>
                <c:pt idx="39">
                  <c:v>1667.19027066747</c:v>
                </c:pt>
                <c:pt idx="40">
                  <c:v>1550.1051524221209</c:v>
                </c:pt>
                <c:pt idx="41">
                  <c:v>1478.8359500119086</c:v>
                </c:pt>
                <c:pt idx="42">
                  <c:v>1555.1958097371362</c:v>
                </c:pt>
                <c:pt idx="43">
                  <c:v>1277.7549860688091</c:v>
                </c:pt>
                <c:pt idx="44">
                  <c:v>1282.8456433838242</c:v>
                </c:pt>
                <c:pt idx="45">
                  <c:v>1399.9307616291733</c:v>
                </c:pt>
                <c:pt idx="46">
                  <c:v>1130.125923933369</c:v>
                </c:pt>
                <c:pt idx="47">
                  <c:v>1234.48439889118</c:v>
                </c:pt>
                <c:pt idx="48">
                  <c:v>1132.6712525908765</c:v>
                </c:pt>
                <c:pt idx="49">
                  <c:v>957.04357522285306</c:v>
                </c:pt>
                <c:pt idx="50">
                  <c:v>834.86779966248878</c:v>
                </c:pt>
                <c:pt idx="51">
                  <c:v>913.772988045224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5F-0642-8ABF-B7D7FD764262}"/>
            </c:ext>
          </c:extLst>
        </c:ser>
        <c:ser>
          <c:idx val="5"/>
          <c:order val="5"/>
          <c:tx>
            <c:strRef>
              <c:f>Model!$Z$3</c:f>
              <c:strCache>
                <c:ptCount val="1"/>
                <c:pt idx="0">
                  <c:v>Holiday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numRef>
              <c:f>Model!$A$4:$A$55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Model!$Z$4:$Z$55</c:f>
              <c:numCache>
                <c:formatCode>[$$]#,##0</c:formatCode>
                <c:ptCount val="52"/>
                <c:pt idx="0">
                  <c:v>822.49706640378611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822.49706640378611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822.49706640378611</c:v>
                </c:pt>
                <c:pt idx="12">
                  <c:v>822.49706640378611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822.49706640378611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822.49706640378611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822.49706640378611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822.49706640378611</c:v>
                </c:pt>
                <c:pt idx="45">
                  <c:v>0</c:v>
                </c:pt>
                <c:pt idx="46">
                  <c:v>0</c:v>
                </c:pt>
                <c:pt idx="47">
                  <c:v>822.49706640378611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822.49706640378611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5F-0642-8ABF-B7D7FD764262}"/>
            </c:ext>
          </c:extLst>
        </c:ser>
        <c:ser>
          <c:idx val="6"/>
          <c:order val="6"/>
          <c:tx>
            <c:strRef>
              <c:f>Model!$AA$3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1">
                <a:lumMod val="60000"/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numRef>
              <c:f>Model!$A$4:$A$55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Model!$AA$4:$AA$55</c:f>
              <c:numCache>
                <c:formatCode>[$$]#,##0</c:formatCode>
                <c:ptCount val="52"/>
                <c:pt idx="0">
                  <c:v>1611.5752130492151</c:v>
                </c:pt>
                <c:pt idx="1">
                  <c:v>1611.5752130492151</c:v>
                </c:pt>
                <c:pt idx="2">
                  <c:v>1611.5752130492151</c:v>
                </c:pt>
                <c:pt idx="3">
                  <c:v>1611.5752130492151</c:v>
                </c:pt>
                <c:pt idx="4">
                  <c:v>1611.5752130492151</c:v>
                </c:pt>
                <c:pt idx="5">
                  <c:v>1611.5752130492151</c:v>
                </c:pt>
                <c:pt idx="6">
                  <c:v>1611.5752130492151</c:v>
                </c:pt>
                <c:pt idx="7">
                  <c:v>1611.5752130492151</c:v>
                </c:pt>
                <c:pt idx="8">
                  <c:v>1611.5752130492151</c:v>
                </c:pt>
                <c:pt idx="9">
                  <c:v>1611.5752130492151</c:v>
                </c:pt>
                <c:pt idx="10">
                  <c:v>1611.5752130492151</c:v>
                </c:pt>
                <c:pt idx="11">
                  <c:v>1611.5752130492151</c:v>
                </c:pt>
                <c:pt idx="12">
                  <c:v>1611.5752130492151</c:v>
                </c:pt>
                <c:pt idx="13">
                  <c:v>1611.5752130492151</c:v>
                </c:pt>
                <c:pt idx="14">
                  <c:v>1611.5752130492151</c:v>
                </c:pt>
                <c:pt idx="15">
                  <c:v>1611.5752130492151</c:v>
                </c:pt>
                <c:pt idx="16">
                  <c:v>1611.5752130492151</c:v>
                </c:pt>
                <c:pt idx="17">
                  <c:v>1611.5752130492151</c:v>
                </c:pt>
                <c:pt idx="18">
                  <c:v>1611.5752130492151</c:v>
                </c:pt>
                <c:pt idx="19">
                  <c:v>1611.5752130492151</c:v>
                </c:pt>
                <c:pt idx="20">
                  <c:v>1611.5752130492151</c:v>
                </c:pt>
                <c:pt idx="21">
                  <c:v>1611.5752130492151</c:v>
                </c:pt>
                <c:pt idx="22">
                  <c:v>1611.5752130492151</c:v>
                </c:pt>
                <c:pt idx="23">
                  <c:v>1611.5752130492151</c:v>
                </c:pt>
                <c:pt idx="24">
                  <c:v>1611.5752130492151</c:v>
                </c:pt>
                <c:pt idx="25">
                  <c:v>1611.5752130492151</c:v>
                </c:pt>
                <c:pt idx="26">
                  <c:v>1611.5752130492151</c:v>
                </c:pt>
                <c:pt idx="27">
                  <c:v>1611.5752130492151</c:v>
                </c:pt>
                <c:pt idx="28">
                  <c:v>1611.5752130492151</c:v>
                </c:pt>
                <c:pt idx="29">
                  <c:v>1611.5752130492151</c:v>
                </c:pt>
                <c:pt idx="30">
                  <c:v>1611.5752130492151</c:v>
                </c:pt>
                <c:pt idx="31">
                  <c:v>1611.5752130492151</c:v>
                </c:pt>
                <c:pt idx="32">
                  <c:v>1611.5752130492151</c:v>
                </c:pt>
                <c:pt idx="33">
                  <c:v>1611.5752130492151</c:v>
                </c:pt>
                <c:pt idx="34">
                  <c:v>1611.5752130492151</c:v>
                </c:pt>
                <c:pt idx="35">
                  <c:v>1611.5752130492151</c:v>
                </c:pt>
                <c:pt idx="36">
                  <c:v>1611.5752130492151</c:v>
                </c:pt>
                <c:pt idx="37">
                  <c:v>1611.5752130492151</c:v>
                </c:pt>
                <c:pt idx="38">
                  <c:v>1611.5752130492151</c:v>
                </c:pt>
                <c:pt idx="39">
                  <c:v>1611.5752130492151</c:v>
                </c:pt>
                <c:pt idx="40">
                  <c:v>1611.5752130492151</c:v>
                </c:pt>
                <c:pt idx="41">
                  <c:v>1611.5752130492151</c:v>
                </c:pt>
                <c:pt idx="42">
                  <c:v>1611.5752130492151</c:v>
                </c:pt>
                <c:pt idx="43">
                  <c:v>1611.5752130492151</c:v>
                </c:pt>
                <c:pt idx="44">
                  <c:v>1611.5752130492151</c:v>
                </c:pt>
                <c:pt idx="45">
                  <c:v>1611.5752130492151</c:v>
                </c:pt>
                <c:pt idx="46">
                  <c:v>1611.5752130492151</c:v>
                </c:pt>
                <c:pt idx="47">
                  <c:v>1611.5752130492151</c:v>
                </c:pt>
                <c:pt idx="48">
                  <c:v>1611.5752130492151</c:v>
                </c:pt>
                <c:pt idx="49">
                  <c:v>1611.5752130492151</c:v>
                </c:pt>
                <c:pt idx="50">
                  <c:v>1611.5752130492151</c:v>
                </c:pt>
                <c:pt idx="51">
                  <c:v>1611.5752130492151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5F-0642-8ABF-B7D7FD764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406086"/>
        <c:axId val="728675721"/>
      </c:areaChart>
      <c:catAx>
        <c:axId val="98540608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675721"/>
        <c:crosses val="autoZero"/>
        <c:auto val="1"/>
        <c:lblAlgn val="ctr"/>
        <c:lblOffset val="100"/>
        <c:noMultiLvlLbl val="1"/>
      </c:catAx>
      <c:valAx>
        <c:axId val="72867572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CCCCCC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]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40608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Newspaper Ads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Model!$C$3</c:f>
              <c:strCache>
                <c:ptCount val="1"/>
                <c:pt idx="0">
                  <c:v>Newspaper Ads Adstock</c:v>
                </c:pt>
              </c:strCache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val>
            <c:numRef>
              <c:f>Model!$C$4:$C$55</c:f>
              <c:numCache>
                <c:formatCode>[$$]#,##0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200</c:v>
                </c:pt>
                <c:pt idx="24">
                  <c:v>260</c:v>
                </c:pt>
                <c:pt idx="25">
                  <c:v>278</c:v>
                </c:pt>
                <c:pt idx="26">
                  <c:v>283.39999999999998</c:v>
                </c:pt>
                <c:pt idx="27">
                  <c:v>285.02</c:v>
                </c:pt>
                <c:pt idx="28">
                  <c:v>285.50599999999997</c:v>
                </c:pt>
                <c:pt idx="29">
                  <c:v>285.65179999999998</c:v>
                </c:pt>
                <c:pt idx="30">
                  <c:v>285.69553999999999</c:v>
                </c:pt>
                <c:pt idx="31">
                  <c:v>285.708662</c:v>
                </c:pt>
                <c:pt idx="32">
                  <c:v>285.71259859999998</c:v>
                </c:pt>
                <c:pt idx="33">
                  <c:v>285.71377957999999</c:v>
                </c:pt>
                <c:pt idx="34">
                  <c:v>285.71413387400003</c:v>
                </c:pt>
                <c:pt idx="35">
                  <c:v>85.714240162199999</c:v>
                </c:pt>
                <c:pt idx="36">
                  <c:v>25.71427204866</c:v>
                </c:pt>
                <c:pt idx="37">
                  <c:v>7.7142816145979998</c:v>
                </c:pt>
                <c:pt idx="38">
                  <c:v>2.3142844843793999</c:v>
                </c:pt>
                <c:pt idx="39">
                  <c:v>0.69428534531381991</c:v>
                </c:pt>
                <c:pt idx="40">
                  <c:v>0.20828560359414597</c:v>
                </c:pt>
                <c:pt idx="41">
                  <c:v>6.2485681078243788E-2</c:v>
                </c:pt>
                <c:pt idx="42">
                  <c:v>1.8745704323473136E-2</c:v>
                </c:pt>
                <c:pt idx="43">
                  <c:v>5.6237112970419405E-3</c:v>
                </c:pt>
                <c:pt idx="44">
                  <c:v>1.6871133891125821E-3</c:v>
                </c:pt>
                <c:pt idx="45">
                  <c:v>5.0613401673377462E-4</c:v>
                </c:pt>
                <c:pt idx="46">
                  <c:v>1.5184020502013239E-4</c:v>
                </c:pt>
                <c:pt idx="47">
                  <c:v>4.5552061506039716E-5</c:v>
                </c:pt>
                <c:pt idx="48">
                  <c:v>1.3665618451811915E-5</c:v>
                </c:pt>
                <c:pt idx="49">
                  <c:v>4.0996855355435745E-6</c:v>
                </c:pt>
                <c:pt idx="50">
                  <c:v>1.2299056606630723E-6</c:v>
                </c:pt>
                <c:pt idx="51">
                  <c:v>3.6897169819892168E-7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B8-0644-ACF3-30DF1A5C9F3A}"/>
            </c:ext>
          </c:extLst>
        </c:ser>
        <c:ser>
          <c:idx val="1"/>
          <c:order val="1"/>
          <c:tx>
            <c:strRef>
              <c:f>[1]Data!$C$1</c:f>
              <c:strCache>
                <c:ptCount val="1"/>
                <c:pt idx="0">
                  <c:v>Newspaper Ads</c:v>
                </c:pt>
              </c:strCache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val>
            <c:numRef>
              <c:f>[1]Data!$C$2:$C$53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B8-0644-ACF3-30DF1A5C9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140666"/>
        <c:axId val="1118522161"/>
      </c:areaChart>
      <c:catAx>
        <c:axId val="19681406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18522161"/>
        <c:crosses val="autoZero"/>
        <c:auto val="1"/>
        <c:lblAlgn val="ctr"/>
        <c:lblOffset val="100"/>
        <c:noMultiLvlLbl val="1"/>
      </c:catAx>
      <c:valAx>
        <c:axId val="11185221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Newspaper Ads</a:t>
                </a:r>
              </a:p>
            </c:rich>
          </c:tx>
          <c:overlay val="0"/>
        </c:title>
        <c:numFmt formatCode="[$$]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68140666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Revenue, Social Ads vs Weekly Spend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Response!$D$3</c:f>
              <c:strCache>
                <c:ptCount val="1"/>
                <c:pt idx="0">
                  <c:v>Revenue, Social Ads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cat>
            <c:numRef>
              <c:f>Response!$C$4:$C$21</c:f>
              <c:numCache>
                <c:formatCode>[$$]#,##0.00</c:formatCode>
                <c:ptCount val="18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  <c:pt idx="13">
                  <c:v>160</c:v>
                </c:pt>
                <c:pt idx="14">
                  <c:v>170</c:v>
                </c:pt>
                <c:pt idx="15">
                  <c:v>180</c:v>
                </c:pt>
                <c:pt idx="16">
                  <c:v>190</c:v>
                </c:pt>
                <c:pt idx="17">
                  <c:v>200</c:v>
                </c:pt>
              </c:numCache>
            </c:numRef>
          </c:cat>
          <c:val>
            <c:numRef>
              <c:f>Response!$D$4:$D$21</c:f>
              <c:numCache>
                <c:formatCode>General</c:formatCode>
                <c:ptCount val="18"/>
                <c:pt idx="0">
                  <c:v>171.75678527958763</c:v>
                </c:pt>
                <c:pt idx="1">
                  <c:v>198.32765243262935</c:v>
                </c:pt>
                <c:pt idx="2">
                  <c:v>221.73705632865537</c:v>
                </c:pt>
                <c:pt idx="3">
                  <c:v>242.9007751719964</c:v>
                </c:pt>
                <c:pt idx="4">
                  <c:v>262.36282322199577</c:v>
                </c:pt>
                <c:pt idx="5">
                  <c:v>280.47765586384179</c:v>
                </c:pt>
                <c:pt idx="6">
                  <c:v>297.491478648944</c:v>
                </c:pt>
                <c:pt idx="7">
                  <c:v>313.5835523406713</c:v>
                </c:pt>
                <c:pt idx="8">
                  <c:v>328.88920433552391</c:v>
                </c:pt>
                <c:pt idx="9">
                  <c:v>343.51357055917526</c:v>
                </c:pt>
                <c:pt idx="10">
                  <c:v>357.54026009412269</c:v>
                </c:pt>
                <c:pt idx="11">
                  <c:v>371.03706286304117</c:v>
                </c:pt>
                <c:pt idx="12">
                  <c:v>384.05984748199313</c:v>
                </c:pt>
                <c:pt idx="13">
                  <c:v>396.6553048652587</c:v>
                </c:pt>
                <c:pt idx="14">
                  <c:v>408.86292973025905</c:v>
                </c:pt>
                <c:pt idx="15">
                  <c:v>420.71648379576266</c:v>
                </c:pt>
                <c:pt idx="16">
                  <c:v>432.24509733174494</c:v>
                </c:pt>
                <c:pt idx="17">
                  <c:v>443.47411265731074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74-2E42-8904-4D58EDCFA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655506"/>
        <c:axId val="1958727193"/>
      </c:areaChart>
      <c:catAx>
        <c:axId val="73865550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Weekly Spend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]#,##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727193"/>
        <c:crosses val="autoZero"/>
        <c:auto val="1"/>
        <c:lblAlgn val="ctr"/>
        <c:lblOffset val="100"/>
        <c:noMultiLvlLbl val="1"/>
      </c:catAx>
      <c:valAx>
        <c:axId val="195872719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Revenue, Social 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65550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Revenue, Social Ads and ROAS, Social 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Response!$E$3</c:f>
              <c:strCache>
                <c:ptCount val="1"/>
                <c:pt idx="0">
                  <c:v>ROAS, Social Ads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cat>
            <c:numRef>
              <c:f>Response!$C$4:$C$21</c:f>
              <c:numCache>
                <c:formatCode>[$$]#,##0.00</c:formatCode>
                <c:ptCount val="18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  <c:pt idx="13">
                  <c:v>160</c:v>
                </c:pt>
                <c:pt idx="14">
                  <c:v>170</c:v>
                </c:pt>
                <c:pt idx="15">
                  <c:v>180</c:v>
                </c:pt>
                <c:pt idx="16">
                  <c:v>190</c:v>
                </c:pt>
                <c:pt idx="17">
                  <c:v>200</c:v>
                </c:pt>
              </c:numCache>
            </c:numRef>
          </c:cat>
          <c:val>
            <c:numRef>
              <c:f>Response!$E$4:$E$21</c:f>
              <c:numCache>
                <c:formatCode>[$$]#,##0.00</c:formatCode>
                <c:ptCount val="18"/>
                <c:pt idx="0">
                  <c:v>5.7252261759862542</c:v>
                </c:pt>
                <c:pt idx="1">
                  <c:v>4.9581913108157334</c:v>
                </c:pt>
                <c:pt idx="2">
                  <c:v>4.4347411265731074</c:v>
                </c:pt>
                <c:pt idx="3">
                  <c:v>4.0483462528666063</c:v>
                </c:pt>
                <c:pt idx="4">
                  <c:v>3.7480403317427968</c:v>
                </c:pt>
                <c:pt idx="5">
                  <c:v>3.5059706982980225</c:v>
                </c:pt>
                <c:pt idx="6">
                  <c:v>3.3054608738771556</c:v>
                </c:pt>
                <c:pt idx="7">
                  <c:v>3.1358355234067132</c:v>
                </c:pt>
                <c:pt idx="8">
                  <c:v>2.989901857595672</c:v>
                </c:pt>
                <c:pt idx="9">
                  <c:v>2.8626130879931271</c:v>
                </c:pt>
                <c:pt idx="10">
                  <c:v>2.750309693031713</c:v>
                </c:pt>
                <c:pt idx="11">
                  <c:v>2.6502647347360084</c:v>
                </c:pt>
                <c:pt idx="12">
                  <c:v>2.5603989832132874</c:v>
                </c:pt>
                <c:pt idx="13">
                  <c:v>2.4790956554078667</c:v>
                </c:pt>
                <c:pt idx="14">
                  <c:v>2.4050760572368182</c:v>
                </c:pt>
                <c:pt idx="15">
                  <c:v>2.3373137988653481</c:v>
                </c:pt>
                <c:pt idx="16">
                  <c:v>2.274974196482868</c:v>
                </c:pt>
                <c:pt idx="17">
                  <c:v>2.2173705632865537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8A-4441-9A38-BF1309C40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110481"/>
        <c:axId val="1158742931"/>
      </c:areaChart>
      <c:catAx>
        <c:axId val="144811048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Weekly Spend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]#,##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742931"/>
        <c:crosses val="autoZero"/>
        <c:auto val="1"/>
        <c:lblAlgn val="ctr"/>
        <c:lblOffset val="100"/>
        <c:noMultiLvlLbl val="1"/>
      </c:catAx>
      <c:valAx>
        <c:axId val="11587429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11048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Prediction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'statistical tests'!$B$3</c:f>
              <c:strCache>
                <c:ptCount val="1"/>
                <c:pt idx="0">
                  <c:v>Revenue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'statistical tests'!$A$4:$A$55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'statistical tests'!$B$4:$B$55</c:f>
              <c:numCache>
                <c:formatCode>[$$]#,##0</c:formatCode>
                <c:ptCount val="52"/>
                <c:pt idx="0">
                  <c:v>3302.99</c:v>
                </c:pt>
                <c:pt idx="1">
                  <c:v>2706.27</c:v>
                </c:pt>
                <c:pt idx="2">
                  <c:v>2330.41</c:v>
                </c:pt>
                <c:pt idx="3">
                  <c:v>2351.63</c:v>
                </c:pt>
                <c:pt idx="4">
                  <c:v>2398.48</c:v>
                </c:pt>
                <c:pt idx="5">
                  <c:v>2611.66</c:v>
                </c:pt>
                <c:pt idx="6">
                  <c:v>2557.31</c:v>
                </c:pt>
                <c:pt idx="7">
                  <c:v>3250.96</c:v>
                </c:pt>
                <c:pt idx="8">
                  <c:v>2802.04</c:v>
                </c:pt>
                <c:pt idx="9">
                  <c:v>2881.28</c:v>
                </c:pt>
                <c:pt idx="10">
                  <c:v>2734.97</c:v>
                </c:pt>
                <c:pt idx="11">
                  <c:v>3580.57</c:v>
                </c:pt>
                <c:pt idx="12">
                  <c:v>3581.54</c:v>
                </c:pt>
                <c:pt idx="13">
                  <c:v>2962.99</c:v>
                </c:pt>
                <c:pt idx="14">
                  <c:v>2510.8200000000002</c:v>
                </c:pt>
                <c:pt idx="15">
                  <c:v>2523.34</c:v>
                </c:pt>
                <c:pt idx="16">
                  <c:v>2708.6</c:v>
                </c:pt>
                <c:pt idx="17">
                  <c:v>2459.0300000000002</c:v>
                </c:pt>
                <c:pt idx="18">
                  <c:v>3429.26</c:v>
                </c:pt>
                <c:pt idx="19">
                  <c:v>2707.15</c:v>
                </c:pt>
                <c:pt idx="20">
                  <c:v>2658.95</c:v>
                </c:pt>
                <c:pt idx="21">
                  <c:v>2848.53</c:v>
                </c:pt>
                <c:pt idx="22">
                  <c:v>2801.63</c:v>
                </c:pt>
                <c:pt idx="23">
                  <c:v>4645.67</c:v>
                </c:pt>
                <c:pt idx="24">
                  <c:v>4034.12</c:v>
                </c:pt>
                <c:pt idx="25">
                  <c:v>4510.32</c:v>
                </c:pt>
                <c:pt idx="26">
                  <c:v>4436.8999999999996</c:v>
                </c:pt>
                <c:pt idx="27">
                  <c:v>5427.97</c:v>
                </c:pt>
                <c:pt idx="28">
                  <c:v>4758.76</c:v>
                </c:pt>
                <c:pt idx="29">
                  <c:v>4773.62</c:v>
                </c:pt>
                <c:pt idx="30">
                  <c:v>4866.54</c:v>
                </c:pt>
                <c:pt idx="31">
                  <c:v>4846.53</c:v>
                </c:pt>
                <c:pt idx="32">
                  <c:v>5209.8999999999996</c:v>
                </c:pt>
                <c:pt idx="33">
                  <c:v>4831.16</c:v>
                </c:pt>
                <c:pt idx="34">
                  <c:v>4999.6400000000003</c:v>
                </c:pt>
                <c:pt idx="35">
                  <c:v>4073.66</c:v>
                </c:pt>
                <c:pt idx="36">
                  <c:v>3885.19</c:v>
                </c:pt>
                <c:pt idx="37">
                  <c:v>3395.17</c:v>
                </c:pt>
                <c:pt idx="38">
                  <c:v>3543.52</c:v>
                </c:pt>
                <c:pt idx="39">
                  <c:v>3318.82</c:v>
                </c:pt>
                <c:pt idx="40">
                  <c:v>3439.85</c:v>
                </c:pt>
                <c:pt idx="41">
                  <c:v>3396.71</c:v>
                </c:pt>
                <c:pt idx="42">
                  <c:v>3249.66</c:v>
                </c:pt>
                <c:pt idx="43">
                  <c:v>2931.35</c:v>
                </c:pt>
                <c:pt idx="44">
                  <c:v>3933.05</c:v>
                </c:pt>
                <c:pt idx="45">
                  <c:v>3506.81</c:v>
                </c:pt>
                <c:pt idx="46">
                  <c:v>2818.97</c:v>
                </c:pt>
                <c:pt idx="47">
                  <c:v>3856.38</c:v>
                </c:pt>
                <c:pt idx="48">
                  <c:v>3060.15</c:v>
                </c:pt>
                <c:pt idx="49">
                  <c:v>2761.15</c:v>
                </c:pt>
                <c:pt idx="50">
                  <c:v>2323.12</c:v>
                </c:pt>
                <c:pt idx="51">
                  <c:v>3577.04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7E-F04C-AD75-35F1C33D8911}"/>
            </c:ext>
          </c:extLst>
        </c:ser>
        <c:ser>
          <c:idx val="1"/>
          <c:order val="1"/>
          <c:tx>
            <c:strRef>
              <c:f>'statistical tests'!$AE$3</c:f>
              <c:strCache>
                <c:ptCount val="1"/>
                <c:pt idx="0">
                  <c:v>Predicted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'statistical tests'!$A$4:$A$55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'statistical tests'!$AE$4:$AE$55</c:f>
              <c:numCache>
                <c:formatCode>[$$]#,##0</c:formatCode>
                <c:ptCount val="52"/>
                <c:pt idx="0">
                  <c:v>3447.5976421441319</c:v>
                </c:pt>
                <c:pt idx="1">
                  <c:v>2560.6136978476179</c:v>
                </c:pt>
                <c:pt idx="2">
                  <c:v>2593.9020804965166</c:v>
                </c:pt>
                <c:pt idx="3">
                  <c:v>2432.5814568903152</c:v>
                </c:pt>
                <c:pt idx="4">
                  <c:v>2520.3469472425418</c:v>
                </c:pt>
                <c:pt idx="5">
                  <c:v>2617.6514503700919</c:v>
                </c:pt>
                <c:pt idx="6">
                  <c:v>2525.468236880834</c:v>
                </c:pt>
                <c:pt idx="7">
                  <c:v>3330.5115469646744</c:v>
                </c:pt>
                <c:pt idx="8">
                  <c:v>2597.1662918169231</c:v>
                </c:pt>
                <c:pt idx="9">
                  <c:v>2676.898064461081</c:v>
                </c:pt>
                <c:pt idx="10">
                  <c:v>2817.7335295141147</c:v>
                </c:pt>
                <c:pt idx="11">
                  <c:v>3576.6852328533259</c:v>
                </c:pt>
                <c:pt idx="12">
                  <c:v>3533.1542709278428</c:v>
                </c:pt>
                <c:pt idx="13">
                  <c:v>2792.1270813226538</c:v>
                </c:pt>
                <c:pt idx="14">
                  <c:v>2866.3857810778895</c:v>
                </c:pt>
                <c:pt idx="15">
                  <c:v>2466.019350734296</c:v>
                </c:pt>
                <c:pt idx="16">
                  <c:v>2448.0948370002734</c:v>
                </c:pt>
                <c:pt idx="17">
                  <c:v>2591.8427301230831</c:v>
                </c:pt>
                <c:pt idx="18">
                  <c:v>3414.8105539409462</c:v>
                </c:pt>
                <c:pt idx="19">
                  <c:v>2658.4194954208806</c:v>
                </c:pt>
                <c:pt idx="20">
                  <c:v>2724.9962607186781</c:v>
                </c:pt>
                <c:pt idx="21">
                  <c:v>2886.3168843248795</c:v>
                </c:pt>
                <c:pt idx="22">
                  <c:v>2963.1362288992614</c:v>
                </c:pt>
                <c:pt idx="23">
                  <c:v>4633.6546138952217</c:v>
                </c:pt>
                <c:pt idx="24">
                  <c:v>3996.6727308226623</c:v>
                </c:pt>
                <c:pt idx="25">
                  <c:v>4520.7851528546889</c:v>
                </c:pt>
                <c:pt idx="26">
                  <c:v>4587.3150152060571</c:v>
                </c:pt>
                <c:pt idx="27">
                  <c:v>5459.7342076810455</c:v>
                </c:pt>
                <c:pt idx="28">
                  <c:v>4595.0115439571928</c:v>
                </c:pt>
                <c:pt idx="29">
                  <c:v>4832.4939780787608</c:v>
                </c:pt>
                <c:pt idx="30">
                  <c:v>4848.0176979753924</c:v>
                </c:pt>
                <c:pt idx="31">
                  <c:v>4716.7692009922102</c:v>
                </c:pt>
                <c:pt idx="32">
                  <c:v>5230.6928543531394</c:v>
                </c:pt>
                <c:pt idx="33">
                  <c:v>4898.1311723555173</c:v>
                </c:pt>
                <c:pt idx="34">
                  <c:v>5000.5582599143127</c:v>
                </c:pt>
                <c:pt idx="35">
                  <c:v>4124.8409941634927</c:v>
                </c:pt>
                <c:pt idx="36">
                  <c:v>3879.9603391091969</c:v>
                </c:pt>
                <c:pt idx="37">
                  <c:v>3464.2675765907184</c:v>
                </c:pt>
                <c:pt idx="38">
                  <c:v>3393.3200015901421</c:v>
                </c:pt>
                <c:pt idx="39">
                  <c:v>3464.2189425792271</c:v>
                </c:pt>
                <c:pt idx="40">
                  <c:v>3334.0587972957051</c:v>
                </c:pt>
                <c:pt idx="41">
                  <c:v>3261.8279060369387</c:v>
                </c:pt>
                <c:pt idx="42">
                  <c:v>3338.4873997145178</c:v>
                </c:pt>
                <c:pt idx="43">
                  <c:v>3059.3291591585566</c:v>
                </c:pt>
                <c:pt idx="44">
                  <c:v>3876.8095235067849</c:v>
                </c:pt>
                <c:pt idx="45">
                  <c:v>3171.6270453954266</c:v>
                </c:pt>
                <c:pt idx="46">
                  <c:v>2900.1973997736804</c:v>
                </c:pt>
                <c:pt idx="47">
                  <c:v>3828.1512727388526</c:v>
                </c:pt>
                <c:pt idx="48">
                  <c:v>2881.5688145694148</c:v>
                </c:pt>
                <c:pt idx="49">
                  <c:v>2704.8842870889457</c:v>
                </c:pt>
                <c:pt idx="50">
                  <c:v>2581.9733252821179</c:v>
                </c:pt>
                <c:pt idx="51">
                  <c:v>3484.3211353471634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7E-F04C-AD75-35F1C33D8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787660"/>
        <c:axId val="1742830260"/>
      </c:lineChart>
      <c:catAx>
        <c:axId val="17667876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830260"/>
        <c:crosses val="autoZero"/>
        <c:auto val="1"/>
        <c:lblAlgn val="ctr"/>
        <c:lblOffset val="100"/>
        <c:noMultiLvlLbl val="1"/>
      </c:catAx>
      <c:valAx>
        <c:axId val="17428302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7876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% Error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'statistical tests'!$AG$3</c:f>
              <c:strCache>
                <c:ptCount val="1"/>
                <c:pt idx="0">
                  <c:v>% Error</c:v>
                </c:pt>
              </c:strCache>
            </c:strRef>
          </c:tx>
          <c:spPr>
            <a:solidFill>
              <a:srgbClr val="FF00FF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'statistical tests'!$AG$4:$AG$55</c:f>
              <c:numCache>
                <c:formatCode>0.00%</c:formatCode>
                <c:ptCount val="52"/>
                <c:pt idx="0">
                  <c:v>4.3780829534492118E-2</c:v>
                </c:pt>
                <c:pt idx="1">
                  <c:v>-5.3821792412576008E-2</c:v>
                </c:pt>
                <c:pt idx="2">
                  <c:v>0.11306683394617978</c:v>
                </c:pt>
                <c:pt idx="3">
                  <c:v>3.4423551702570158E-2</c:v>
                </c:pt>
                <c:pt idx="4">
                  <c:v>5.0810074398177911E-2</c:v>
                </c:pt>
                <c:pt idx="5">
                  <c:v>2.2941157616581122E-3</c:v>
                </c:pt>
                <c:pt idx="6">
                  <c:v>-1.2451272281876655E-2</c:v>
                </c:pt>
                <c:pt idx="7">
                  <c:v>2.4470170954017996E-2</c:v>
                </c:pt>
                <c:pt idx="8">
                  <c:v>-7.3115911329987016E-2</c:v>
                </c:pt>
                <c:pt idx="9">
                  <c:v>-7.0934423429489371E-2</c:v>
                </c:pt>
                <c:pt idx="10">
                  <c:v>3.0261220237923967E-2</c:v>
                </c:pt>
                <c:pt idx="11">
                  <c:v>-1.0849577432292124E-3</c:v>
                </c:pt>
                <c:pt idx="12">
                  <c:v>-1.350975532093935E-2</c:v>
                </c:pt>
                <c:pt idx="13">
                  <c:v>-5.7665708854010983E-2</c:v>
                </c:pt>
                <c:pt idx="14">
                  <c:v>0.14161340959443103</c:v>
                </c:pt>
                <c:pt idx="15">
                  <c:v>-2.2716181436391491E-2</c:v>
                </c:pt>
                <c:pt idx="16">
                  <c:v>-9.6177051982473061E-2</c:v>
                </c:pt>
                <c:pt idx="17">
                  <c:v>5.4010211393550674E-2</c:v>
                </c:pt>
                <c:pt idx="18">
                  <c:v>-4.2135755408029794E-3</c:v>
                </c:pt>
                <c:pt idx="19">
                  <c:v>-1.800066659738821E-2</c:v>
                </c:pt>
                <c:pt idx="20">
                  <c:v>2.4839226280553694E-2</c:v>
                </c:pt>
                <c:pt idx="21">
                  <c:v>1.3265398056148025E-2</c:v>
                </c:pt>
                <c:pt idx="22">
                  <c:v>5.7647237108133929E-2</c:v>
                </c:pt>
                <c:pt idx="23">
                  <c:v>-2.5863623771766766E-3</c:v>
                </c:pt>
                <c:pt idx="24">
                  <c:v>-9.2826364057929864E-3</c:v>
                </c:pt>
                <c:pt idx="25">
                  <c:v>2.3202683744588462E-3</c:v>
                </c:pt>
                <c:pt idx="26">
                  <c:v>3.3900925241961151E-2</c:v>
                </c:pt>
                <c:pt idx="27">
                  <c:v>5.8519497493621482E-3</c:v>
                </c:pt>
                <c:pt idx="28">
                  <c:v>-3.4409900066993807E-2</c:v>
                </c:pt>
                <c:pt idx="29">
                  <c:v>1.2333193274446009E-2</c:v>
                </c:pt>
                <c:pt idx="30">
                  <c:v>-3.8060515324250077E-3</c:v>
                </c:pt>
                <c:pt idx="31">
                  <c:v>-2.6773959721241695E-2</c:v>
                </c:pt>
                <c:pt idx="32">
                  <c:v>3.9910275347203933E-3</c:v>
                </c:pt>
                <c:pt idx="33">
                  <c:v>1.3862337897216696E-2</c:v>
                </c:pt>
                <c:pt idx="34">
                  <c:v>1.8366520675735246E-4</c:v>
                </c:pt>
                <c:pt idx="35">
                  <c:v>1.2563884605856373E-2</c:v>
                </c:pt>
                <c:pt idx="36">
                  <c:v>-1.3460502294104506E-3</c:v>
                </c:pt>
                <c:pt idx="37">
                  <c:v>2.0351728069792761E-2</c:v>
                </c:pt>
                <c:pt idx="38">
                  <c:v>-4.2387230327430893E-2</c:v>
                </c:pt>
                <c:pt idx="39">
                  <c:v>4.381043340079515E-2</c:v>
                </c:pt>
                <c:pt idx="40">
                  <c:v>-3.0754597643587612E-2</c:v>
                </c:pt>
                <c:pt idx="41">
                  <c:v>-3.9709629012503682E-2</c:v>
                </c:pt>
                <c:pt idx="42">
                  <c:v>2.7334367199804879E-2</c:v>
                </c:pt>
                <c:pt idx="43">
                  <c:v>4.3658778091513036E-2</c:v>
                </c:pt>
                <c:pt idx="44">
                  <c:v>-1.4299456272667594E-2</c:v>
                </c:pt>
                <c:pt idx="45">
                  <c:v>-9.5580585946935623E-2</c:v>
                </c:pt>
                <c:pt idx="46">
                  <c:v>2.8814566942422463E-2</c:v>
                </c:pt>
                <c:pt idx="47">
                  <c:v>-7.3200066542061385E-3</c:v>
                </c:pt>
                <c:pt idx="48">
                  <c:v>-5.8357003882353889E-2</c:v>
                </c:pt>
                <c:pt idx="49">
                  <c:v>-2.037763718416398E-2</c:v>
                </c:pt>
                <c:pt idx="50">
                  <c:v>0.11142486194519355</c:v>
                </c:pt>
                <c:pt idx="51">
                  <c:v>-2.5920555725638127E-2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F2B-0742-B821-C347BC1F7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7625815"/>
        <c:axId val="1640060788"/>
      </c:barChart>
      <c:catAx>
        <c:axId val="3476258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40060788"/>
        <c:crosses val="autoZero"/>
        <c:auto val="1"/>
        <c:lblAlgn val="ctr"/>
        <c:lblOffset val="100"/>
        <c:noMultiLvlLbl val="1"/>
      </c:catAx>
      <c:valAx>
        <c:axId val="164006078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% Error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47625815"/>
        <c:crosses val="autoZero"/>
        <c:crossBetween val="between"/>
      </c:valAx>
      <c:spPr>
        <a:ln>
          <a:noFill/>
        </a:ln>
      </c:spPr>
    </c:plotArea>
    <c:legend>
      <c:legendPos val="r"/>
      <c:overlay val="0"/>
      <c:txPr>
        <a:bodyPr/>
        <a:lstStyle/>
        <a:p>
          <a:pPr lvl="0" rt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1"/>
          <c:dPt>
            <c:idx val="0"/>
            <c:invertIfNegative val="1"/>
            <c:bubble3D val="0"/>
            <c:spPr>
              <a:pattFill prst="narVert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1"/>
                </a:innerShdw>
              </a:effectLst>
            </c:spPr>
          </c:dPt>
          <c:dPt>
            <c:idx val="1"/>
            <c:invertIfNegative val="1"/>
            <c:bubble3D val="0"/>
            <c:spPr>
              <a:pattFill prst="narVert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2"/>
                </a:innerShdw>
              </a:effectLst>
            </c:spPr>
          </c:dPt>
          <c:dPt>
            <c:idx val="2"/>
            <c:invertIfNegative val="1"/>
            <c:bubble3D val="0"/>
            <c:spPr>
              <a:pattFill prst="narVert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3"/>
                </a:innerShdw>
              </a:effectLst>
            </c:spPr>
          </c:dPt>
          <c:dPt>
            <c:idx val="3"/>
            <c:invertIfNegative val="1"/>
            <c:bubble3D val="0"/>
            <c:spPr>
              <a:pattFill prst="narVert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4"/>
                </a:innerShdw>
              </a:effectLst>
            </c:spPr>
          </c:dPt>
          <c:dPt>
            <c:idx val="4"/>
            <c:invertIfNegative val="1"/>
            <c:bubble3D val="0"/>
            <c:spPr>
              <a:pattFill prst="narVert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5"/>
                </a:innerShdw>
              </a:effectLst>
            </c:spPr>
          </c:dPt>
          <c:dPt>
            <c:idx val="5"/>
            <c:invertIfNegative val="1"/>
            <c:bubble3D val="0"/>
            <c:spPr>
              <a:pattFill prst="narVert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6"/>
                </a:innerShdw>
              </a:effectLst>
            </c:spPr>
          </c:dPt>
          <c:dPt>
            <c:idx val="6"/>
            <c:invertIfNegative val="1"/>
            <c:bubble3D val="0"/>
            <c:spPr>
              <a:pattFill prst="narVert">
                <a:fgClr>
                  <a:schemeClr val="accent1">
                    <a:lumMod val="60000"/>
                  </a:schemeClr>
                </a:fgClr>
                <a:bgClr>
                  <a:schemeClr val="accent1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1">
                    <a:lumMod val="60000"/>
                  </a:schemeClr>
                </a:innerShdw>
              </a:effectLst>
            </c:spPr>
          </c:dPt>
          <c:cat>
            <c:strRef>
              <c:f>'statistical tests'!$M$26:$M$32</c:f>
              <c:strCache>
                <c:ptCount val="7"/>
                <c:pt idx="0">
                  <c:v>Social Ads, AR=0, DR=0.6</c:v>
                </c:pt>
                <c:pt idx="1">
                  <c:v>Search Ads, AR=0, DR=1</c:v>
                </c:pt>
                <c:pt idx="2">
                  <c:v>Newspaper Ads, AR=0.3, DR=1</c:v>
                </c:pt>
                <c:pt idx="3">
                  <c:v>Holiday</c:v>
                </c:pt>
                <c:pt idx="4">
                  <c:v>Temperature</c:v>
                </c:pt>
                <c:pt idx="5">
                  <c:v>Price Change</c:v>
                </c:pt>
                <c:pt idx="6">
                  <c:v>Baseline</c:v>
                </c:pt>
              </c:strCache>
            </c:strRef>
          </c:cat>
          <c:val>
            <c:numRef>
              <c:f>'statistical tests'!$O$26:$O$32</c:f>
              <c:numCache>
                <c:formatCode>0.00%</c:formatCode>
                <c:ptCount val="7"/>
                <c:pt idx="0">
                  <c:v>1.7794045181271815E-2</c:v>
                </c:pt>
                <c:pt idx="1">
                  <c:v>1.2066462695112464E-2</c:v>
                </c:pt>
                <c:pt idx="2">
                  <c:v>6.9955957961496132E-2</c:v>
                </c:pt>
                <c:pt idx="3">
                  <c:v>4.5947071137548985E-2</c:v>
                </c:pt>
                <c:pt idx="4">
                  <c:v>0.40528643104801015</c:v>
                </c:pt>
                <c:pt idx="5">
                  <c:v>-1.7158213818053356E-2</c:v>
                </c:pt>
                <c:pt idx="6">
                  <c:v>0.46610824579461374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BC-8142-8476-772D2B6B1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251509033"/>
        <c:axId val="2137664717"/>
      </c:barChart>
      <c:catAx>
        <c:axId val="251509033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664717"/>
        <c:crosses val="autoZero"/>
        <c:auto val="1"/>
        <c:lblAlgn val="ctr"/>
        <c:lblOffset val="100"/>
        <c:noMultiLvlLbl val="1"/>
      </c:catAx>
      <c:valAx>
        <c:axId val="213766471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Share of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509033"/>
        <c:crosses val="max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Decomposition</a:t>
            </a:r>
          </a:p>
        </c:rich>
      </c:tx>
      <c:overlay val="0"/>
    </c:title>
    <c:autoTitleDeleted val="0"/>
    <c:plotArea>
      <c:layout/>
      <c:areaChart>
        <c:grouping val="stacked"/>
        <c:varyColors val="1"/>
        <c:ser>
          <c:idx val="0"/>
          <c:order val="0"/>
          <c:tx>
            <c:strRef>
              <c:f>'statistical tests'!$X$3</c:f>
              <c:strCache>
                <c:ptCount val="1"/>
                <c:pt idx="0">
                  <c:v>Social Ads, AR=0, DR=0.6</c:v>
                </c:pt>
              </c:strCache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numRef>
              <c:f>'statistical tests'!$A$4:$A$55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'statistical tests'!$X$4:$X$55</c:f>
              <c:numCache>
                <c:formatCode>[$$]#,##0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250.91789466293579</c:v>
                </c:pt>
                <c:pt idx="26">
                  <c:v>250.91789466293579</c:v>
                </c:pt>
                <c:pt idx="27">
                  <c:v>250.91789466293579</c:v>
                </c:pt>
                <c:pt idx="28">
                  <c:v>250.91789466293579</c:v>
                </c:pt>
                <c:pt idx="29">
                  <c:v>380.3204097745226</c:v>
                </c:pt>
                <c:pt idx="30">
                  <c:v>380.3204097745226</c:v>
                </c:pt>
                <c:pt idx="31">
                  <c:v>380.3204097745226</c:v>
                </c:pt>
                <c:pt idx="32">
                  <c:v>380.3204097745226</c:v>
                </c:pt>
                <c:pt idx="33">
                  <c:v>165.54407348111167</c:v>
                </c:pt>
                <c:pt idx="34">
                  <c:v>165.54407348111167</c:v>
                </c:pt>
                <c:pt idx="35">
                  <c:v>165.54407348111167</c:v>
                </c:pt>
                <c:pt idx="36">
                  <c:v>165.54407348111167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38-EC4B-8617-E82DF94A2E8E}"/>
            </c:ext>
          </c:extLst>
        </c:ser>
        <c:ser>
          <c:idx val="1"/>
          <c:order val="1"/>
          <c:tx>
            <c:strRef>
              <c:f>'statistical tests'!$Y$3</c:f>
              <c:strCache>
                <c:ptCount val="1"/>
                <c:pt idx="0">
                  <c:v>Search Ads, AR=0, DR=1</c:v>
                </c:pt>
              </c:strCache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numRef>
              <c:f>'statistical tests'!$A$4:$A$55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'statistical tests'!$Y$4:$Y$55</c:f>
              <c:numCache>
                <c:formatCode>[$$]#,##0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21.188725054429007</c:v>
                </c:pt>
                <c:pt idx="5">
                  <c:v>21.188725054429007</c:v>
                </c:pt>
                <c:pt idx="6">
                  <c:v>21.188725054429007</c:v>
                </c:pt>
                <c:pt idx="7">
                  <c:v>21.188725054429007</c:v>
                </c:pt>
                <c:pt idx="8">
                  <c:v>21.188725054429007</c:v>
                </c:pt>
                <c:pt idx="9">
                  <c:v>31.783087581643507</c:v>
                </c:pt>
                <c:pt idx="10">
                  <c:v>31.783087581643507</c:v>
                </c:pt>
                <c:pt idx="11">
                  <c:v>31.783087581643507</c:v>
                </c:pt>
                <c:pt idx="12">
                  <c:v>31.783087581643507</c:v>
                </c:pt>
                <c:pt idx="13">
                  <c:v>31.783087581643507</c:v>
                </c:pt>
                <c:pt idx="14">
                  <c:v>31.783087581643507</c:v>
                </c:pt>
                <c:pt idx="15">
                  <c:v>31.783087581643507</c:v>
                </c:pt>
                <c:pt idx="16">
                  <c:v>31.783087581643507</c:v>
                </c:pt>
                <c:pt idx="17">
                  <c:v>42.377450108858014</c:v>
                </c:pt>
                <c:pt idx="18">
                  <c:v>42.377450108858014</c:v>
                </c:pt>
                <c:pt idx="19">
                  <c:v>42.377450108858014</c:v>
                </c:pt>
                <c:pt idx="20">
                  <c:v>42.377450108858014</c:v>
                </c:pt>
                <c:pt idx="21">
                  <c:v>42.377450108858014</c:v>
                </c:pt>
                <c:pt idx="22">
                  <c:v>42.377450108858014</c:v>
                </c:pt>
                <c:pt idx="23">
                  <c:v>84.754900217716028</c:v>
                </c:pt>
                <c:pt idx="24">
                  <c:v>84.754900217716028</c:v>
                </c:pt>
                <c:pt idx="25">
                  <c:v>84.754900217716028</c:v>
                </c:pt>
                <c:pt idx="26">
                  <c:v>105.94362527214503</c:v>
                </c:pt>
                <c:pt idx="27">
                  <c:v>105.94362527214503</c:v>
                </c:pt>
                <c:pt idx="28">
                  <c:v>105.94362527214503</c:v>
                </c:pt>
                <c:pt idx="29">
                  <c:v>105.94362527214503</c:v>
                </c:pt>
                <c:pt idx="30">
                  <c:v>105.94362527214503</c:v>
                </c:pt>
                <c:pt idx="31">
                  <c:v>84.754900217716028</c:v>
                </c:pt>
                <c:pt idx="32">
                  <c:v>84.754900217716028</c:v>
                </c:pt>
                <c:pt idx="33">
                  <c:v>84.754900217716028</c:v>
                </c:pt>
                <c:pt idx="34">
                  <c:v>84.754900217716028</c:v>
                </c:pt>
                <c:pt idx="35">
                  <c:v>42.377450108858014</c:v>
                </c:pt>
                <c:pt idx="36">
                  <c:v>42.377450108858014</c:v>
                </c:pt>
                <c:pt idx="37">
                  <c:v>42.377450108858014</c:v>
                </c:pt>
                <c:pt idx="38">
                  <c:v>42.377450108858014</c:v>
                </c:pt>
                <c:pt idx="39">
                  <c:v>42.377450108858014</c:v>
                </c:pt>
                <c:pt idx="40">
                  <c:v>31.783087581643507</c:v>
                </c:pt>
                <c:pt idx="41">
                  <c:v>31.783087581643507</c:v>
                </c:pt>
                <c:pt idx="42">
                  <c:v>31.783087581643507</c:v>
                </c:pt>
                <c:pt idx="43">
                  <c:v>31.783087581643507</c:v>
                </c:pt>
                <c:pt idx="44">
                  <c:v>21.188725054429007</c:v>
                </c:pt>
                <c:pt idx="45">
                  <c:v>21.188725054429007</c:v>
                </c:pt>
                <c:pt idx="46">
                  <c:v>21.188725054429007</c:v>
                </c:pt>
                <c:pt idx="47">
                  <c:v>21.188725054429007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38-EC4B-8617-E82DF94A2E8E}"/>
            </c:ext>
          </c:extLst>
        </c:ser>
        <c:ser>
          <c:idx val="2"/>
          <c:order val="2"/>
          <c:tx>
            <c:strRef>
              <c:f>'statistical tests'!$Z$3</c:f>
              <c:strCache>
                <c:ptCount val="1"/>
                <c:pt idx="0">
                  <c:v>Newspaper Ads, AR=0.3, DR=1</c:v>
                </c:pt>
              </c:strCache>
            </c:strRef>
          </c:tx>
          <c:spPr>
            <a:solidFill>
              <a:srgbClr val="FBBC04">
                <a:alpha val="30000"/>
              </a:srgbClr>
            </a:solidFill>
            <a:ln cmpd="sng">
              <a:solidFill>
                <a:srgbClr val="FBBC04"/>
              </a:solidFill>
            </a:ln>
          </c:spPr>
          <c:cat>
            <c:numRef>
              <c:f>'statistical tests'!$A$4:$A$55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'statistical tests'!$Z$4:$Z$55</c:f>
              <c:numCache>
                <c:formatCode>[$$]#,##0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730.9144113140045</c:v>
                </c:pt>
                <c:pt idx="24">
                  <c:v>950.18873470820586</c:v>
                </c:pt>
                <c:pt idx="25">
                  <c:v>1015.9710317264662</c:v>
                </c:pt>
                <c:pt idx="26">
                  <c:v>1035.7057208319443</c:v>
                </c:pt>
                <c:pt idx="27">
                  <c:v>1041.6261275635877</c:v>
                </c:pt>
                <c:pt idx="28">
                  <c:v>1043.4022495830807</c:v>
                </c:pt>
                <c:pt idx="29">
                  <c:v>1043.9350861889286</c:v>
                </c:pt>
                <c:pt idx="30">
                  <c:v>1044.0949371706831</c:v>
                </c:pt>
                <c:pt idx="31">
                  <c:v>1044.1428924652093</c:v>
                </c:pt>
                <c:pt idx="32">
                  <c:v>1044.1572790535672</c:v>
                </c:pt>
                <c:pt idx="33">
                  <c:v>1044.1615950300747</c:v>
                </c:pt>
                <c:pt idx="34">
                  <c:v>1044.1628898230269</c:v>
                </c:pt>
                <c:pt idx="35">
                  <c:v>313.24886694690804</c:v>
                </c:pt>
                <c:pt idx="36">
                  <c:v>93.974660084072411</c:v>
                </c:pt>
                <c:pt idx="37">
                  <c:v>28.192398025221724</c:v>
                </c:pt>
                <c:pt idx="38">
                  <c:v>8.4577194075665183</c:v>
                </c:pt>
                <c:pt idx="39">
                  <c:v>2.5373158222699548</c:v>
                </c:pt>
                <c:pt idx="40">
                  <c:v>0.76119474668098652</c:v>
                </c:pt>
                <c:pt idx="41">
                  <c:v>0.22835842400429593</c:v>
                </c:pt>
                <c:pt idx="42">
                  <c:v>6.8507527201288776E-2</c:v>
                </c:pt>
                <c:pt idx="43">
                  <c:v>2.0552258160386631E-2</c:v>
                </c:pt>
                <c:pt idx="44">
                  <c:v>6.1656774481159892E-3</c:v>
                </c:pt>
                <c:pt idx="45">
                  <c:v>1.8497032344347967E-3</c:v>
                </c:pt>
                <c:pt idx="46">
                  <c:v>5.5491097033043908E-4</c:v>
                </c:pt>
                <c:pt idx="47">
                  <c:v>1.6647329109913171E-4</c:v>
                </c:pt>
                <c:pt idx="48">
                  <c:v>4.9941987329739513E-5</c:v>
                </c:pt>
                <c:pt idx="49">
                  <c:v>1.4982596198921854E-5</c:v>
                </c:pt>
                <c:pt idx="50">
                  <c:v>4.4947788596765559E-6</c:v>
                </c:pt>
                <c:pt idx="51">
                  <c:v>1.3484336579029669E-6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38-EC4B-8617-E82DF94A2E8E}"/>
            </c:ext>
          </c:extLst>
        </c:ser>
        <c:ser>
          <c:idx val="3"/>
          <c:order val="3"/>
          <c:tx>
            <c:strRef>
              <c:f>'statistical tests'!$AA$3</c:f>
              <c:strCache>
                <c:ptCount val="1"/>
                <c:pt idx="0">
                  <c:v>Holiday</c:v>
                </c:pt>
              </c:strCache>
            </c:strRef>
          </c:tx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numRef>
              <c:f>'statistical tests'!$A$4:$A$55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'statistical tests'!$AA$4:$AA$55</c:f>
              <c:numCache>
                <c:formatCode>[$$]#,##0</c:formatCode>
                <c:ptCount val="52"/>
                <c:pt idx="0">
                  <c:v>822.96782381786284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822.96782381786284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822.96782381786284</c:v>
                </c:pt>
                <c:pt idx="12">
                  <c:v>822.96782381786284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822.96782381786284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822.96782381786284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822.96782381786284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822.96782381786284</c:v>
                </c:pt>
                <c:pt idx="45">
                  <c:v>0</c:v>
                </c:pt>
                <c:pt idx="46">
                  <c:v>0</c:v>
                </c:pt>
                <c:pt idx="47">
                  <c:v>822.96782381786284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822.96782381786284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38-EC4B-8617-E82DF94A2E8E}"/>
            </c:ext>
          </c:extLst>
        </c:ser>
        <c:ser>
          <c:idx val="4"/>
          <c:order val="4"/>
          <c:tx>
            <c:strRef>
              <c:f>'statistical tests'!$AB$3</c:f>
              <c:strCache>
                <c:ptCount val="1"/>
                <c:pt idx="0">
                  <c:v>Temperature</c:v>
                </c:pt>
              </c:strCache>
            </c:strRef>
          </c:tx>
          <c:spPr>
            <a:solidFill>
              <a:srgbClr val="FF6D01">
                <a:alpha val="30000"/>
              </a:srgbClr>
            </a:solidFill>
            <a:ln cmpd="sng">
              <a:solidFill>
                <a:srgbClr val="FF6D01"/>
              </a:solidFill>
            </a:ln>
          </c:spPr>
          <c:cat>
            <c:numRef>
              <c:f>'statistical tests'!$A$4:$A$55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'statistical tests'!$AB$4:$AB$55</c:f>
              <c:numCache>
                <c:formatCode>[$$]#,##0</c:formatCode>
                <c:ptCount val="52"/>
                <c:pt idx="0">
                  <c:v>1019.1366380201298</c:v>
                </c:pt>
                <c:pt idx="1">
                  <c:v>955.12051754147842</c:v>
                </c:pt>
                <c:pt idx="2">
                  <c:v>988.40890019037727</c:v>
                </c:pt>
                <c:pt idx="3">
                  <c:v>827.08827658417567</c:v>
                </c:pt>
                <c:pt idx="4">
                  <c:v>893.66504188197314</c:v>
                </c:pt>
                <c:pt idx="5">
                  <c:v>990.96954500952336</c:v>
                </c:pt>
                <c:pt idx="6">
                  <c:v>898.78633152026532</c:v>
                </c:pt>
                <c:pt idx="7">
                  <c:v>880.86181778624291</c:v>
                </c:pt>
                <c:pt idx="8">
                  <c:v>970.48438645635485</c:v>
                </c:pt>
                <c:pt idx="9">
                  <c:v>1039.6217965732983</c:v>
                </c:pt>
                <c:pt idx="10">
                  <c:v>1180.4572616263315</c:v>
                </c:pt>
                <c:pt idx="11">
                  <c:v>1116.4411411476801</c:v>
                </c:pt>
                <c:pt idx="12">
                  <c:v>1072.910179222197</c:v>
                </c:pt>
                <c:pt idx="13">
                  <c:v>1154.8508134348708</c:v>
                </c:pt>
                <c:pt idx="14">
                  <c:v>1229.1095131901066</c:v>
                </c:pt>
                <c:pt idx="15">
                  <c:v>1170.2146823497471</c:v>
                </c:pt>
                <c:pt idx="16">
                  <c:v>1152.2901686157247</c:v>
                </c:pt>
                <c:pt idx="17">
                  <c:v>1285.4436992113197</c:v>
                </c:pt>
                <c:pt idx="18">
                  <c:v>1285.4436992113197</c:v>
                </c:pt>
                <c:pt idx="19">
                  <c:v>1352.0204645091171</c:v>
                </c:pt>
                <c:pt idx="20">
                  <c:v>1418.5972298069146</c:v>
                </c:pt>
                <c:pt idx="21">
                  <c:v>1579.9178534131161</c:v>
                </c:pt>
                <c:pt idx="22">
                  <c:v>1656.7371979874977</c:v>
                </c:pt>
                <c:pt idx="23">
                  <c:v>1730.9958977427332</c:v>
                </c:pt>
                <c:pt idx="24">
                  <c:v>1697.7075150938344</c:v>
                </c:pt>
                <c:pt idx="25">
                  <c:v>1905.1197454446651</c:v>
                </c:pt>
                <c:pt idx="26">
                  <c:v>1930.7261936361256</c:v>
                </c:pt>
                <c:pt idx="27">
                  <c:v>1974.2571555616082</c:v>
                </c:pt>
                <c:pt idx="28">
                  <c:v>1930.7261936361256</c:v>
                </c:pt>
                <c:pt idx="29">
                  <c:v>2038.2732760402596</c:v>
                </c:pt>
                <c:pt idx="30">
                  <c:v>2053.6371449551361</c:v>
                </c:pt>
                <c:pt idx="31">
                  <c:v>1943.529417731856</c:v>
                </c:pt>
                <c:pt idx="32">
                  <c:v>1979.3784451999004</c:v>
                </c:pt>
                <c:pt idx="33">
                  <c:v>1861.588783519182</c:v>
                </c:pt>
                <c:pt idx="34">
                  <c:v>1964.0145762850243</c:v>
                </c:pt>
                <c:pt idx="35">
                  <c:v>1861.588783519182</c:v>
                </c:pt>
                <c:pt idx="36">
                  <c:v>1835.9823353277216</c:v>
                </c:pt>
                <c:pt idx="37">
                  <c:v>1651.6159083492055</c:v>
                </c:pt>
                <c:pt idx="38">
                  <c:v>1600.4030119662843</c:v>
                </c:pt>
                <c:pt idx="39">
                  <c:v>1677.2223565406662</c:v>
                </c:pt>
                <c:pt idx="40">
                  <c:v>1559.4326948599476</c:v>
                </c:pt>
                <c:pt idx="41">
                  <c:v>1487.7346399238581</c:v>
                </c:pt>
                <c:pt idx="42">
                  <c:v>1564.5539844982397</c:v>
                </c:pt>
                <c:pt idx="43">
                  <c:v>1285.4436992113197</c:v>
                </c:pt>
                <c:pt idx="44">
                  <c:v>1290.5649888496118</c:v>
                </c:pt>
                <c:pt idx="45">
                  <c:v>1408.3546505303302</c:v>
                </c:pt>
                <c:pt idx="46">
                  <c:v>1136.9262997008484</c:v>
                </c:pt>
                <c:pt idx="47">
                  <c:v>1241.9127372858368</c:v>
                </c:pt>
                <c:pt idx="48">
                  <c:v>1139.4869445199945</c:v>
                </c:pt>
                <c:pt idx="49">
                  <c:v>962.80245199891669</c:v>
                </c:pt>
                <c:pt idx="50">
                  <c:v>839.89150067990602</c:v>
                </c:pt>
                <c:pt idx="51">
                  <c:v>919.27149007343371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38-EC4B-8617-E82DF94A2E8E}"/>
            </c:ext>
          </c:extLst>
        </c:ser>
        <c:ser>
          <c:idx val="5"/>
          <c:order val="5"/>
          <c:tx>
            <c:strRef>
              <c:f>'statistical tests'!$AC$3</c:f>
              <c:strCache>
                <c:ptCount val="1"/>
                <c:pt idx="0">
                  <c:v>Price Change</c:v>
                </c:pt>
              </c:strCache>
            </c:strRef>
          </c:tx>
          <c:spPr>
            <a:solidFill>
              <a:srgbClr val="46BDC6">
                <a:alpha val="30000"/>
              </a:srgbClr>
            </a:solidFill>
            <a:ln cmpd="sng">
              <a:solidFill>
                <a:srgbClr val="46BDC6"/>
              </a:solidFill>
            </a:ln>
          </c:spPr>
          <c:cat>
            <c:numRef>
              <c:f>'statistical tests'!$A$4:$A$55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'statistical tests'!$AC$4:$AC$55</c:f>
              <c:numCache>
                <c:formatCode>[$$]#,##0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-341.47159950323402</c:v>
                </c:pt>
                <c:pt idx="16">
                  <c:v>-341.47159950323402</c:v>
                </c:pt>
                <c:pt idx="17">
                  <c:v>-341.47159950323402</c:v>
                </c:pt>
                <c:pt idx="18">
                  <c:v>-341.47159950323402</c:v>
                </c:pt>
                <c:pt idx="19">
                  <c:v>-341.47159950323402</c:v>
                </c:pt>
                <c:pt idx="20">
                  <c:v>-341.47159950323402</c:v>
                </c:pt>
                <c:pt idx="21">
                  <c:v>-341.47159950323402</c:v>
                </c:pt>
                <c:pt idx="22">
                  <c:v>-341.47159950323402</c:v>
                </c:pt>
                <c:pt idx="23">
                  <c:v>-341.47159950323402</c:v>
                </c:pt>
                <c:pt idx="24">
                  <c:v>-341.47159950323402</c:v>
                </c:pt>
                <c:pt idx="25">
                  <c:v>-341.47159950323402</c:v>
                </c:pt>
                <c:pt idx="26">
                  <c:v>-341.47159950323402</c:v>
                </c:pt>
                <c:pt idx="27">
                  <c:v>-341.47159950323402</c:v>
                </c:pt>
                <c:pt idx="28">
                  <c:v>-341.47159950323402</c:v>
                </c:pt>
                <c:pt idx="29">
                  <c:v>-341.47159950323402</c:v>
                </c:pt>
                <c:pt idx="30">
                  <c:v>-341.47159950323402</c:v>
                </c:pt>
                <c:pt idx="31">
                  <c:v>-341.47159950323402</c:v>
                </c:pt>
                <c:pt idx="32">
                  <c:v>136.58863980129362</c:v>
                </c:pt>
                <c:pt idx="33">
                  <c:v>136.58863980129362</c:v>
                </c:pt>
                <c:pt idx="34">
                  <c:v>136.58863980129362</c:v>
                </c:pt>
                <c:pt idx="35">
                  <c:v>136.58863980129362</c:v>
                </c:pt>
                <c:pt idx="36">
                  <c:v>136.58863980129362</c:v>
                </c:pt>
                <c:pt idx="37">
                  <c:v>136.58863980129362</c:v>
                </c:pt>
                <c:pt idx="38">
                  <c:v>136.58863980129362</c:v>
                </c:pt>
                <c:pt idx="39">
                  <c:v>136.58863980129362</c:v>
                </c:pt>
                <c:pt idx="40">
                  <c:v>136.58863980129362</c:v>
                </c:pt>
                <c:pt idx="41">
                  <c:v>136.58863980129362</c:v>
                </c:pt>
                <c:pt idx="42">
                  <c:v>136.58863980129362</c:v>
                </c:pt>
                <c:pt idx="43">
                  <c:v>136.58863980129362</c:v>
                </c:pt>
                <c:pt idx="44">
                  <c:v>136.58863980129362</c:v>
                </c:pt>
                <c:pt idx="45">
                  <c:v>136.58863980129362</c:v>
                </c:pt>
                <c:pt idx="46">
                  <c:v>136.58863980129362</c:v>
                </c:pt>
                <c:pt idx="47">
                  <c:v>136.58863980129362</c:v>
                </c:pt>
                <c:pt idx="48">
                  <c:v>136.58863980129362</c:v>
                </c:pt>
                <c:pt idx="49">
                  <c:v>136.58863980129362</c:v>
                </c:pt>
                <c:pt idx="50">
                  <c:v>136.58863980129362</c:v>
                </c:pt>
                <c:pt idx="51">
                  <c:v>136.58863980129362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038-EC4B-8617-E82DF94A2E8E}"/>
            </c:ext>
          </c:extLst>
        </c:ser>
        <c:ser>
          <c:idx val="6"/>
          <c:order val="6"/>
          <c:tx>
            <c:strRef>
              <c:f>'statistical tests'!$AD$3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7BAAF7">
                <a:alpha val="30000"/>
              </a:srgbClr>
            </a:solidFill>
            <a:ln cmpd="sng">
              <a:solidFill>
                <a:srgbClr val="7BAAF7"/>
              </a:solidFill>
            </a:ln>
          </c:spPr>
          <c:cat>
            <c:numRef>
              <c:f>'statistical tests'!$A$4:$A$55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'statistical tests'!$AD$4:$AD$55</c:f>
              <c:numCache>
                <c:formatCode>[$$]#,##0</c:formatCode>
                <c:ptCount val="52"/>
                <c:pt idx="0">
                  <c:v>1605.4931803061395</c:v>
                </c:pt>
                <c:pt idx="1">
                  <c:v>1605.4931803061395</c:v>
                </c:pt>
                <c:pt idx="2">
                  <c:v>1605.4931803061395</c:v>
                </c:pt>
                <c:pt idx="3">
                  <c:v>1605.4931803061395</c:v>
                </c:pt>
                <c:pt idx="4">
                  <c:v>1605.4931803061395</c:v>
                </c:pt>
                <c:pt idx="5">
                  <c:v>1605.4931803061395</c:v>
                </c:pt>
                <c:pt idx="6">
                  <c:v>1605.4931803061395</c:v>
                </c:pt>
                <c:pt idx="7">
                  <c:v>1605.4931803061395</c:v>
                </c:pt>
                <c:pt idx="8">
                  <c:v>1605.4931803061395</c:v>
                </c:pt>
                <c:pt idx="9">
                  <c:v>1605.4931803061395</c:v>
                </c:pt>
                <c:pt idx="10">
                  <c:v>1605.4931803061395</c:v>
                </c:pt>
                <c:pt idx="11">
                  <c:v>1605.4931803061395</c:v>
                </c:pt>
                <c:pt idx="12">
                  <c:v>1605.4931803061395</c:v>
                </c:pt>
                <c:pt idx="13">
                  <c:v>1605.4931803061395</c:v>
                </c:pt>
                <c:pt idx="14">
                  <c:v>1605.4931803061395</c:v>
                </c:pt>
                <c:pt idx="15">
                  <c:v>1605.4931803061395</c:v>
                </c:pt>
                <c:pt idx="16">
                  <c:v>1605.4931803061395</c:v>
                </c:pt>
                <c:pt idx="17">
                  <c:v>1605.4931803061395</c:v>
                </c:pt>
                <c:pt idx="18">
                  <c:v>1605.4931803061395</c:v>
                </c:pt>
                <c:pt idx="19">
                  <c:v>1605.4931803061395</c:v>
                </c:pt>
                <c:pt idx="20">
                  <c:v>1605.4931803061395</c:v>
                </c:pt>
                <c:pt idx="21">
                  <c:v>1605.4931803061395</c:v>
                </c:pt>
                <c:pt idx="22">
                  <c:v>1605.4931803061395</c:v>
                </c:pt>
                <c:pt idx="23">
                  <c:v>1605.4931803061395</c:v>
                </c:pt>
                <c:pt idx="24">
                  <c:v>1605.4931803061395</c:v>
                </c:pt>
                <c:pt idx="25">
                  <c:v>1605.4931803061395</c:v>
                </c:pt>
                <c:pt idx="26">
                  <c:v>1605.4931803061395</c:v>
                </c:pt>
                <c:pt idx="27">
                  <c:v>1605.4931803061395</c:v>
                </c:pt>
                <c:pt idx="28">
                  <c:v>1605.4931803061395</c:v>
                </c:pt>
                <c:pt idx="29">
                  <c:v>1605.4931803061395</c:v>
                </c:pt>
                <c:pt idx="30">
                  <c:v>1605.4931803061395</c:v>
                </c:pt>
                <c:pt idx="31">
                  <c:v>1605.4931803061395</c:v>
                </c:pt>
                <c:pt idx="32">
                  <c:v>1605.4931803061395</c:v>
                </c:pt>
                <c:pt idx="33">
                  <c:v>1605.4931803061395</c:v>
                </c:pt>
                <c:pt idx="34">
                  <c:v>1605.4931803061395</c:v>
                </c:pt>
                <c:pt idx="35">
                  <c:v>1605.4931803061395</c:v>
                </c:pt>
                <c:pt idx="36">
                  <c:v>1605.4931803061395</c:v>
                </c:pt>
                <c:pt idx="37">
                  <c:v>1605.4931803061395</c:v>
                </c:pt>
                <c:pt idx="38">
                  <c:v>1605.4931803061395</c:v>
                </c:pt>
                <c:pt idx="39">
                  <c:v>1605.4931803061395</c:v>
                </c:pt>
                <c:pt idx="40">
                  <c:v>1605.4931803061395</c:v>
                </c:pt>
                <c:pt idx="41">
                  <c:v>1605.4931803061395</c:v>
                </c:pt>
                <c:pt idx="42">
                  <c:v>1605.4931803061395</c:v>
                </c:pt>
                <c:pt idx="43">
                  <c:v>1605.4931803061395</c:v>
                </c:pt>
                <c:pt idx="44">
                  <c:v>1605.4931803061395</c:v>
                </c:pt>
                <c:pt idx="45">
                  <c:v>1605.4931803061395</c:v>
                </c:pt>
                <c:pt idx="46">
                  <c:v>1605.4931803061395</c:v>
                </c:pt>
                <c:pt idx="47">
                  <c:v>1605.4931803061395</c:v>
                </c:pt>
                <c:pt idx="48">
                  <c:v>1605.4931803061395</c:v>
                </c:pt>
                <c:pt idx="49">
                  <c:v>1605.4931803061395</c:v>
                </c:pt>
                <c:pt idx="50">
                  <c:v>1605.4931803061395</c:v>
                </c:pt>
                <c:pt idx="51">
                  <c:v>1605.4931803061395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38-EC4B-8617-E82DF94A2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401564"/>
        <c:axId val="1580825599"/>
      </c:areaChart>
      <c:catAx>
        <c:axId val="14464015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80825599"/>
        <c:crosses val="autoZero"/>
        <c:auto val="1"/>
        <c:lblAlgn val="ctr"/>
        <c:lblOffset val="100"/>
        <c:noMultiLvlLbl val="1"/>
      </c:catAx>
      <c:valAx>
        <c:axId val="1580825599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[$$]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6401564"/>
        <c:crosses val="autoZero"/>
        <c:crossBetween val="midCat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Prediction vs Actual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Forecasting!$B$3</c:f>
              <c:strCache>
                <c:ptCount val="1"/>
                <c:pt idx="0">
                  <c:v>Revenue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Forecasting!$A$4:$A$55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Forecasting!$B$4:$B$55</c:f>
              <c:numCache>
                <c:formatCode>[$$]#,##0</c:formatCode>
                <c:ptCount val="52"/>
                <c:pt idx="0">
                  <c:v>3302.99</c:v>
                </c:pt>
                <c:pt idx="1">
                  <c:v>2706.27</c:v>
                </c:pt>
                <c:pt idx="2">
                  <c:v>2330.41</c:v>
                </c:pt>
                <c:pt idx="3">
                  <c:v>2351.63</c:v>
                </c:pt>
                <c:pt idx="4">
                  <c:v>2398.48</c:v>
                </c:pt>
                <c:pt idx="5">
                  <c:v>2611.66</c:v>
                </c:pt>
                <c:pt idx="6">
                  <c:v>2557.31</c:v>
                </c:pt>
                <c:pt idx="7">
                  <c:v>3250.96</c:v>
                </c:pt>
                <c:pt idx="8">
                  <c:v>2802.04</c:v>
                </c:pt>
                <c:pt idx="9">
                  <c:v>2881.28</c:v>
                </c:pt>
                <c:pt idx="10">
                  <c:v>2734.97</c:v>
                </c:pt>
                <c:pt idx="11">
                  <c:v>3580.57</c:v>
                </c:pt>
                <c:pt idx="12">
                  <c:v>3581.54</c:v>
                </c:pt>
                <c:pt idx="13">
                  <c:v>2962.99</c:v>
                </c:pt>
                <c:pt idx="14">
                  <c:v>2510.8200000000002</c:v>
                </c:pt>
                <c:pt idx="15">
                  <c:v>2523.34</c:v>
                </c:pt>
                <c:pt idx="16">
                  <c:v>2708.6</c:v>
                </c:pt>
                <c:pt idx="17">
                  <c:v>2459.0300000000002</c:v>
                </c:pt>
                <c:pt idx="18">
                  <c:v>3429.26</c:v>
                </c:pt>
                <c:pt idx="19">
                  <c:v>2707.15</c:v>
                </c:pt>
                <c:pt idx="20">
                  <c:v>2658.95</c:v>
                </c:pt>
                <c:pt idx="21">
                  <c:v>2848.53</c:v>
                </c:pt>
                <c:pt idx="22">
                  <c:v>2801.63</c:v>
                </c:pt>
                <c:pt idx="23">
                  <c:v>4645.67</c:v>
                </c:pt>
                <c:pt idx="24">
                  <c:v>4034.12</c:v>
                </c:pt>
                <c:pt idx="25">
                  <c:v>4510.32</c:v>
                </c:pt>
                <c:pt idx="26">
                  <c:v>4436.8999999999996</c:v>
                </c:pt>
                <c:pt idx="27">
                  <c:v>5427.97</c:v>
                </c:pt>
                <c:pt idx="28">
                  <c:v>4758.76</c:v>
                </c:pt>
                <c:pt idx="29">
                  <c:v>4773.62</c:v>
                </c:pt>
                <c:pt idx="30">
                  <c:v>4866.54</c:v>
                </c:pt>
                <c:pt idx="31">
                  <c:v>4846.53</c:v>
                </c:pt>
                <c:pt idx="32">
                  <c:v>5209.8999999999996</c:v>
                </c:pt>
                <c:pt idx="33">
                  <c:v>4831.16</c:v>
                </c:pt>
                <c:pt idx="34">
                  <c:v>4999.6400000000003</c:v>
                </c:pt>
                <c:pt idx="35">
                  <c:v>4073.66</c:v>
                </c:pt>
                <c:pt idx="36">
                  <c:v>3885.19</c:v>
                </c:pt>
                <c:pt idx="37">
                  <c:v>3395.17</c:v>
                </c:pt>
                <c:pt idx="38">
                  <c:v>3543.52</c:v>
                </c:pt>
                <c:pt idx="39">
                  <c:v>3318.82</c:v>
                </c:pt>
                <c:pt idx="40">
                  <c:v>3439.85</c:v>
                </c:pt>
                <c:pt idx="41">
                  <c:v>3396.71</c:v>
                </c:pt>
                <c:pt idx="42">
                  <c:v>3249.66</c:v>
                </c:pt>
                <c:pt idx="43">
                  <c:v>2931.35</c:v>
                </c:pt>
                <c:pt idx="44">
                  <c:v>3933.05</c:v>
                </c:pt>
                <c:pt idx="45">
                  <c:v>3506.81</c:v>
                </c:pt>
                <c:pt idx="46">
                  <c:v>2818.97</c:v>
                </c:pt>
                <c:pt idx="47">
                  <c:v>3856.38</c:v>
                </c:pt>
                <c:pt idx="48">
                  <c:v>3060.15</c:v>
                </c:pt>
                <c:pt idx="49">
                  <c:v>2761.15</c:v>
                </c:pt>
                <c:pt idx="50">
                  <c:v>2323.12</c:v>
                </c:pt>
                <c:pt idx="51">
                  <c:v>3577.04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15-E243-AA49-5E88C7D7FAC4}"/>
            </c:ext>
          </c:extLst>
        </c:ser>
        <c:ser>
          <c:idx val="1"/>
          <c:order val="1"/>
          <c:tx>
            <c:strRef>
              <c:f>Forecasting!$AE$3</c:f>
              <c:strCache>
                <c:ptCount val="1"/>
                <c:pt idx="0">
                  <c:v>Predicted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Forecasting!$A$4:$A$55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Forecasting!$AE$4:$AE$55</c:f>
              <c:numCache>
                <c:formatCode>[$$]#,##0</c:formatCode>
                <c:ptCount val="52"/>
                <c:pt idx="0">
                  <c:v>3447.5976421441319</c:v>
                </c:pt>
                <c:pt idx="1">
                  <c:v>2560.6136978476179</c:v>
                </c:pt>
                <c:pt idx="2">
                  <c:v>2593.9020804965166</c:v>
                </c:pt>
                <c:pt idx="3">
                  <c:v>2432.5814568903152</c:v>
                </c:pt>
                <c:pt idx="4">
                  <c:v>2520.3469472425418</c:v>
                </c:pt>
                <c:pt idx="5">
                  <c:v>2617.6514503700919</c:v>
                </c:pt>
                <c:pt idx="6">
                  <c:v>2525.468236880834</c:v>
                </c:pt>
                <c:pt idx="7">
                  <c:v>3330.5115469646744</c:v>
                </c:pt>
                <c:pt idx="8">
                  <c:v>2597.1662918169231</c:v>
                </c:pt>
                <c:pt idx="9">
                  <c:v>2676.898064461081</c:v>
                </c:pt>
                <c:pt idx="10">
                  <c:v>2817.7335295141147</c:v>
                </c:pt>
                <c:pt idx="11">
                  <c:v>3576.6852328533259</c:v>
                </c:pt>
                <c:pt idx="12">
                  <c:v>3533.1542709278428</c:v>
                </c:pt>
                <c:pt idx="13">
                  <c:v>2792.1270813226538</c:v>
                </c:pt>
                <c:pt idx="14">
                  <c:v>2866.3857810778895</c:v>
                </c:pt>
                <c:pt idx="15">
                  <c:v>2466.019350734296</c:v>
                </c:pt>
                <c:pt idx="16">
                  <c:v>2448.0948370002734</c:v>
                </c:pt>
                <c:pt idx="17">
                  <c:v>2591.8427301230831</c:v>
                </c:pt>
                <c:pt idx="18">
                  <c:v>3414.8105539409462</c:v>
                </c:pt>
                <c:pt idx="19">
                  <c:v>2658.4194954208806</c:v>
                </c:pt>
                <c:pt idx="20">
                  <c:v>2724.9962607186781</c:v>
                </c:pt>
                <c:pt idx="21">
                  <c:v>2886.3168843248795</c:v>
                </c:pt>
                <c:pt idx="22">
                  <c:v>2963.1362288992614</c:v>
                </c:pt>
                <c:pt idx="23">
                  <c:v>4633.6546138952217</c:v>
                </c:pt>
                <c:pt idx="24">
                  <c:v>3996.6727308226623</c:v>
                </c:pt>
                <c:pt idx="25">
                  <c:v>4520.7851528546889</c:v>
                </c:pt>
                <c:pt idx="26">
                  <c:v>4587.3150152060571</c:v>
                </c:pt>
                <c:pt idx="27">
                  <c:v>5459.7342076810455</c:v>
                </c:pt>
                <c:pt idx="28">
                  <c:v>4595.0115439571928</c:v>
                </c:pt>
                <c:pt idx="29">
                  <c:v>4832.4939780787608</c:v>
                </c:pt>
                <c:pt idx="30">
                  <c:v>4848.0176979753924</c:v>
                </c:pt>
                <c:pt idx="31">
                  <c:v>4716.7692009922102</c:v>
                </c:pt>
                <c:pt idx="32">
                  <c:v>5230.6928543531394</c:v>
                </c:pt>
                <c:pt idx="33">
                  <c:v>4898.1311723555173</c:v>
                </c:pt>
                <c:pt idx="34">
                  <c:v>5000.5582599143127</c:v>
                </c:pt>
                <c:pt idx="35">
                  <c:v>4124.8409941634927</c:v>
                </c:pt>
                <c:pt idx="36">
                  <c:v>3879.9603391091969</c:v>
                </c:pt>
                <c:pt idx="37">
                  <c:v>3464.2675765907184</c:v>
                </c:pt>
                <c:pt idx="38">
                  <c:v>3393.3200015901421</c:v>
                </c:pt>
                <c:pt idx="39">
                  <c:v>3464.2189425792271</c:v>
                </c:pt>
                <c:pt idx="40">
                  <c:v>3334.0587972957051</c:v>
                </c:pt>
                <c:pt idx="41">
                  <c:v>3261.8279060369387</c:v>
                </c:pt>
                <c:pt idx="42">
                  <c:v>3338.4873997145178</c:v>
                </c:pt>
                <c:pt idx="43">
                  <c:v>3059.3291591585566</c:v>
                </c:pt>
                <c:pt idx="44">
                  <c:v>3876.8095235067849</c:v>
                </c:pt>
                <c:pt idx="45">
                  <c:v>3171.6270453954266</c:v>
                </c:pt>
                <c:pt idx="46">
                  <c:v>2900.1973997736804</c:v>
                </c:pt>
                <c:pt idx="47">
                  <c:v>3828.1512727388526</c:v>
                </c:pt>
                <c:pt idx="48">
                  <c:v>2881.5688145694148</c:v>
                </c:pt>
                <c:pt idx="49">
                  <c:v>2704.8842870889457</c:v>
                </c:pt>
                <c:pt idx="50">
                  <c:v>2581.9733252821179</c:v>
                </c:pt>
                <c:pt idx="51">
                  <c:v>3484.3211353471634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15-E243-AA49-5E88C7D7F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78234"/>
        <c:axId val="120258405"/>
      </c:lineChart>
      <c:catAx>
        <c:axId val="299782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0258405"/>
        <c:crosses val="autoZero"/>
        <c:auto val="1"/>
        <c:lblAlgn val="ctr"/>
        <c:lblOffset val="100"/>
        <c:noMultiLvlLbl val="1"/>
      </c:catAx>
      <c:valAx>
        <c:axId val="1202584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[$$]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997823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% Error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Forecasting!$AG$3</c:f>
              <c:strCache>
                <c:ptCount val="1"/>
                <c:pt idx="0">
                  <c:v>% Error</c:v>
                </c:pt>
              </c:strCache>
            </c:strRef>
          </c:tx>
          <c:spPr>
            <a:solidFill>
              <a:srgbClr val="FF00FF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Forecasting!$AG$4:$AG$55</c:f>
              <c:numCache>
                <c:formatCode>0.00%</c:formatCode>
                <c:ptCount val="52"/>
                <c:pt idx="0">
                  <c:v>4.3780829534492118E-2</c:v>
                </c:pt>
                <c:pt idx="1">
                  <c:v>-5.3821792412576008E-2</c:v>
                </c:pt>
                <c:pt idx="2">
                  <c:v>0.11306683394617978</c:v>
                </c:pt>
                <c:pt idx="3">
                  <c:v>3.4423551702570158E-2</c:v>
                </c:pt>
                <c:pt idx="4">
                  <c:v>5.0810074398177911E-2</c:v>
                </c:pt>
                <c:pt idx="5">
                  <c:v>2.2941157616581122E-3</c:v>
                </c:pt>
                <c:pt idx="6">
                  <c:v>-1.2451272281876655E-2</c:v>
                </c:pt>
                <c:pt idx="7">
                  <c:v>2.4470170954017996E-2</c:v>
                </c:pt>
                <c:pt idx="8">
                  <c:v>-7.3115911329987016E-2</c:v>
                </c:pt>
                <c:pt idx="9">
                  <c:v>-7.0934423429489371E-2</c:v>
                </c:pt>
                <c:pt idx="10">
                  <c:v>3.0261220237923967E-2</c:v>
                </c:pt>
                <c:pt idx="11">
                  <c:v>-1.0849577432292124E-3</c:v>
                </c:pt>
                <c:pt idx="12">
                  <c:v>-1.350975532093935E-2</c:v>
                </c:pt>
                <c:pt idx="13">
                  <c:v>-5.7665708854010983E-2</c:v>
                </c:pt>
                <c:pt idx="14">
                  <c:v>0.14161340959443103</c:v>
                </c:pt>
                <c:pt idx="15">
                  <c:v>-2.2716181436391491E-2</c:v>
                </c:pt>
                <c:pt idx="16">
                  <c:v>-9.6177051982473061E-2</c:v>
                </c:pt>
                <c:pt idx="17">
                  <c:v>5.4010211393550674E-2</c:v>
                </c:pt>
                <c:pt idx="18">
                  <c:v>-4.2135755408029794E-3</c:v>
                </c:pt>
                <c:pt idx="19">
                  <c:v>-1.800066659738821E-2</c:v>
                </c:pt>
                <c:pt idx="20">
                  <c:v>2.4839226280553694E-2</c:v>
                </c:pt>
                <c:pt idx="21">
                  <c:v>1.3265398056148025E-2</c:v>
                </c:pt>
                <c:pt idx="22">
                  <c:v>5.7647237108133929E-2</c:v>
                </c:pt>
                <c:pt idx="23">
                  <c:v>-2.5863623771766766E-3</c:v>
                </c:pt>
                <c:pt idx="24">
                  <c:v>-9.2826364057929864E-3</c:v>
                </c:pt>
                <c:pt idx="25">
                  <c:v>2.3202683744588462E-3</c:v>
                </c:pt>
                <c:pt idx="26">
                  <c:v>3.3900925241961151E-2</c:v>
                </c:pt>
                <c:pt idx="27">
                  <c:v>5.8519497493621482E-3</c:v>
                </c:pt>
                <c:pt idx="28">
                  <c:v>-3.4409900066993807E-2</c:v>
                </c:pt>
                <c:pt idx="29">
                  <c:v>1.2333193274446009E-2</c:v>
                </c:pt>
                <c:pt idx="30">
                  <c:v>-3.8060515324250077E-3</c:v>
                </c:pt>
                <c:pt idx="31">
                  <c:v>-2.6773959721241695E-2</c:v>
                </c:pt>
                <c:pt idx="32">
                  <c:v>3.9910275347203933E-3</c:v>
                </c:pt>
                <c:pt idx="33">
                  <c:v>1.3862337897216696E-2</c:v>
                </c:pt>
                <c:pt idx="34">
                  <c:v>1.8366520675735246E-4</c:v>
                </c:pt>
                <c:pt idx="35">
                  <c:v>1.2563884605856373E-2</c:v>
                </c:pt>
                <c:pt idx="36">
                  <c:v>-1.3460502294104506E-3</c:v>
                </c:pt>
                <c:pt idx="37">
                  <c:v>2.0351728069792761E-2</c:v>
                </c:pt>
                <c:pt idx="38">
                  <c:v>-4.2387230327430893E-2</c:v>
                </c:pt>
                <c:pt idx="39">
                  <c:v>4.381043340079515E-2</c:v>
                </c:pt>
                <c:pt idx="40">
                  <c:v>-3.0754597643587612E-2</c:v>
                </c:pt>
                <c:pt idx="41">
                  <c:v>-3.9709629012503682E-2</c:v>
                </c:pt>
                <c:pt idx="42">
                  <c:v>2.7334367199804879E-2</c:v>
                </c:pt>
                <c:pt idx="43">
                  <c:v>4.3658778091513036E-2</c:v>
                </c:pt>
                <c:pt idx="44">
                  <c:v>-1.4299456272667594E-2</c:v>
                </c:pt>
                <c:pt idx="45">
                  <c:v>-9.5580585946935623E-2</c:v>
                </c:pt>
                <c:pt idx="46">
                  <c:v>2.8814566942422463E-2</c:v>
                </c:pt>
                <c:pt idx="47">
                  <c:v>-7.3200066542061385E-3</c:v>
                </c:pt>
                <c:pt idx="48">
                  <c:v>-5.8357003882353889E-2</c:v>
                </c:pt>
                <c:pt idx="49">
                  <c:v>-2.037763718416398E-2</c:v>
                </c:pt>
                <c:pt idx="50">
                  <c:v>0.11142486194519355</c:v>
                </c:pt>
                <c:pt idx="51">
                  <c:v>-2.5920555725638127E-2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AD7-B647-975A-A673E91DE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9085556"/>
        <c:axId val="1838644681"/>
      </c:barChart>
      <c:catAx>
        <c:axId val="5990855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38644681"/>
        <c:crosses val="autoZero"/>
        <c:auto val="1"/>
        <c:lblAlgn val="ctr"/>
        <c:lblOffset val="100"/>
        <c:noMultiLvlLbl val="1"/>
      </c:catAx>
      <c:valAx>
        <c:axId val="18386446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% Error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9908555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 rt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Contribution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Forecasting!$M$26:$M$32</c:f>
              <c:strCache>
                <c:ptCount val="7"/>
                <c:pt idx="0">
                  <c:v>Social Ads, AR=0, DR=0.6</c:v>
                </c:pt>
                <c:pt idx="1">
                  <c:v>Search Ads, AR=0, DR=1</c:v>
                </c:pt>
                <c:pt idx="2">
                  <c:v>Newspaper Ads, AR=0.3, DR=1</c:v>
                </c:pt>
                <c:pt idx="3">
                  <c:v>Holiday</c:v>
                </c:pt>
                <c:pt idx="4">
                  <c:v>Temperature</c:v>
                </c:pt>
                <c:pt idx="5">
                  <c:v>Price Change</c:v>
                </c:pt>
                <c:pt idx="6">
                  <c:v>Baseline</c:v>
                </c:pt>
              </c:strCache>
            </c:strRef>
          </c:cat>
          <c:val>
            <c:numRef>
              <c:f>Forecasting!$O$26:$O$32</c:f>
              <c:numCache>
                <c:formatCode>0.00%</c:formatCode>
                <c:ptCount val="7"/>
                <c:pt idx="0">
                  <c:v>1.7794045181271815E-2</c:v>
                </c:pt>
                <c:pt idx="1">
                  <c:v>1.2066462695112464E-2</c:v>
                </c:pt>
                <c:pt idx="2">
                  <c:v>6.9955957961496132E-2</c:v>
                </c:pt>
                <c:pt idx="3">
                  <c:v>4.5947071137548985E-2</c:v>
                </c:pt>
                <c:pt idx="4">
                  <c:v>0.40528643104801015</c:v>
                </c:pt>
                <c:pt idx="5">
                  <c:v>-1.7158213818053356E-2</c:v>
                </c:pt>
                <c:pt idx="6">
                  <c:v>0.46610824579461374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F91-9744-8BD0-DDAF2FF72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3744655"/>
        <c:axId val="759764662"/>
      </c:barChart>
      <c:catAx>
        <c:axId val="34374465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59764662"/>
        <c:crosses val="autoZero"/>
        <c:auto val="1"/>
        <c:lblAlgn val="ctr"/>
        <c:lblOffset val="100"/>
        <c:noMultiLvlLbl val="1"/>
      </c:catAx>
      <c:valAx>
        <c:axId val="75976466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Share of Revenue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43744655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Decomposition</a:t>
            </a:r>
          </a:p>
        </c:rich>
      </c:tx>
      <c:overlay val="0"/>
    </c:title>
    <c:autoTitleDeleted val="0"/>
    <c:plotArea>
      <c:layout/>
      <c:areaChart>
        <c:grouping val="stacked"/>
        <c:varyColors val="1"/>
        <c:ser>
          <c:idx val="0"/>
          <c:order val="0"/>
          <c:tx>
            <c:strRef>
              <c:f>Forecasting!$X$3</c:f>
              <c:strCache>
                <c:ptCount val="1"/>
                <c:pt idx="0">
                  <c:v>Social Ads, AR=0, DR=0.6</c:v>
                </c:pt>
              </c:strCache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numRef>
              <c:f>Forecasting!$A$4:$A$55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Forecasting!$X$4:$X$55</c:f>
              <c:numCache>
                <c:formatCode>[$$]#,##0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250.91789466293579</c:v>
                </c:pt>
                <c:pt idx="26">
                  <c:v>250.91789466293579</c:v>
                </c:pt>
                <c:pt idx="27">
                  <c:v>250.91789466293579</c:v>
                </c:pt>
                <c:pt idx="28">
                  <c:v>250.91789466293579</c:v>
                </c:pt>
                <c:pt idx="29">
                  <c:v>380.3204097745226</c:v>
                </c:pt>
                <c:pt idx="30">
                  <c:v>380.3204097745226</c:v>
                </c:pt>
                <c:pt idx="31">
                  <c:v>380.3204097745226</c:v>
                </c:pt>
                <c:pt idx="32">
                  <c:v>380.3204097745226</c:v>
                </c:pt>
                <c:pt idx="33">
                  <c:v>165.54407348111167</c:v>
                </c:pt>
                <c:pt idx="34">
                  <c:v>165.54407348111167</c:v>
                </c:pt>
                <c:pt idx="35">
                  <c:v>165.54407348111167</c:v>
                </c:pt>
                <c:pt idx="36">
                  <c:v>165.54407348111167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AA-C14C-AA0F-54F8D45E51DD}"/>
            </c:ext>
          </c:extLst>
        </c:ser>
        <c:ser>
          <c:idx val="1"/>
          <c:order val="1"/>
          <c:tx>
            <c:strRef>
              <c:f>Forecasting!$Y$3</c:f>
              <c:strCache>
                <c:ptCount val="1"/>
                <c:pt idx="0">
                  <c:v>Search Ads, AR=0, DR=1</c:v>
                </c:pt>
              </c:strCache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numRef>
              <c:f>Forecasting!$A$4:$A$55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Forecasting!$Y$4:$Y$55</c:f>
              <c:numCache>
                <c:formatCode>[$$]#,##0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21.188725054429007</c:v>
                </c:pt>
                <c:pt idx="5">
                  <c:v>21.188725054429007</c:v>
                </c:pt>
                <c:pt idx="6">
                  <c:v>21.188725054429007</c:v>
                </c:pt>
                <c:pt idx="7">
                  <c:v>21.188725054429007</c:v>
                </c:pt>
                <c:pt idx="8">
                  <c:v>21.188725054429007</c:v>
                </c:pt>
                <c:pt idx="9">
                  <c:v>31.783087581643507</c:v>
                </c:pt>
                <c:pt idx="10">
                  <c:v>31.783087581643507</c:v>
                </c:pt>
                <c:pt idx="11">
                  <c:v>31.783087581643507</c:v>
                </c:pt>
                <c:pt idx="12">
                  <c:v>31.783087581643507</c:v>
                </c:pt>
                <c:pt idx="13">
                  <c:v>31.783087581643507</c:v>
                </c:pt>
                <c:pt idx="14">
                  <c:v>31.783087581643507</c:v>
                </c:pt>
                <c:pt idx="15">
                  <c:v>31.783087581643507</c:v>
                </c:pt>
                <c:pt idx="16">
                  <c:v>31.783087581643507</c:v>
                </c:pt>
                <c:pt idx="17">
                  <c:v>42.377450108858014</c:v>
                </c:pt>
                <c:pt idx="18">
                  <c:v>42.377450108858014</c:v>
                </c:pt>
                <c:pt idx="19">
                  <c:v>42.377450108858014</c:v>
                </c:pt>
                <c:pt idx="20">
                  <c:v>42.377450108858014</c:v>
                </c:pt>
                <c:pt idx="21">
                  <c:v>42.377450108858014</c:v>
                </c:pt>
                <c:pt idx="22">
                  <c:v>42.377450108858014</c:v>
                </c:pt>
                <c:pt idx="23">
                  <c:v>84.754900217716028</c:v>
                </c:pt>
                <c:pt idx="24">
                  <c:v>84.754900217716028</c:v>
                </c:pt>
                <c:pt idx="25">
                  <c:v>84.754900217716028</c:v>
                </c:pt>
                <c:pt idx="26">
                  <c:v>105.94362527214503</c:v>
                </c:pt>
                <c:pt idx="27">
                  <c:v>105.94362527214503</c:v>
                </c:pt>
                <c:pt idx="28">
                  <c:v>105.94362527214503</c:v>
                </c:pt>
                <c:pt idx="29">
                  <c:v>105.94362527214503</c:v>
                </c:pt>
                <c:pt idx="30">
                  <c:v>105.94362527214503</c:v>
                </c:pt>
                <c:pt idx="31">
                  <c:v>84.754900217716028</c:v>
                </c:pt>
                <c:pt idx="32">
                  <c:v>84.754900217716028</c:v>
                </c:pt>
                <c:pt idx="33">
                  <c:v>84.754900217716028</c:v>
                </c:pt>
                <c:pt idx="34">
                  <c:v>84.754900217716028</c:v>
                </c:pt>
                <c:pt idx="35">
                  <c:v>42.377450108858014</c:v>
                </c:pt>
                <c:pt idx="36">
                  <c:v>42.377450108858014</c:v>
                </c:pt>
                <c:pt idx="37">
                  <c:v>42.377450108858014</c:v>
                </c:pt>
                <c:pt idx="38">
                  <c:v>42.377450108858014</c:v>
                </c:pt>
                <c:pt idx="39">
                  <c:v>42.377450108858014</c:v>
                </c:pt>
                <c:pt idx="40">
                  <c:v>31.783087581643507</c:v>
                </c:pt>
                <c:pt idx="41">
                  <c:v>31.783087581643507</c:v>
                </c:pt>
                <c:pt idx="42">
                  <c:v>31.783087581643507</c:v>
                </c:pt>
                <c:pt idx="43">
                  <c:v>31.783087581643507</c:v>
                </c:pt>
                <c:pt idx="44">
                  <c:v>21.188725054429007</c:v>
                </c:pt>
                <c:pt idx="45">
                  <c:v>21.188725054429007</c:v>
                </c:pt>
                <c:pt idx="46">
                  <c:v>21.188725054429007</c:v>
                </c:pt>
                <c:pt idx="47">
                  <c:v>21.188725054429007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AA-C14C-AA0F-54F8D45E51DD}"/>
            </c:ext>
          </c:extLst>
        </c:ser>
        <c:ser>
          <c:idx val="2"/>
          <c:order val="2"/>
          <c:tx>
            <c:strRef>
              <c:f>Forecasting!$Z$3</c:f>
              <c:strCache>
                <c:ptCount val="1"/>
                <c:pt idx="0">
                  <c:v>Newspaper Ads, AR=0.3, DR=1</c:v>
                </c:pt>
              </c:strCache>
            </c:strRef>
          </c:tx>
          <c:spPr>
            <a:solidFill>
              <a:srgbClr val="FBBC04">
                <a:alpha val="30000"/>
              </a:srgbClr>
            </a:solidFill>
            <a:ln cmpd="sng">
              <a:solidFill>
                <a:srgbClr val="FBBC04"/>
              </a:solidFill>
            </a:ln>
          </c:spPr>
          <c:cat>
            <c:numRef>
              <c:f>Forecasting!$A$4:$A$55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Forecasting!$Z$4:$Z$55</c:f>
              <c:numCache>
                <c:formatCode>[$$]#,##0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730.9144113140045</c:v>
                </c:pt>
                <c:pt idx="24">
                  <c:v>950.18873470820586</c:v>
                </c:pt>
                <c:pt idx="25">
                  <c:v>1015.9710317264662</c:v>
                </c:pt>
                <c:pt idx="26">
                  <c:v>1035.7057208319443</c:v>
                </c:pt>
                <c:pt idx="27">
                  <c:v>1041.6261275635877</c:v>
                </c:pt>
                <c:pt idx="28">
                  <c:v>1043.4022495830807</c:v>
                </c:pt>
                <c:pt idx="29">
                  <c:v>1043.9350861889286</c:v>
                </c:pt>
                <c:pt idx="30">
                  <c:v>1044.0949371706831</c:v>
                </c:pt>
                <c:pt idx="31">
                  <c:v>1044.1428924652093</c:v>
                </c:pt>
                <c:pt idx="32">
                  <c:v>1044.1572790535672</c:v>
                </c:pt>
                <c:pt idx="33">
                  <c:v>1044.1615950300747</c:v>
                </c:pt>
                <c:pt idx="34">
                  <c:v>1044.1628898230269</c:v>
                </c:pt>
                <c:pt idx="35">
                  <c:v>313.24886694690804</c:v>
                </c:pt>
                <c:pt idx="36">
                  <c:v>93.974660084072411</c:v>
                </c:pt>
                <c:pt idx="37">
                  <c:v>28.192398025221724</c:v>
                </c:pt>
                <c:pt idx="38">
                  <c:v>8.4577194075665183</c:v>
                </c:pt>
                <c:pt idx="39">
                  <c:v>2.5373158222699548</c:v>
                </c:pt>
                <c:pt idx="40">
                  <c:v>0.76119474668098652</c:v>
                </c:pt>
                <c:pt idx="41">
                  <c:v>0.22835842400429593</c:v>
                </c:pt>
                <c:pt idx="42">
                  <c:v>6.8507527201288776E-2</c:v>
                </c:pt>
                <c:pt idx="43">
                  <c:v>2.0552258160386631E-2</c:v>
                </c:pt>
                <c:pt idx="44">
                  <c:v>6.1656774481159892E-3</c:v>
                </c:pt>
                <c:pt idx="45">
                  <c:v>1.8497032344347967E-3</c:v>
                </c:pt>
                <c:pt idx="46">
                  <c:v>5.5491097033043908E-4</c:v>
                </c:pt>
                <c:pt idx="47">
                  <c:v>1.6647329109913171E-4</c:v>
                </c:pt>
                <c:pt idx="48">
                  <c:v>4.9941987329739513E-5</c:v>
                </c:pt>
                <c:pt idx="49">
                  <c:v>1.4982596198921854E-5</c:v>
                </c:pt>
                <c:pt idx="50">
                  <c:v>4.4947788596765559E-6</c:v>
                </c:pt>
                <c:pt idx="51">
                  <c:v>1.3484336579029669E-6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AA-C14C-AA0F-54F8D45E51DD}"/>
            </c:ext>
          </c:extLst>
        </c:ser>
        <c:ser>
          <c:idx val="3"/>
          <c:order val="3"/>
          <c:tx>
            <c:strRef>
              <c:f>Forecasting!$AA$3</c:f>
              <c:strCache>
                <c:ptCount val="1"/>
                <c:pt idx="0">
                  <c:v>Holiday</c:v>
                </c:pt>
              </c:strCache>
            </c:strRef>
          </c:tx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numRef>
              <c:f>Forecasting!$A$4:$A$55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Forecasting!$AA$4:$AA$55</c:f>
              <c:numCache>
                <c:formatCode>[$$]#,##0</c:formatCode>
                <c:ptCount val="52"/>
                <c:pt idx="0">
                  <c:v>822.96782381786284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822.96782381786284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822.96782381786284</c:v>
                </c:pt>
                <c:pt idx="12">
                  <c:v>822.96782381786284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822.96782381786284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822.96782381786284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822.96782381786284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822.96782381786284</c:v>
                </c:pt>
                <c:pt idx="45">
                  <c:v>0</c:v>
                </c:pt>
                <c:pt idx="46">
                  <c:v>0</c:v>
                </c:pt>
                <c:pt idx="47">
                  <c:v>822.96782381786284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822.96782381786284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AA-C14C-AA0F-54F8D45E51DD}"/>
            </c:ext>
          </c:extLst>
        </c:ser>
        <c:ser>
          <c:idx val="4"/>
          <c:order val="4"/>
          <c:tx>
            <c:strRef>
              <c:f>Forecasting!$AB$3</c:f>
              <c:strCache>
                <c:ptCount val="1"/>
                <c:pt idx="0">
                  <c:v>Temperature</c:v>
                </c:pt>
              </c:strCache>
            </c:strRef>
          </c:tx>
          <c:spPr>
            <a:solidFill>
              <a:srgbClr val="FF6D01">
                <a:alpha val="30000"/>
              </a:srgbClr>
            </a:solidFill>
            <a:ln cmpd="sng">
              <a:solidFill>
                <a:srgbClr val="FF6D01"/>
              </a:solidFill>
            </a:ln>
          </c:spPr>
          <c:cat>
            <c:numRef>
              <c:f>Forecasting!$A$4:$A$55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Forecasting!$AB$4:$AB$55</c:f>
              <c:numCache>
                <c:formatCode>[$$]#,##0</c:formatCode>
                <c:ptCount val="52"/>
                <c:pt idx="0">
                  <c:v>1019.1366380201298</c:v>
                </c:pt>
                <c:pt idx="1">
                  <c:v>955.12051754147842</c:v>
                </c:pt>
                <c:pt idx="2">
                  <c:v>988.40890019037727</c:v>
                </c:pt>
                <c:pt idx="3">
                  <c:v>827.08827658417567</c:v>
                </c:pt>
                <c:pt idx="4">
                  <c:v>893.66504188197314</c:v>
                </c:pt>
                <c:pt idx="5">
                  <c:v>990.96954500952336</c:v>
                </c:pt>
                <c:pt idx="6">
                  <c:v>898.78633152026532</c:v>
                </c:pt>
                <c:pt idx="7">
                  <c:v>880.86181778624291</c:v>
                </c:pt>
                <c:pt idx="8">
                  <c:v>970.48438645635485</c:v>
                </c:pt>
                <c:pt idx="9">
                  <c:v>1039.6217965732983</c:v>
                </c:pt>
                <c:pt idx="10">
                  <c:v>1180.4572616263315</c:v>
                </c:pt>
                <c:pt idx="11">
                  <c:v>1116.4411411476801</c:v>
                </c:pt>
                <c:pt idx="12">
                  <c:v>1072.910179222197</c:v>
                </c:pt>
                <c:pt idx="13">
                  <c:v>1154.8508134348708</c:v>
                </c:pt>
                <c:pt idx="14">
                  <c:v>1229.1095131901066</c:v>
                </c:pt>
                <c:pt idx="15">
                  <c:v>1170.2146823497471</c:v>
                </c:pt>
                <c:pt idx="16">
                  <c:v>1152.2901686157247</c:v>
                </c:pt>
                <c:pt idx="17">
                  <c:v>1285.4436992113197</c:v>
                </c:pt>
                <c:pt idx="18">
                  <c:v>1285.4436992113197</c:v>
                </c:pt>
                <c:pt idx="19">
                  <c:v>1352.0204645091171</c:v>
                </c:pt>
                <c:pt idx="20">
                  <c:v>1418.5972298069146</c:v>
                </c:pt>
                <c:pt idx="21">
                  <c:v>1579.9178534131161</c:v>
                </c:pt>
                <c:pt idx="22">
                  <c:v>1656.7371979874977</c:v>
                </c:pt>
                <c:pt idx="23">
                  <c:v>1730.9958977427332</c:v>
                </c:pt>
                <c:pt idx="24">
                  <c:v>1697.7075150938344</c:v>
                </c:pt>
                <c:pt idx="25">
                  <c:v>1905.1197454446651</c:v>
                </c:pt>
                <c:pt idx="26">
                  <c:v>1930.7261936361256</c:v>
                </c:pt>
                <c:pt idx="27">
                  <c:v>1974.2571555616082</c:v>
                </c:pt>
                <c:pt idx="28">
                  <c:v>1930.7261936361256</c:v>
                </c:pt>
                <c:pt idx="29">
                  <c:v>2038.2732760402596</c:v>
                </c:pt>
                <c:pt idx="30">
                  <c:v>2053.6371449551361</c:v>
                </c:pt>
                <c:pt idx="31">
                  <c:v>1943.529417731856</c:v>
                </c:pt>
                <c:pt idx="32">
                  <c:v>1979.3784451999004</c:v>
                </c:pt>
                <c:pt idx="33">
                  <c:v>1861.588783519182</c:v>
                </c:pt>
                <c:pt idx="34">
                  <c:v>1964.0145762850243</c:v>
                </c:pt>
                <c:pt idx="35">
                  <c:v>1861.588783519182</c:v>
                </c:pt>
                <c:pt idx="36">
                  <c:v>1835.9823353277216</c:v>
                </c:pt>
                <c:pt idx="37">
                  <c:v>1651.6159083492055</c:v>
                </c:pt>
                <c:pt idx="38">
                  <c:v>1600.4030119662843</c:v>
                </c:pt>
                <c:pt idx="39">
                  <c:v>1677.2223565406662</c:v>
                </c:pt>
                <c:pt idx="40">
                  <c:v>1559.4326948599476</c:v>
                </c:pt>
                <c:pt idx="41">
                  <c:v>1487.7346399238581</c:v>
                </c:pt>
                <c:pt idx="42">
                  <c:v>1564.5539844982397</c:v>
                </c:pt>
                <c:pt idx="43">
                  <c:v>1285.4436992113197</c:v>
                </c:pt>
                <c:pt idx="44">
                  <c:v>1290.5649888496118</c:v>
                </c:pt>
                <c:pt idx="45">
                  <c:v>1408.3546505303302</c:v>
                </c:pt>
                <c:pt idx="46">
                  <c:v>1136.9262997008484</c:v>
                </c:pt>
                <c:pt idx="47">
                  <c:v>1241.9127372858368</c:v>
                </c:pt>
                <c:pt idx="48">
                  <c:v>1139.4869445199945</c:v>
                </c:pt>
                <c:pt idx="49">
                  <c:v>962.80245199891669</c:v>
                </c:pt>
                <c:pt idx="50">
                  <c:v>839.89150067990602</c:v>
                </c:pt>
                <c:pt idx="51">
                  <c:v>919.27149007343371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AA-C14C-AA0F-54F8D45E51DD}"/>
            </c:ext>
          </c:extLst>
        </c:ser>
        <c:ser>
          <c:idx val="5"/>
          <c:order val="5"/>
          <c:tx>
            <c:strRef>
              <c:f>Forecasting!$AC$3</c:f>
              <c:strCache>
                <c:ptCount val="1"/>
                <c:pt idx="0">
                  <c:v>Price Change</c:v>
                </c:pt>
              </c:strCache>
            </c:strRef>
          </c:tx>
          <c:spPr>
            <a:solidFill>
              <a:srgbClr val="46BDC6">
                <a:alpha val="30000"/>
              </a:srgbClr>
            </a:solidFill>
            <a:ln cmpd="sng">
              <a:solidFill>
                <a:srgbClr val="46BDC6"/>
              </a:solidFill>
            </a:ln>
          </c:spPr>
          <c:cat>
            <c:numRef>
              <c:f>Forecasting!$A$4:$A$55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Forecasting!$AC$4:$AC$55</c:f>
              <c:numCache>
                <c:formatCode>[$$]#,##0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-341.47159950323402</c:v>
                </c:pt>
                <c:pt idx="16">
                  <c:v>-341.47159950323402</c:v>
                </c:pt>
                <c:pt idx="17">
                  <c:v>-341.47159950323402</c:v>
                </c:pt>
                <c:pt idx="18">
                  <c:v>-341.47159950323402</c:v>
                </c:pt>
                <c:pt idx="19">
                  <c:v>-341.47159950323402</c:v>
                </c:pt>
                <c:pt idx="20">
                  <c:v>-341.47159950323402</c:v>
                </c:pt>
                <c:pt idx="21">
                  <c:v>-341.47159950323402</c:v>
                </c:pt>
                <c:pt idx="22">
                  <c:v>-341.47159950323402</c:v>
                </c:pt>
                <c:pt idx="23">
                  <c:v>-341.47159950323402</c:v>
                </c:pt>
                <c:pt idx="24">
                  <c:v>-341.47159950323402</c:v>
                </c:pt>
                <c:pt idx="25">
                  <c:v>-341.47159950323402</c:v>
                </c:pt>
                <c:pt idx="26">
                  <c:v>-341.47159950323402</c:v>
                </c:pt>
                <c:pt idx="27">
                  <c:v>-341.47159950323402</c:v>
                </c:pt>
                <c:pt idx="28">
                  <c:v>-341.47159950323402</c:v>
                </c:pt>
                <c:pt idx="29">
                  <c:v>-341.47159950323402</c:v>
                </c:pt>
                <c:pt idx="30">
                  <c:v>-341.47159950323402</c:v>
                </c:pt>
                <c:pt idx="31">
                  <c:v>-341.47159950323402</c:v>
                </c:pt>
                <c:pt idx="32">
                  <c:v>136.58863980129362</c:v>
                </c:pt>
                <c:pt idx="33">
                  <c:v>136.58863980129362</c:v>
                </c:pt>
                <c:pt idx="34">
                  <c:v>136.58863980129362</c:v>
                </c:pt>
                <c:pt idx="35">
                  <c:v>136.58863980129362</c:v>
                </c:pt>
                <c:pt idx="36">
                  <c:v>136.58863980129362</c:v>
                </c:pt>
                <c:pt idx="37">
                  <c:v>136.58863980129362</c:v>
                </c:pt>
                <c:pt idx="38">
                  <c:v>136.58863980129362</c:v>
                </c:pt>
                <c:pt idx="39">
                  <c:v>136.58863980129362</c:v>
                </c:pt>
                <c:pt idx="40">
                  <c:v>136.58863980129362</c:v>
                </c:pt>
                <c:pt idx="41">
                  <c:v>136.58863980129362</c:v>
                </c:pt>
                <c:pt idx="42">
                  <c:v>136.58863980129362</c:v>
                </c:pt>
                <c:pt idx="43">
                  <c:v>136.58863980129362</c:v>
                </c:pt>
                <c:pt idx="44">
                  <c:v>136.58863980129362</c:v>
                </c:pt>
                <c:pt idx="45">
                  <c:v>136.58863980129362</c:v>
                </c:pt>
                <c:pt idx="46">
                  <c:v>136.58863980129362</c:v>
                </c:pt>
                <c:pt idx="47">
                  <c:v>136.58863980129362</c:v>
                </c:pt>
                <c:pt idx="48">
                  <c:v>136.58863980129362</c:v>
                </c:pt>
                <c:pt idx="49">
                  <c:v>136.58863980129362</c:v>
                </c:pt>
                <c:pt idx="50">
                  <c:v>136.58863980129362</c:v>
                </c:pt>
                <c:pt idx="51">
                  <c:v>136.58863980129362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0AA-C14C-AA0F-54F8D45E51DD}"/>
            </c:ext>
          </c:extLst>
        </c:ser>
        <c:ser>
          <c:idx val="6"/>
          <c:order val="6"/>
          <c:tx>
            <c:strRef>
              <c:f>Forecasting!$AD$3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7BAAF7">
                <a:alpha val="30000"/>
              </a:srgbClr>
            </a:solidFill>
            <a:ln cmpd="sng">
              <a:solidFill>
                <a:srgbClr val="7BAAF7"/>
              </a:solidFill>
            </a:ln>
          </c:spPr>
          <c:cat>
            <c:numRef>
              <c:f>Forecasting!$A$4:$A$55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Forecasting!$AD$4:$AD$55</c:f>
              <c:numCache>
                <c:formatCode>[$$]#,##0</c:formatCode>
                <c:ptCount val="52"/>
                <c:pt idx="0">
                  <c:v>1605.4931803061395</c:v>
                </c:pt>
                <c:pt idx="1">
                  <c:v>1605.4931803061395</c:v>
                </c:pt>
                <c:pt idx="2">
                  <c:v>1605.4931803061395</c:v>
                </c:pt>
                <c:pt idx="3">
                  <c:v>1605.4931803061395</c:v>
                </c:pt>
                <c:pt idx="4">
                  <c:v>1605.4931803061395</c:v>
                </c:pt>
                <c:pt idx="5">
                  <c:v>1605.4931803061395</c:v>
                </c:pt>
                <c:pt idx="6">
                  <c:v>1605.4931803061395</c:v>
                </c:pt>
                <c:pt idx="7">
                  <c:v>1605.4931803061395</c:v>
                </c:pt>
                <c:pt idx="8">
                  <c:v>1605.4931803061395</c:v>
                </c:pt>
                <c:pt idx="9">
                  <c:v>1605.4931803061395</c:v>
                </c:pt>
                <c:pt idx="10">
                  <c:v>1605.4931803061395</c:v>
                </c:pt>
                <c:pt idx="11">
                  <c:v>1605.4931803061395</c:v>
                </c:pt>
                <c:pt idx="12">
                  <c:v>1605.4931803061395</c:v>
                </c:pt>
                <c:pt idx="13">
                  <c:v>1605.4931803061395</c:v>
                </c:pt>
                <c:pt idx="14">
                  <c:v>1605.4931803061395</c:v>
                </c:pt>
                <c:pt idx="15">
                  <c:v>1605.4931803061395</c:v>
                </c:pt>
                <c:pt idx="16">
                  <c:v>1605.4931803061395</c:v>
                </c:pt>
                <c:pt idx="17">
                  <c:v>1605.4931803061395</c:v>
                </c:pt>
                <c:pt idx="18">
                  <c:v>1605.4931803061395</c:v>
                </c:pt>
                <c:pt idx="19">
                  <c:v>1605.4931803061395</c:v>
                </c:pt>
                <c:pt idx="20">
                  <c:v>1605.4931803061395</c:v>
                </c:pt>
                <c:pt idx="21">
                  <c:v>1605.4931803061395</c:v>
                </c:pt>
                <c:pt idx="22">
                  <c:v>1605.4931803061395</c:v>
                </c:pt>
                <c:pt idx="23">
                  <c:v>1605.4931803061395</c:v>
                </c:pt>
                <c:pt idx="24">
                  <c:v>1605.4931803061395</c:v>
                </c:pt>
                <c:pt idx="25">
                  <c:v>1605.4931803061395</c:v>
                </c:pt>
                <c:pt idx="26">
                  <c:v>1605.4931803061395</c:v>
                </c:pt>
                <c:pt idx="27">
                  <c:v>1605.4931803061395</c:v>
                </c:pt>
                <c:pt idx="28">
                  <c:v>1605.4931803061395</c:v>
                </c:pt>
                <c:pt idx="29">
                  <c:v>1605.4931803061395</c:v>
                </c:pt>
                <c:pt idx="30">
                  <c:v>1605.4931803061395</c:v>
                </c:pt>
                <c:pt idx="31">
                  <c:v>1605.4931803061395</c:v>
                </c:pt>
                <c:pt idx="32">
                  <c:v>1605.4931803061395</c:v>
                </c:pt>
                <c:pt idx="33">
                  <c:v>1605.4931803061395</c:v>
                </c:pt>
                <c:pt idx="34">
                  <c:v>1605.4931803061395</c:v>
                </c:pt>
                <c:pt idx="35">
                  <c:v>1605.4931803061395</c:v>
                </c:pt>
                <c:pt idx="36">
                  <c:v>1605.4931803061395</c:v>
                </c:pt>
                <c:pt idx="37">
                  <c:v>1605.4931803061395</c:v>
                </c:pt>
                <c:pt idx="38">
                  <c:v>1605.4931803061395</c:v>
                </c:pt>
                <c:pt idx="39">
                  <c:v>1605.4931803061395</c:v>
                </c:pt>
                <c:pt idx="40">
                  <c:v>1605.4931803061395</c:v>
                </c:pt>
                <c:pt idx="41">
                  <c:v>1605.4931803061395</c:v>
                </c:pt>
                <c:pt idx="42">
                  <c:v>1605.4931803061395</c:v>
                </c:pt>
                <c:pt idx="43">
                  <c:v>1605.4931803061395</c:v>
                </c:pt>
                <c:pt idx="44">
                  <c:v>1605.4931803061395</c:v>
                </c:pt>
                <c:pt idx="45">
                  <c:v>1605.4931803061395</c:v>
                </c:pt>
                <c:pt idx="46">
                  <c:v>1605.4931803061395</c:v>
                </c:pt>
                <c:pt idx="47">
                  <c:v>1605.4931803061395</c:v>
                </c:pt>
                <c:pt idx="48">
                  <c:v>1605.4931803061395</c:v>
                </c:pt>
                <c:pt idx="49">
                  <c:v>1605.4931803061395</c:v>
                </c:pt>
                <c:pt idx="50">
                  <c:v>1605.4931803061395</c:v>
                </c:pt>
                <c:pt idx="51">
                  <c:v>1605.4931803061395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AA-C14C-AA0F-54F8D45E5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654324"/>
        <c:axId val="2076487351"/>
      </c:areaChart>
      <c:catAx>
        <c:axId val="20816543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76487351"/>
        <c:crosses val="autoZero"/>
        <c:auto val="1"/>
        <c:lblAlgn val="ctr"/>
        <c:lblOffset val="100"/>
        <c:noMultiLvlLbl val="1"/>
      </c:catAx>
      <c:valAx>
        <c:axId val="20764873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[$$]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81654324"/>
        <c:crosses val="autoZero"/>
        <c:crossBetween val="midCat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Forecast vs Week (next year)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Forecasting!$B$57</c:f>
              <c:strCache>
                <c:ptCount val="1"/>
                <c:pt idx="0">
                  <c:v>Forecast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Forecasting!$A$58:$A$69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Forecasting!$B$58:$B$69</c:f>
              <c:numCache>
                <c:formatCode>[$$]#,##0</c:formatCode>
                <c:ptCount val="12"/>
                <c:pt idx="0">
                  <c:v>3816.7597939015041</c:v>
                </c:pt>
                <c:pt idx="1">
                  <c:v>2936.1774613696839</c:v>
                </c:pt>
                <c:pt idx="2">
                  <c:v>2966.1370056687415</c:v>
                </c:pt>
                <c:pt idx="3">
                  <c:v>2820.9484443976744</c:v>
                </c:pt>
                <c:pt idx="4">
                  <c:v>2880.8675331580466</c:v>
                </c:pt>
                <c:pt idx="5">
                  <c:v>2968.4415859705482</c:v>
                </c:pt>
                <c:pt idx="6">
                  <c:v>2885.4766938295279</c:v>
                </c:pt>
                <c:pt idx="7">
                  <c:v>3692.3124552865643</c:v>
                </c:pt>
                <c:pt idx="8">
                  <c:v>2950.0049432717401</c:v>
                </c:pt>
                <c:pt idx="9">
                  <c:v>3012.2286123769709</c:v>
                </c:pt>
                <c:pt idx="10">
                  <c:v>3138.9805309246949</c:v>
                </c:pt>
                <c:pt idx="11">
                  <c:v>3904.3338463117698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02-C747-AF5B-DC2E16A26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3012726"/>
        <c:axId val="237219836"/>
      </c:lineChart>
      <c:catAx>
        <c:axId val="14830127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Week (next year)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7219836"/>
        <c:crosses val="autoZero"/>
        <c:auto val="1"/>
        <c:lblAlgn val="ctr"/>
        <c:lblOffset val="100"/>
        <c:noMultiLvlLbl val="1"/>
      </c:catAx>
      <c:valAx>
        <c:axId val="2372198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Forecast</a:t>
                </a:r>
              </a:p>
            </c:rich>
          </c:tx>
          <c:overlay val="0"/>
        </c:title>
        <c:numFmt formatCode="[$$]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8301272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79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8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40000"/>
            <a:lumOff val="60000"/>
          </a:schemeClr>
        </a:solidFill>
        <a:round/>
      </a:ln>
    </cs:spPr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80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3</xdr:row>
      <xdr:rowOff>80962</xdr:rowOff>
    </xdr:from>
    <xdr:to>
      <xdr:col>12</xdr:col>
      <xdr:colOff>790575</xdr:colOff>
      <xdr:row>17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530EB7-8114-4BDD-B4E4-4A7C0C561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857250</xdr:colOff>
      <xdr:row>15</xdr:row>
      <xdr:rowOff>47625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FC2A7B83-3A36-6642-94AF-DC0657AABC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581025</xdr:colOff>
      <xdr:row>15</xdr:row>
      <xdr:rowOff>104775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FB850A4-246F-EF43-9BE7-FBE7F2897C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895350</xdr:colOff>
      <xdr:row>7</xdr:row>
      <xdr:rowOff>152400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A6B898E7-C0D5-6546-A3A9-7A0C496D83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923925</xdr:colOff>
      <xdr:row>7</xdr:row>
      <xdr:rowOff>152400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857246B6-2719-0C45-A2D1-E54ED54DC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8</xdr:col>
      <xdr:colOff>19050</xdr:colOff>
      <xdr:row>26</xdr:row>
      <xdr:rowOff>9525</xdr:rowOff>
    </xdr:from>
    <xdr:ext cx="5715000" cy="35337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D59B8F2C-8F82-2649-891B-C0D4194FF4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14</xdr:col>
      <xdr:colOff>28575</xdr:colOff>
      <xdr:row>26</xdr:row>
      <xdr:rowOff>9525</xdr:rowOff>
    </xdr:from>
    <xdr:ext cx="5715000" cy="353377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DE4BE775-4579-534E-BDC6-3C7E2652E4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219075</xdr:colOff>
      <xdr:row>11</xdr:row>
      <xdr:rowOff>9525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59063468-187C-304B-907A-C65EF6FE98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276225</xdr:colOff>
      <xdr:row>11</xdr:row>
      <xdr:rowOff>9525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2105685C-2E7A-9F49-BD0A-76788196C9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8</xdr:col>
      <xdr:colOff>219075</xdr:colOff>
      <xdr:row>29</xdr:row>
      <xdr:rowOff>0</xdr:rowOff>
    </xdr:from>
    <xdr:ext cx="5715000" cy="35337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CE667C13-4F04-FF4B-9054-C5152BCC4F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13</xdr:col>
      <xdr:colOff>276225</xdr:colOff>
      <xdr:row>28</xdr:row>
      <xdr:rowOff>200025</xdr:rowOff>
    </xdr:from>
    <xdr:ext cx="5715000" cy="353377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B0BD2E8F-09FC-B24E-B8FE-7E2201303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5</xdr:col>
      <xdr:colOff>685800</xdr:colOff>
      <xdr:row>20</xdr:row>
      <xdr:rowOff>104775</xdr:rowOff>
    </xdr:from>
    <xdr:ext cx="5715000" cy="3533775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462C47E8-DB93-6042-9201-1BDD79DD5D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676275</xdr:colOff>
      <xdr:row>3</xdr:row>
      <xdr:rowOff>0</xdr:rowOff>
    </xdr:from>
    <xdr:ext cx="5715000" cy="3533775"/>
    <xdr:graphicFrame macro="">
      <xdr:nvGraphicFramePr>
        <xdr:cNvPr id="2" name="Chart 6" title="Chart">
          <a:extLst>
            <a:ext uri="{FF2B5EF4-FFF2-40B4-BE49-F238E27FC236}">
              <a16:creationId xmlns:a16="http://schemas.microsoft.com/office/drawing/2014/main" id="{02B6A53E-042A-CE46-AB90-CD274D54C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314325</xdr:colOff>
      <xdr:row>21</xdr:row>
      <xdr:rowOff>142875</xdr:rowOff>
    </xdr:from>
    <xdr:ext cx="5715000" cy="3533775"/>
    <xdr:graphicFrame macro="">
      <xdr:nvGraphicFramePr>
        <xdr:cNvPr id="3" name="Chart 7" title="Chart">
          <a:extLst>
            <a:ext uri="{FF2B5EF4-FFF2-40B4-BE49-F238E27FC236}">
              <a16:creationId xmlns:a16="http://schemas.microsoft.com/office/drawing/2014/main" id="{DC849D07-4994-3345-A9C6-703C71F4CE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228600</xdr:colOff>
      <xdr:row>2</xdr:row>
      <xdr:rowOff>323850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C1C116D3-700F-714B-A8BE-DC91CF560A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15</xdr:col>
      <xdr:colOff>895350</xdr:colOff>
      <xdr:row>2</xdr:row>
      <xdr:rowOff>323850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A819BA61-36E6-3641-A0AC-F5B7361BE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11</xdr:col>
      <xdr:colOff>228600</xdr:colOff>
      <xdr:row>20</xdr:row>
      <xdr:rowOff>57150</xdr:rowOff>
    </xdr:from>
    <xdr:ext cx="5715000" cy="35337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9AC5055C-C84B-804E-986D-3EE086850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15</xdr:col>
      <xdr:colOff>895350</xdr:colOff>
      <xdr:row>20</xdr:row>
      <xdr:rowOff>57150</xdr:rowOff>
    </xdr:from>
    <xdr:ext cx="5715000" cy="353377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F8D54379-3B83-DB41-9716-09996DAE25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228600</xdr:colOff>
      <xdr:row>2</xdr:row>
      <xdr:rowOff>323850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5D5FDD2A-2914-024A-8C07-8998D41682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15</xdr:col>
      <xdr:colOff>895350</xdr:colOff>
      <xdr:row>2</xdr:row>
      <xdr:rowOff>323850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D661F2B2-ABEA-5E4C-8631-173528158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11</xdr:col>
      <xdr:colOff>228600</xdr:colOff>
      <xdr:row>20</xdr:row>
      <xdr:rowOff>57150</xdr:rowOff>
    </xdr:from>
    <xdr:ext cx="5715000" cy="35337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FA92B675-63B7-9048-A784-32FEE47C04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15</xdr:col>
      <xdr:colOff>895350</xdr:colOff>
      <xdr:row>20</xdr:row>
      <xdr:rowOff>57150</xdr:rowOff>
    </xdr:from>
    <xdr:ext cx="5715000" cy="353377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D40E2FF0-7B5D-C04B-993A-58F4406FCA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</xdr:col>
      <xdr:colOff>390525</xdr:colOff>
      <xdr:row>73</xdr:row>
      <xdr:rowOff>28575</xdr:rowOff>
    </xdr:from>
    <xdr:ext cx="5715000" cy="3533775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6A427F20-101D-B142-A6F2-7B9539B534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2_05_feature_transform_e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odel"/>
      <sheetName val="Response"/>
    </sheetNames>
    <sheetDataSet>
      <sheetData sheetId="0">
        <row r="1">
          <cell r="A1" t="str">
            <v>Week</v>
          </cell>
          <cell r="B1" t="str">
            <v>Revenue</v>
          </cell>
          <cell r="C1" t="str">
            <v>Newspaper Ads</v>
          </cell>
          <cell r="D1" t="str">
            <v>Search Ads</v>
          </cell>
          <cell r="E1" t="str">
            <v>Social Ads</v>
          </cell>
          <cell r="F1" t="str">
            <v>Price Change</v>
          </cell>
          <cell r="G1" t="str">
            <v>Temperature</v>
          </cell>
          <cell r="H1" t="str">
            <v>Holiday</v>
          </cell>
        </row>
        <row r="2">
          <cell r="A2">
            <v>1</v>
          </cell>
          <cell r="B2">
            <v>3302.99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39.799999999999997</v>
          </cell>
          <cell r="H2">
            <v>1</v>
          </cell>
        </row>
        <row r="3">
          <cell r="A3">
            <v>2</v>
          </cell>
          <cell r="B3">
            <v>2706.27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37.299999999999997</v>
          </cell>
          <cell r="H3">
            <v>0</v>
          </cell>
        </row>
        <row r="4">
          <cell r="A4">
            <v>3</v>
          </cell>
          <cell r="B4">
            <v>2330.41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38.6</v>
          </cell>
          <cell r="H4">
            <v>0</v>
          </cell>
        </row>
        <row r="5">
          <cell r="A5">
            <v>4</v>
          </cell>
          <cell r="B5">
            <v>2351.63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32.299999999999997</v>
          </cell>
          <cell r="H5">
            <v>0</v>
          </cell>
        </row>
        <row r="6">
          <cell r="A6">
            <v>5</v>
          </cell>
          <cell r="B6">
            <v>2398.48</v>
          </cell>
          <cell r="C6">
            <v>0</v>
          </cell>
          <cell r="D6">
            <v>10</v>
          </cell>
          <cell r="E6">
            <v>0</v>
          </cell>
          <cell r="F6">
            <v>0</v>
          </cell>
          <cell r="G6">
            <v>34.9</v>
          </cell>
          <cell r="H6">
            <v>0</v>
          </cell>
        </row>
        <row r="7">
          <cell r="A7">
            <v>6</v>
          </cell>
          <cell r="B7">
            <v>2611.66</v>
          </cell>
          <cell r="C7">
            <v>0</v>
          </cell>
          <cell r="D7">
            <v>10</v>
          </cell>
          <cell r="E7">
            <v>0</v>
          </cell>
          <cell r="F7">
            <v>0</v>
          </cell>
          <cell r="G7">
            <v>38.700000000000003</v>
          </cell>
          <cell r="H7">
            <v>0</v>
          </cell>
        </row>
        <row r="8">
          <cell r="A8">
            <v>7</v>
          </cell>
          <cell r="B8">
            <v>2557.31</v>
          </cell>
          <cell r="C8">
            <v>0</v>
          </cell>
          <cell r="D8">
            <v>10</v>
          </cell>
          <cell r="E8">
            <v>0</v>
          </cell>
          <cell r="F8">
            <v>0</v>
          </cell>
          <cell r="G8">
            <v>35.1</v>
          </cell>
          <cell r="H8">
            <v>0</v>
          </cell>
        </row>
        <row r="9">
          <cell r="A9">
            <v>8</v>
          </cell>
          <cell r="B9">
            <v>3250.96</v>
          </cell>
          <cell r="C9">
            <v>0</v>
          </cell>
          <cell r="D9">
            <v>10</v>
          </cell>
          <cell r="E9">
            <v>0</v>
          </cell>
          <cell r="F9">
            <v>0</v>
          </cell>
          <cell r="G9">
            <v>34.4</v>
          </cell>
          <cell r="H9">
            <v>1</v>
          </cell>
        </row>
        <row r="10">
          <cell r="A10">
            <v>9</v>
          </cell>
          <cell r="B10">
            <v>2802.04</v>
          </cell>
          <cell r="C10">
            <v>0</v>
          </cell>
          <cell r="D10">
            <v>10</v>
          </cell>
          <cell r="E10">
            <v>0</v>
          </cell>
          <cell r="F10">
            <v>0</v>
          </cell>
          <cell r="G10">
            <v>37.9</v>
          </cell>
          <cell r="H10">
            <v>0</v>
          </cell>
        </row>
        <row r="11">
          <cell r="A11">
            <v>10</v>
          </cell>
          <cell r="B11">
            <v>2881.28</v>
          </cell>
          <cell r="C11">
            <v>0</v>
          </cell>
          <cell r="D11">
            <v>15</v>
          </cell>
          <cell r="E11">
            <v>0</v>
          </cell>
          <cell r="F11">
            <v>0</v>
          </cell>
          <cell r="G11">
            <v>40.6</v>
          </cell>
          <cell r="H11">
            <v>0</v>
          </cell>
        </row>
        <row r="12">
          <cell r="A12">
            <v>11</v>
          </cell>
          <cell r="B12">
            <v>2734.97</v>
          </cell>
          <cell r="C12">
            <v>0</v>
          </cell>
          <cell r="D12">
            <v>15</v>
          </cell>
          <cell r="E12">
            <v>0</v>
          </cell>
          <cell r="F12">
            <v>0</v>
          </cell>
          <cell r="G12">
            <v>46.1</v>
          </cell>
          <cell r="H12">
            <v>0</v>
          </cell>
        </row>
        <row r="13">
          <cell r="A13">
            <v>12</v>
          </cell>
          <cell r="B13">
            <v>3580.57</v>
          </cell>
          <cell r="C13">
            <v>0</v>
          </cell>
          <cell r="D13">
            <v>15</v>
          </cell>
          <cell r="E13">
            <v>0</v>
          </cell>
          <cell r="F13">
            <v>0</v>
          </cell>
          <cell r="G13">
            <v>43.6</v>
          </cell>
          <cell r="H13">
            <v>1</v>
          </cell>
        </row>
        <row r="14">
          <cell r="A14">
            <v>13</v>
          </cell>
          <cell r="B14">
            <v>3581.54</v>
          </cell>
          <cell r="C14">
            <v>0</v>
          </cell>
          <cell r="D14">
            <v>15</v>
          </cell>
          <cell r="E14">
            <v>0</v>
          </cell>
          <cell r="F14">
            <v>0</v>
          </cell>
          <cell r="G14">
            <v>41.9</v>
          </cell>
          <cell r="H14">
            <v>1</v>
          </cell>
        </row>
        <row r="15">
          <cell r="A15">
            <v>14</v>
          </cell>
          <cell r="B15">
            <v>2962.99</v>
          </cell>
          <cell r="C15">
            <v>0</v>
          </cell>
          <cell r="D15">
            <v>15</v>
          </cell>
          <cell r="E15">
            <v>0</v>
          </cell>
          <cell r="F15">
            <v>0</v>
          </cell>
          <cell r="G15">
            <v>45.1</v>
          </cell>
          <cell r="H15">
            <v>0</v>
          </cell>
        </row>
        <row r="16">
          <cell r="A16">
            <v>15</v>
          </cell>
          <cell r="B16">
            <v>2510.8200000000002</v>
          </cell>
          <cell r="C16">
            <v>0</v>
          </cell>
          <cell r="D16">
            <v>15</v>
          </cell>
          <cell r="E16">
            <v>0</v>
          </cell>
          <cell r="F16">
            <v>0</v>
          </cell>
          <cell r="G16">
            <v>48</v>
          </cell>
          <cell r="H16">
            <v>0</v>
          </cell>
        </row>
        <row r="17">
          <cell r="A17">
            <v>16</v>
          </cell>
          <cell r="B17">
            <v>2523.34</v>
          </cell>
          <cell r="C17">
            <v>0</v>
          </cell>
          <cell r="D17">
            <v>15</v>
          </cell>
          <cell r="E17">
            <v>0</v>
          </cell>
          <cell r="F17">
            <v>0.5</v>
          </cell>
          <cell r="G17">
            <v>45.7</v>
          </cell>
          <cell r="H17">
            <v>0</v>
          </cell>
        </row>
        <row r="18">
          <cell r="A18">
            <v>17</v>
          </cell>
          <cell r="B18">
            <v>2708.6</v>
          </cell>
          <cell r="C18">
            <v>0</v>
          </cell>
          <cell r="D18">
            <v>15</v>
          </cell>
          <cell r="E18">
            <v>0</v>
          </cell>
          <cell r="F18">
            <v>0.5</v>
          </cell>
          <cell r="G18">
            <v>45</v>
          </cell>
          <cell r="H18">
            <v>0</v>
          </cell>
        </row>
        <row r="19">
          <cell r="A19">
            <v>18</v>
          </cell>
          <cell r="B19">
            <v>2459.0300000000002</v>
          </cell>
          <cell r="C19">
            <v>0</v>
          </cell>
          <cell r="D19">
            <v>20</v>
          </cell>
          <cell r="E19">
            <v>0</v>
          </cell>
          <cell r="F19">
            <v>0.5</v>
          </cell>
          <cell r="G19">
            <v>50.2</v>
          </cell>
          <cell r="H19">
            <v>0</v>
          </cell>
        </row>
        <row r="20">
          <cell r="A20">
            <v>19</v>
          </cell>
          <cell r="B20">
            <v>3429.26</v>
          </cell>
          <cell r="C20">
            <v>0</v>
          </cell>
          <cell r="D20">
            <v>20</v>
          </cell>
          <cell r="E20">
            <v>0</v>
          </cell>
          <cell r="F20">
            <v>0.5</v>
          </cell>
          <cell r="G20">
            <v>50.2</v>
          </cell>
          <cell r="H20">
            <v>1</v>
          </cell>
        </row>
        <row r="21">
          <cell r="A21">
            <v>20</v>
          </cell>
          <cell r="B21">
            <v>2707.15</v>
          </cell>
          <cell r="C21">
            <v>0</v>
          </cell>
          <cell r="D21">
            <v>20</v>
          </cell>
          <cell r="E21">
            <v>0</v>
          </cell>
          <cell r="F21">
            <v>0.5</v>
          </cell>
          <cell r="G21">
            <v>52.8</v>
          </cell>
          <cell r="H21">
            <v>0</v>
          </cell>
        </row>
        <row r="22">
          <cell r="A22">
            <v>21</v>
          </cell>
          <cell r="B22">
            <v>2658.95</v>
          </cell>
          <cell r="C22">
            <v>0</v>
          </cell>
          <cell r="D22">
            <v>20</v>
          </cell>
          <cell r="E22">
            <v>0</v>
          </cell>
          <cell r="F22">
            <v>0.5</v>
          </cell>
          <cell r="G22">
            <v>55.4</v>
          </cell>
          <cell r="H22">
            <v>0</v>
          </cell>
        </row>
        <row r="23">
          <cell r="A23">
            <v>22</v>
          </cell>
          <cell r="B23">
            <v>2848.53</v>
          </cell>
          <cell r="C23">
            <v>0</v>
          </cell>
          <cell r="D23">
            <v>20</v>
          </cell>
          <cell r="E23">
            <v>0</v>
          </cell>
          <cell r="F23">
            <v>0.5</v>
          </cell>
          <cell r="G23">
            <v>61.7</v>
          </cell>
          <cell r="H23">
            <v>0</v>
          </cell>
        </row>
        <row r="24">
          <cell r="A24">
            <v>23</v>
          </cell>
          <cell r="B24">
            <v>2801.63</v>
          </cell>
          <cell r="C24">
            <v>0</v>
          </cell>
          <cell r="D24">
            <v>20</v>
          </cell>
          <cell r="E24">
            <v>0</v>
          </cell>
          <cell r="F24">
            <v>0.5</v>
          </cell>
          <cell r="G24">
            <v>64.7</v>
          </cell>
          <cell r="H24">
            <v>0</v>
          </cell>
        </row>
        <row r="25">
          <cell r="A25">
            <v>24</v>
          </cell>
          <cell r="B25">
            <v>4645.67</v>
          </cell>
          <cell r="C25">
            <v>200</v>
          </cell>
          <cell r="D25">
            <v>40</v>
          </cell>
          <cell r="E25">
            <v>0</v>
          </cell>
          <cell r="F25">
            <v>0.5</v>
          </cell>
          <cell r="G25">
            <v>67.599999999999994</v>
          </cell>
          <cell r="H25">
            <v>1</v>
          </cell>
        </row>
        <row r="26">
          <cell r="A26">
            <v>25</v>
          </cell>
          <cell r="B26">
            <v>4034.12</v>
          </cell>
          <cell r="C26">
            <v>200</v>
          </cell>
          <cell r="D26">
            <v>40</v>
          </cell>
          <cell r="E26">
            <v>0</v>
          </cell>
          <cell r="F26">
            <v>0.5</v>
          </cell>
          <cell r="G26">
            <v>66.3</v>
          </cell>
          <cell r="H26">
            <v>0</v>
          </cell>
        </row>
        <row r="27">
          <cell r="A27">
            <v>26</v>
          </cell>
          <cell r="B27">
            <v>4510.32</v>
          </cell>
          <cell r="C27">
            <v>200</v>
          </cell>
          <cell r="D27">
            <v>40</v>
          </cell>
          <cell r="E27">
            <v>70</v>
          </cell>
          <cell r="F27">
            <v>0.5</v>
          </cell>
          <cell r="G27">
            <v>74.400000000000006</v>
          </cell>
          <cell r="H27">
            <v>0</v>
          </cell>
        </row>
        <row r="28">
          <cell r="A28">
            <v>27</v>
          </cell>
          <cell r="B28">
            <v>4436.8999999999996</v>
          </cell>
          <cell r="C28">
            <v>200</v>
          </cell>
          <cell r="D28">
            <v>50</v>
          </cell>
          <cell r="E28">
            <v>70</v>
          </cell>
          <cell r="F28">
            <v>0.5</v>
          </cell>
          <cell r="G28">
            <v>75.400000000000006</v>
          </cell>
          <cell r="H28">
            <v>0</v>
          </cell>
        </row>
        <row r="29">
          <cell r="A29">
            <v>28</v>
          </cell>
          <cell r="B29">
            <v>5427.97</v>
          </cell>
          <cell r="C29">
            <v>200</v>
          </cell>
          <cell r="D29">
            <v>50</v>
          </cell>
          <cell r="E29">
            <v>70</v>
          </cell>
          <cell r="F29">
            <v>0.5</v>
          </cell>
          <cell r="G29">
            <v>77.099999999999994</v>
          </cell>
          <cell r="H29">
            <v>1</v>
          </cell>
        </row>
        <row r="30">
          <cell r="A30">
            <v>29</v>
          </cell>
          <cell r="B30">
            <v>4758.76</v>
          </cell>
          <cell r="C30">
            <v>200</v>
          </cell>
          <cell r="D30">
            <v>50</v>
          </cell>
          <cell r="E30">
            <v>70</v>
          </cell>
          <cell r="F30">
            <v>0.5</v>
          </cell>
          <cell r="G30">
            <v>75.400000000000006</v>
          </cell>
          <cell r="H30">
            <v>0</v>
          </cell>
        </row>
        <row r="31">
          <cell r="A31">
            <v>30</v>
          </cell>
          <cell r="B31">
            <v>4773.62</v>
          </cell>
          <cell r="C31">
            <v>200</v>
          </cell>
          <cell r="D31">
            <v>50</v>
          </cell>
          <cell r="E31">
            <v>140</v>
          </cell>
          <cell r="F31">
            <v>0.5</v>
          </cell>
          <cell r="G31">
            <v>79.599999999999994</v>
          </cell>
          <cell r="H31">
            <v>0</v>
          </cell>
        </row>
        <row r="32">
          <cell r="A32">
            <v>31</v>
          </cell>
          <cell r="B32">
            <v>4866.54</v>
          </cell>
          <cell r="C32">
            <v>200</v>
          </cell>
          <cell r="D32">
            <v>50</v>
          </cell>
          <cell r="E32">
            <v>140</v>
          </cell>
          <cell r="F32">
            <v>0.5</v>
          </cell>
          <cell r="G32">
            <v>80.2</v>
          </cell>
          <cell r="H32">
            <v>0</v>
          </cell>
        </row>
        <row r="33">
          <cell r="A33">
            <v>32</v>
          </cell>
          <cell r="B33">
            <v>4846.53</v>
          </cell>
          <cell r="C33">
            <v>200</v>
          </cell>
          <cell r="D33">
            <v>40</v>
          </cell>
          <cell r="E33">
            <v>140</v>
          </cell>
          <cell r="F33">
            <v>0.5</v>
          </cell>
          <cell r="G33">
            <v>75.900000000000006</v>
          </cell>
          <cell r="H33">
            <v>0</v>
          </cell>
        </row>
        <row r="34">
          <cell r="A34">
            <v>33</v>
          </cell>
          <cell r="B34">
            <v>5209.8999999999996</v>
          </cell>
          <cell r="C34">
            <v>200</v>
          </cell>
          <cell r="D34">
            <v>40</v>
          </cell>
          <cell r="E34">
            <v>140</v>
          </cell>
          <cell r="F34">
            <v>-0.2</v>
          </cell>
          <cell r="G34">
            <v>77.3</v>
          </cell>
          <cell r="H34">
            <v>0</v>
          </cell>
        </row>
        <row r="35">
          <cell r="A35">
            <v>34</v>
          </cell>
          <cell r="B35">
            <v>4831.16</v>
          </cell>
          <cell r="C35">
            <v>200</v>
          </cell>
          <cell r="D35">
            <v>40</v>
          </cell>
          <cell r="E35">
            <v>35</v>
          </cell>
          <cell r="F35">
            <v>-0.2</v>
          </cell>
          <cell r="G35">
            <v>72.7</v>
          </cell>
          <cell r="H35">
            <v>0</v>
          </cell>
        </row>
        <row r="36">
          <cell r="A36">
            <v>35</v>
          </cell>
          <cell r="B36">
            <v>4999.6400000000003</v>
          </cell>
          <cell r="C36">
            <v>200</v>
          </cell>
          <cell r="D36">
            <v>40</v>
          </cell>
          <cell r="E36">
            <v>35</v>
          </cell>
          <cell r="F36">
            <v>-0.2</v>
          </cell>
          <cell r="G36">
            <v>76.7</v>
          </cell>
          <cell r="H36">
            <v>0</v>
          </cell>
        </row>
        <row r="37">
          <cell r="A37">
            <v>36</v>
          </cell>
          <cell r="B37">
            <v>4073.66</v>
          </cell>
          <cell r="C37">
            <v>0</v>
          </cell>
          <cell r="D37">
            <v>20</v>
          </cell>
          <cell r="E37">
            <v>35</v>
          </cell>
          <cell r="F37">
            <v>-0.2</v>
          </cell>
          <cell r="G37">
            <v>72.7</v>
          </cell>
          <cell r="H37">
            <v>0</v>
          </cell>
        </row>
        <row r="38">
          <cell r="A38">
            <v>37</v>
          </cell>
          <cell r="B38">
            <v>3885.19</v>
          </cell>
          <cell r="C38">
            <v>0</v>
          </cell>
          <cell r="D38">
            <v>20</v>
          </cell>
          <cell r="E38">
            <v>35</v>
          </cell>
          <cell r="F38">
            <v>-0.2</v>
          </cell>
          <cell r="G38">
            <v>71.7</v>
          </cell>
          <cell r="H38">
            <v>0</v>
          </cell>
        </row>
        <row r="39">
          <cell r="A39">
            <v>38</v>
          </cell>
          <cell r="B39">
            <v>3395.17</v>
          </cell>
          <cell r="C39">
            <v>0</v>
          </cell>
          <cell r="D39">
            <v>20</v>
          </cell>
          <cell r="E39">
            <v>0</v>
          </cell>
          <cell r="F39">
            <v>-0.2</v>
          </cell>
          <cell r="G39">
            <v>64.5</v>
          </cell>
          <cell r="H39">
            <v>0</v>
          </cell>
        </row>
        <row r="40">
          <cell r="A40">
            <v>39</v>
          </cell>
          <cell r="B40">
            <v>3543.52</v>
          </cell>
          <cell r="C40">
            <v>0</v>
          </cell>
          <cell r="D40">
            <v>20</v>
          </cell>
          <cell r="E40">
            <v>0</v>
          </cell>
          <cell r="F40">
            <v>-0.2</v>
          </cell>
          <cell r="G40">
            <v>62.5</v>
          </cell>
          <cell r="H40">
            <v>0</v>
          </cell>
        </row>
        <row r="41">
          <cell r="A41">
            <v>40</v>
          </cell>
          <cell r="B41">
            <v>3318.82</v>
          </cell>
          <cell r="C41">
            <v>0</v>
          </cell>
          <cell r="D41">
            <v>20</v>
          </cell>
          <cell r="E41">
            <v>0</v>
          </cell>
          <cell r="F41">
            <v>-0.2</v>
          </cell>
          <cell r="G41">
            <v>65.5</v>
          </cell>
          <cell r="H41">
            <v>0</v>
          </cell>
        </row>
        <row r="42">
          <cell r="A42">
            <v>41</v>
          </cell>
          <cell r="B42">
            <v>3439.85</v>
          </cell>
          <cell r="C42">
            <v>0</v>
          </cell>
          <cell r="D42">
            <v>15</v>
          </cell>
          <cell r="E42">
            <v>0</v>
          </cell>
          <cell r="F42">
            <v>-0.2</v>
          </cell>
          <cell r="G42">
            <v>60.9</v>
          </cell>
          <cell r="H42">
            <v>0</v>
          </cell>
        </row>
        <row r="43">
          <cell r="A43">
            <v>42</v>
          </cell>
          <cell r="B43">
            <v>3396.71</v>
          </cell>
          <cell r="C43">
            <v>0</v>
          </cell>
          <cell r="D43">
            <v>15</v>
          </cell>
          <cell r="E43">
            <v>0</v>
          </cell>
          <cell r="F43">
            <v>-0.2</v>
          </cell>
          <cell r="G43">
            <v>58.1</v>
          </cell>
          <cell r="H43">
            <v>0</v>
          </cell>
        </row>
        <row r="44">
          <cell r="A44">
            <v>43</v>
          </cell>
          <cell r="B44">
            <v>3249.66</v>
          </cell>
          <cell r="C44">
            <v>0</v>
          </cell>
          <cell r="D44">
            <v>15</v>
          </cell>
          <cell r="E44">
            <v>0</v>
          </cell>
          <cell r="F44">
            <v>-0.2</v>
          </cell>
          <cell r="G44">
            <v>61.1</v>
          </cell>
          <cell r="H44">
            <v>0</v>
          </cell>
        </row>
        <row r="45">
          <cell r="A45">
            <v>44</v>
          </cell>
          <cell r="B45">
            <v>2931.35</v>
          </cell>
          <cell r="C45">
            <v>0</v>
          </cell>
          <cell r="D45">
            <v>15</v>
          </cell>
          <cell r="E45">
            <v>0</v>
          </cell>
          <cell r="F45">
            <v>-0.2</v>
          </cell>
          <cell r="G45">
            <v>50.2</v>
          </cell>
          <cell r="H45">
            <v>0</v>
          </cell>
        </row>
        <row r="46">
          <cell r="A46">
            <v>45</v>
          </cell>
          <cell r="B46">
            <v>3933.05</v>
          </cell>
          <cell r="C46">
            <v>0</v>
          </cell>
          <cell r="D46">
            <v>10</v>
          </cell>
          <cell r="E46">
            <v>0</v>
          </cell>
          <cell r="F46">
            <v>-0.2</v>
          </cell>
          <cell r="G46">
            <v>50.4</v>
          </cell>
          <cell r="H46">
            <v>1</v>
          </cell>
        </row>
        <row r="47">
          <cell r="A47">
            <v>46</v>
          </cell>
          <cell r="B47">
            <v>3506.81</v>
          </cell>
          <cell r="C47">
            <v>0</v>
          </cell>
          <cell r="D47">
            <v>10</v>
          </cell>
          <cell r="E47">
            <v>0</v>
          </cell>
          <cell r="F47">
            <v>-0.2</v>
          </cell>
          <cell r="G47">
            <v>55</v>
          </cell>
          <cell r="H47">
            <v>0</v>
          </cell>
        </row>
        <row r="48">
          <cell r="A48">
            <v>47</v>
          </cell>
          <cell r="B48">
            <v>2818.97</v>
          </cell>
          <cell r="C48">
            <v>0</v>
          </cell>
          <cell r="D48">
            <v>10</v>
          </cell>
          <cell r="E48">
            <v>0</v>
          </cell>
          <cell r="F48">
            <v>-0.2</v>
          </cell>
          <cell r="G48">
            <v>44.4</v>
          </cell>
          <cell r="H48">
            <v>0</v>
          </cell>
        </row>
        <row r="49">
          <cell r="A49">
            <v>48</v>
          </cell>
          <cell r="B49">
            <v>3856.38</v>
          </cell>
          <cell r="C49">
            <v>0</v>
          </cell>
          <cell r="D49">
            <v>10</v>
          </cell>
          <cell r="E49">
            <v>0</v>
          </cell>
          <cell r="F49">
            <v>-0.2</v>
          </cell>
          <cell r="G49">
            <v>48.5</v>
          </cell>
          <cell r="H49">
            <v>1</v>
          </cell>
        </row>
        <row r="50">
          <cell r="A50">
            <v>49</v>
          </cell>
          <cell r="B50">
            <v>3060.15</v>
          </cell>
          <cell r="C50">
            <v>0</v>
          </cell>
          <cell r="D50">
            <v>0</v>
          </cell>
          <cell r="E50">
            <v>0</v>
          </cell>
          <cell r="F50">
            <v>-0.2</v>
          </cell>
          <cell r="G50">
            <v>44.5</v>
          </cell>
          <cell r="H50">
            <v>0</v>
          </cell>
        </row>
        <row r="51">
          <cell r="A51">
            <v>50</v>
          </cell>
          <cell r="B51">
            <v>2761.15</v>
          </cell>
          <cell r="C51">
            <v>0</v>
          </cell>
          <cell r="D51">
            <v>0</v>
          </cell>
          <cell r="E51">
            <v>0</v>
          </cell>
          <cell r="F51">
            <v>-0.2</v>
          </cell>
          <cell r="G51">
            <v>37.6</v>
          </cell>
          <cell r="H51">
            <v>0</v>
          </cell>
        </row>
        <row r="52">
          <cell r="A52">
            <v>51</v>
          </cell>
          <cell r="B52">
            <v>2323.12</v>
          </cell>
          <cell r="C52">
            <v>0</v>
          </cell>
          <cell r="D52">
            <v>0</v>
          </cell>
          <cell r="E52">
            <v>0</v>
          </cell>
          <cell r="F52">
            <v>-0.2</v>
          </cell>
          <cell r="G52">
            <v>32.799999999999997</v>
          </cell>
          <cell r="H52">
            <v>0</v>
          </cell>
        </row>
        <row r="53">
          <cell r="A53">
            <v>52</v>
          </cell>
          <cell r="B53">
            <v>3577.04</v>
          </cell>
          <cell r="C53">
            <v>0</v>
          </cell>
          <cell r="D53">
            <v>0</v>
          </cell>
          <cell r="E53">
            <v>0</v>
          </cell>
          <cell r="F53">
            <v>-0.2</v>
          </cell>
          <cell r="G53">
            <v>35.9</v>
          </cell>
          <cell r="H53">
            <v>1</v>
          </cell>
        </row>
      </sheetData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215C08-AF3A-3F46-B7CB-43A9385DB583}" name="Table_1" displayName="Table_1" ref="A3:H55">
  <tableColumns count="8">
    <tableColumn id="1" xr3:uid="{00000000-0010-0000-0000-000001000000}" name="Week">
      <calculatedColumnFormula>[1]Data!A2</calculatedColumnFormula>
    </tableColumn>
    <tableColumn id="2" xr3:uid="{00000000-0010-0000-0000-000002000000}" name="Revenue">
      <calculatedColumnFormula>[1]Data!B2</calculatedColumnFormula>
    </tableColumn>
    <tableColumn id="3" xr3:uid="{00000000-0010-0000-0000-000003000000}" name="Newspaper Ads Adstock"/>
    <tableColumn id="4" xr3:uid="{00000000-0010-0000-0000-000004000000}" name="Search Ads">
      <calculatedColumnFormula>[1]Data!D2</calculatedColumnFormula>
    </tableColumn>
    <tableColumn id="5" xr3:uid="{00000000-0010-0000-0000-000005000000}" name="Social Ads">
      <calculatedColumnFormula>[1]Data!E2^$E$2</calculatedColumnFormula>
    </tableColumn>
    <tableColumn id="6" xr3:uid="{00000000-0010-0000-0000-000006000000}" name="Price Change">
      <calculatedColumnFormula>[1]Data!F2</calculatedColumnFormula>
    </tableColumn>
    <tableColumn id="7" xr3:uid="{00000000-0010-0000-0000-000007000000}" name="Temperature">
      <calculatedColumnFormula>[1]Data!G2</calculatedColumnFormula>
    </tableColumn>
    <tableColumn id="8" xr3:uid="{00000000-0010-0000-0000-000008000000}" name="Holiday">
      <calculatedColumnFormula>[1]Data!H2</calculatedColumnFormula>
    </tableColumn>
  </tableColumns>
  <tableStyleInfo name="Model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596AFA-872C-564D-B8CF-EDF3C503623D}" name="Table_2" displayName="Table_2" ref="U3:AD55">
  <tableColumns count="10">
    <tableColumn id="1" xr3:uid="{00000000-0010-0000-0100-000001000000}" name="Newspaper Ads Adstock">
      <calculatedColumnFormula>$P$6*C4</calculatedColumnFormula>
    </tableColumn>
    <tableColumn id="2" xr3:uid="{00000000-0010-0000-0100-000002000000}" name="Search Ads">
      <calculatedColumnFormula>$O$6*D4</calculatedColumnFormula>
    </tableColumn>
    <tableColumn id="3" xr3:uid="{00000000-0010-0000-0100-000003000000}" name="Social Ads">
      <calculatedColumnFormula>$N$6*E4</calculatedColumnFormula>
    </tableColumn>
    <tableColumn id="4" xr3:uid="{00000000-0010-0000-0100-000004000000}" name="Price Change">
      <calculatedColumnFormula>$M$6*F4</calculatedColumnFormula>
    </tableColumn>
    <tableColumn id="5" xr3:uid="{00000000-0010-0000-0100-000005000000}" name="Temperature">
      <calculatedColumnFormula>$L$6*G4</calculatedColumnFormula>
    </tableColumn>
    <tableColumn id="6" xr3:uid="{00000000-0010-0000-0100-000006000000}" name="Holiday">
      <calculatedColumnFormula>$K$6*H4</calculatedColumnFormula>
    </tableColumn>
    <tableColumn id="7" xr3:uid="{00000000-0010-0000-0100-000007000000}" name="Baseline">
      <calculatedColumnFormula>$Q$6</calculatedColumnFormula>
    </tableColumn>
    <tableColumn id="8" xr3:uid="{00000000-0010-0000-0100-000008000000}" name="Predicted">
      <calculatedColumnFormula>SUM(U4:AA4)</calculatedColumnFormula>
    </tableColumn>
    <tableColumn id="9" xr3:uid="{00000000-0010-0000-0100-000009000000}" name="Error">
      <calculatedColumnFormula>AB4-B4</calculatedColumnFormula>
    </tableColumn>
    <tableColumn id="10" xr3:uid="{00000000-0010-0000-0100-00000A000000}" name="% Error">
      <calculatedColumnFormula>AC4/B4</calculatedColumnFormula>
    </tableColumn>
  </tableColumns>
  <tableStyleInfo name="Model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02ABA4-4889-7241-AF46-496C6FA95C69}" name="Table_14" displayName="Table_14" ref="A3:H55">
  <tableColumns count="8">
    <tableColumn id="1" xr3:uid="{00000000-0010-0000-0000-000001000000}" name="Week"/>
    <tableColumn id="2" xr3:uid="{00000000-0010-0000-0000-000002000000}" name="Revenue"/>
    <tableColumn id="3" xr3:uid="{00000000-0010-0000-0000-000003000000}" name="Newspaper Ads"/>
    <tableColumn id="4" xr3:uid="{00000000-0010-0000-0000-000004000000}" name="Search Ads"/>
    <tableColumn id="5" xr3:uid="{00000000-0010-0000-0000-000005000000}" name="Social Ads"/>
    <tableColumn id="6" xr3:uid="{00000000-0010-0000-0000-000006000000}" name="Price Change"/>
    <tableColumn id="7" xr3:uid="{00000000-0010-0000-0000-000007000000}" name="Temperature"/>
    <tableColumn id="8" xr3:uid="{00000000-0010-0000-0000-000008000000}" name="Holiday"/>
  </tableColumns>
  <tableStyleInfo name="Model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E96DA6-FDDB-4F48-A55D-E45ECCDF8099}" name="Table_25" displayName="Table_25" ref="X3:AH55">
  <tableColumns count="11">
    <tableColumn id="1" xr3:uid="{00000000-0010-0000-0100-000001000000}" name="Social Ads, AR=0, DR=0.6">
      <calculatedColumnFormula>$N$42*K4</calculatedColumnFormula>
    </tableColumn>
    <tableColumn id="2" xr3:uid="{00000000-0010-0000-0100-000002000000}" name="Search Ads, AR=0, DR=1">
      <calculatedColumnFormula>$O$42*J4</calculatedColumnFormula>
    </tableColumn>
    <tableColumn id="3" xr3:uid="{00000000-0010-0000-0100-000003000000}" name="Newspaper Ads, AR=0.3, DR=1">
      <calculatedColumnFormula>$P$42*I4</calculatedColumnFormula>
    </tableColumn>
    <tableColumn id="4" xr3:uid="{00000000-0010-0000-0100-000004000000}" name="Holiday">
      <calculatedColumnFormula>$Q$42*H4</calculatedColumnFormula>
    </tableColumn>
    <tableColumn id="5" xr3:uid="{00000000-0010-0000-0100-000005000000}" name="Temperature">
      <calculatedColumnFormula>$R$42*G4</calculatedColumnFormula>
    </tableColumn>
    <tableColumn id="6" xr3:uid="{00000000-0010-0000-0100-000006000000}" name="Price Change">
      <calculatedColumnFormula>$S$42*F4</calculatedColumnFormula>
    </tableColumn>
    <tableColumn id="7" xr3:uid="{00000000-0010-0000-0100-000007000000}" name="Baseline">
      <calculatedColumnFormula>$T$42</calculatedColumnFormula>
    </tableColumn>
    <tableColumn id="8" xr3:uid="{00000000-0010-0000-0100-000008000000}" name="Predicted">
      <calculatedColumnFormula>SUM(X4:AD4)</calculatedColumnFormula>
    </tableColumn>
    <tableColumn id="9" xr3:uid="{00000000-0010-0000-0100-000009000000}" name="Error">
      <calculatedColumnFormula>AE4-B4</calculatedColumnFormula>
    </tableColumn>
    <tableColumn id="10" xr3:uid="{00000000-0010-0000-0100-00000A000000}" name="% Error">
      <calculatedColumnFormula>AF4/B4</calculatedColumnFormula>
    </tableColumn>
    <tableColumn id="11" xr3:uid="{00000000-0010-0000-0100-00000B000000}" name="Error ^ 2">
      <calculatedColumnFormula>AF4^2</calculatedColumnFormula>
    </tableColumn>
  </tableColumns>
  <tableStyleInfo name="Model-style 2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9ED3F4-FAE6-C942-96B2-A62CA3D4625E}" name="Table_3" displayName="Table_3" ref="I3:K55">
  <tableColumns count="3">
    <tableColumn id="1" xr3:uid="{00000000-0010-0000-0200-000001000000}" name="Newspaper Ads, AR=0.3, DR=1"/>
    <tableColumn id="2" xr3:uid="{00000000-0010-0000-0200-000002000000}" name="Search Ads, AR=0, DR=1"/>
    <tableColumn id="3" xr3:uid="{00000000-0010-0000-0200-000003000000}" name="Social Ads, AR=0, DR=0.6"/>
  </tableColumns>
  <tableStyleInfo name="Model-style 3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768B98-7358-0D49-8B8C-AECB36F9E178}" name="Table_17" displayName="Table_17" ref="I3:K55">
  <tableColumns count="3">
    <tableColumn id="1" xr3:uid="{00000000-0010-0000-0000-000001000000}" name="Newspaper Ads, AR=0.3, DR=1"/>
    <tableColumn id="2" xr3:uid="{00000000-0010-0000-0000-000002000000}" name="Search Ads, AR=0, DR=1"/>
    <tableColumn id="3" xr3:uid="{00000000-0010-0000-0000-000003000000}" name="Social Ads, AR=0, DR=0.6"/>
  </tableColumns>
  <tableStyleInfo name="Model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9B5CB5-A35B-A24A-820C-E44CAD62B711}" name="Table_28" displayName="Table_28" ref="A3:H55">
  <tableColumns count="8">
    <tableColumn id="1" xr3:uid="{00000000-0010-0000-0100-000001000000}" name="Week"/>
    <tableColumn id="2" xr3:uid="{00000000-0010-0000-0100-000002000000}" name="Revenue"/>
    <tableColumn id="3" xr3:uid="{00000000-0010-0000-0100-000003000000}" name="Newspaper Ads"/>
    <tableColumn id="4" xr3:uid="{00000000-0010-0000-0100-000004000000}" name="Search Ads"/>
    <tableColumn id="5" xr3:uid="{00000000-0010-0000-0100-000005000000}" name="Social Ads"/>
    <tableColumn id="6" xr3:uid="{00000000-0010-0000-0100-000006000000}" name="Price Change"/>
    <tableColumn id="7" xr3:uid="{00000000-0010-0000-0100-000007000000}" name="Temperature"/>
    <tableColumn id="8" xr3:uid="{00000000-0010-0000-0100-000008000000}" name="Holiday"/>
  </tableColumns>
  <tableStyleInfo name="Model-style 2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EE40A3-F7D1-0B47-BD4E-1A5B394A8ECF}" name="Table_39" displayName="Table_39" ref="X3:AH55">
  <tableColumns count="11">
    <tableColumn id="1" xr3:uid="{00000000-0010-0000-0200-000001000000}" name="Social Ads, AR=0, DR=0.6">
      <calculatedColumnFormula>$N$42*K4</calculatedColumnFormula>
    </tableColumn>
    <tableColumn id="2" xr3:uid="{00000000-0010-0000-0200-000002000000}" name="Search Ads, AR=0, DR=1">
      <calculatedColumnFormula>$O$42*J4</calculatedColumnFormula>
    </tableColumn>
    <tableColumn id="3" xr3:uid="{00000000-0010-0000-0200-000003000000}" name="Newspaper Ads, AR=0.3, DR=1">
      <calculatedColumnFormula>$P$42*I4</calculatedColumnFormula>
    </tableColumn>
    <tableColumn id="4" xr3:uid="{00000000-0010-0000-0200-000004000000}" name="Holiday">
      <calculatedColumnFormula>$Q$42*H4</calculatedColumnFormula>
    </tableColumn>
    <tableColumn id="5" xr3:uid="{00000000-0010-0000-0200-000005000000}" name="Temperature">
      <calculatedColumnFormula>$R$42*G4</calculatedColumnFormula>
    </tableColumn>
    <tableColumn id="6" xr3:uid="{00000000-0010-0000-0200-000006000000}" name="Price Change">
      <calculatedColumnFormula>$S$42*F4</calculatedColumnFormula>
    </tableColumn>
    <tableColumn id="7" xr3:uid="{00000000-0010-0000-0200-000007000000}" name="Baseline">
      <calculatedColumnFormula>$T$42</calculatedColumnFormula>
    </tableColumn>
    <tableColumn id="8" xr3:uid="{00000000-0010-0000-0200-000008000000}" name="Predicted">
      <calculatedColumnFormula>SUM(X4:AD4)</calculatedColumnFormula>
    </tableColumn>
    <tableColumn id="9" xr3:uid="{00000000-0010-0000-0200-000009000000}" name="Error">
      <calculatedColumnFormula>AE4-B4</calculatedColumnFormula>
    </tableColumn>
    <tableColumn id="10" xr3:uid="{00000000-0010-0000-0200-00000A000000}" name="% Error">
      <calculatedColumnFormula>AF4/B4</calculatedColumnFormula>
    </tableColumn>
    <tableColumn id="11" xr3:uid="{00000000-0010-0000-0200-00000B000000}" name="Error ^ 2">
      <calculatedColumnFormula>AF4^2</calculatedColumnFormula>
    </tableColumn>
  </tableColumns>
  <tableStyleInfo name="Model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7.xml"/><Relationship Id="rId4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3"/>
  <sheetViews>
    <sheetView workbookViewId="0"/>
  </sheetViews>
  <sheetFormatPr baseColWidth="10" defaultColWidth="14.5" defaultRowHeight="15.75" customHeight="1"/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ht="15.75" customHeight="1">
      <c r="A2" s="1">
        <v>1</v>
      </c>
      <c r="B2" s="2">
        <v>3302.99</v>
      </c>
      <c r="C2" s="3">
        <v>0</v>
      </c>
      <c r="D2" s="3">
        <v>0</v>
      </c>
      <c r="E2" s="3">
        <v>0</v>
      </c>
      <c r="F2" s="4">
        <v>0</v>
      </c>
      <c r="G2" s="5">
        <v>39.799999999999997</v>
      </c>
      <c r="H2" s="1">
        <v>1</v>
      </c>
    </row>
    <row r="3" spans="1:16" ht="15.75" customHeight="1">
      <c r="A3" s="1">
        <v>2</v>
      </c>
      <c r="B3" s="2">
        <v>2706.27</v>
      </c>
      <c r="C3" s="3">
        <v>0</v>
      </c>
      <c r="D3" s="3">
        <v>0</v>
      </c>
      <c r="E3" s="3">
        <v>0</v>
      </c>
      <c r="F3" s="4">
        <v>0</v>
      </c>
      <c r="G3" s="5">
        <v>37.299999999999997</v>
      </c>
      <c r="H3" s="1">
        <v>0</v>
      </c>
      <c r="J3" s="6"/>
      <c r="K3" s="6"/>
      <c r="L3" s="6"/>
      <c r="M3" s="6"/>
      <c r="N3" s="6"/>
      <c r="O3" s="6"/>
      <c r="P3" s="6"/>
    </row>
    <row r="4" spans="1:16" ht="15.75" customHeight="1">
      <c r="A4" s="1">
        <v>3</v>
      </c>
      <c r="B4" s="2">
        <v>2330.41</v>
      </c>
      <c r="C4" s="3">
        <v>0</v>
      </c>
      <c r="D4" s="3">
        <v>0</v>
      </c>
      <c r="E4" s="3">
        <v>0</v>
      </c>
      <c r="F4" s="4">
        <v>0</v>
      </c>
      <c r="G4" s="5">
        <v>38.6</v>
      </c>
      <c r="H4" s="1">
        <v>0</v>
      </c>
    </row>
    <row r="5" spans="1:16" ht="15.75" customHeight="1">
      <c r="A5" s="1">
        <v>4</v>
      </c>
      <c r="B5" s="2">
        <v>2351.63</v>
      </c>
      <c r="C5" s="3">
        <v>0</v>
      </c>
      <c r="D5" s="3">
        <v>0</v>
      </c>
      <c r="E5" s="3">
        <v>0</v>
      </c>
      <c r="F5" s="4">
        <v>0</v>
      </c>
      <c r="G5" s="5">
        <v>32.299999999999997</v>
      </c>
      <c r="H5" s="1">
        <v>0</v>
      </c>
    </row>
    <row r="6" spans="1:16" ht="15.75" customHeight="1">
      <c r="A6" s="1">
        <v>5</v>
      </c>
      <c r="B6" s="2">
        <v>2398.48</v>
      </c>
      <c r="C6" s="3">
        <v>0</v>
      </c>
      <c r="D6" s="3">
        <v>10</v>
      </c>
      <c r="E6" s="3">
        <v>0</v>
      </c>
      <c r="F6" s="4">
        <v>0</v>
      </c>
      <c r="G6" s="5">
        <v>34.9</v>
      </c>
      <c r="H6" s="1">
        <v>0</v>
      </c>
    </row>
    <row r="7" spans="1:16" ht="15.75" customHeight="1">
      <c r="A7" s="1">
        <v>6</v>
      </c>
      <c r="B7" s="2">
        <v>2611.66</v>
      </c>
      <c r="C7" s="3">
        <v>0</v>
      </c>
      <c r="D7" s="3">
        <v>10</v>
      </c>
      <c r="E7" s="3">
        <v>0</v>
      </c>
      <c r="F7" s="4">
        <v>0</v>
      </c>
      <c r="G7" s="5">
        <v>38.700000000000003</v>
      </c>
      <c r="H7" s="1">
        <v>0</v>
      </c>
    </row>
    <row r="8" spans="1:16" ht="15.75" customHeight="1">
      <c r="A8" s="1">
        <v>7</v>
      </c>
      <c r="B8" s="2">
        <v>2557.31</v>
      </c>
      <c r="C8" s="3">
        <v>0</v>
      </c>
      <c r="D8" s="3">
        <v>10</v>
      </c>
      <c r="E8" s="3">
        <v>0</v>
      </c>
      <c r="F8" s="4">
        <v>0</v>
      </c>
      <c r="G8" s="5">
        <v>35.1</v>
      </c>
      <c r="H8" s="1">
        <v>0</v>
      </c>
    </row>
    <row r="9" spans="1:16" ht="15.75" customHeight="1">
      <c r="A9" s="1">
        <v>8</v>
      </c>
      <c r="B9" s="2">
        <v>3250.96</v>
      </c>
      <c r="C9" s="3">
        <v>0</v>
      </c>
      <c r="D9" s="3">
        <v>10</v>
      </c>
      <c r="E9" s="3">
        <v>0</v>
      </c>
      <c r="F9" s="4">
        <v>0</v>
      </c>
      <c r="G9" s="5">
        <v>34.4</v>
      </c>
      <c r="H9" s="1">
        <v>1</v>
      </c>
    </row>
    <row r="10" spans="1:16" ht="15.75" customHeight="1">
      <c r="A10" s="1">
        <v>9</v>
      </c>
      <c r="B10" s="2">
        <v>2802.04</v>
      </c>
      <c r="C10" s="3">
        <v>0</v>
      </c>
      <c r="D10" s="3">
        <v>10</v>
      </c>
      <c r="E10" s="3">
        <v>0</v>
      </c>
      <c r="F10" s="4">
        <v>0</v>
      </c>
      <c r="G10" s="5">
        <v>37.9</v>
      </c>
      <c r="H10" s="1">
        <v>0</v>
      </c>
    </row>
    <row r="11" spans="1:16" ht="15.75" customHeight="1">
      <c r="A11" s="1">
        <v>10</v>
      </c>
      <c r="B11" s="2">
        <v>2881.28</v>
      </c>
      <c r="C11" s="3">
        <v>0</v>
      </c>
      <c r="D11" s="3">
        <v>15</v>
      </c>
      <c r="E11" s="3">
        <v>0</v>
      </c>
      <c r="F11" s="4">
        <v>0</v>
      </c>
      <c r="G11" s="5">
        <v>40.6</v>
      </c>
      <c r="H11" s="1">
        <v>0</v>
      </c>
    </row>
    <row r="12" spans="1:16" ht="15.75" customHeight="1">
      <c r="A12" s="1">
        <v>11</v>
      </c>
      <c r="B12" s="2">
        <v>2734.97</v>
      </c>
      <c r="C12" s="3">
        <v>0</v>
      </c>
      <c r="D12" s="3">
        <v>15</v>
      </c>
      <c r="E12" s="3">
        <v>0</v>
      </c>
      <c r="F12" s="4">
        <v>0</v>
      </c>
      <c r="G12" s="5">
        <v>46.1</v>
      </c>
      <c r="H12" s="1">
        <v>0</v>
      </c>
    </row>
    <row r="13" spans="1:16" ht="15.75" customHeight="1">
      <c r="A13" s="1">
        <v>12</v>
      </c>
      <c r="B13" s="2">
        <v>3580.57</v>
      </c>
      <c r="C13" s="3">
        <v>0</v>
      </c>
      <c r="D13" s="3">
        <v>15</v>
      </c>
      <c r="E13" s="3">
        <v>0</v>
      </c>
      <c r="F13" s="4">
        <v>0</v>
      </c>
      <c r="G13" s="5">
        <v>43.6</v>
      </c>
      <c r="H13" s="1">
        <v>1</v>
      </c>
    </row>
    <row r="14" spans="1:16" ht="15.75" customHeight="1">
      <c r="A14" s="1">
        <v>13</v>
      </c>
      <c r="B14" s="2">
        <v>3581.54</v>
      </c>
      <c r="C14" s="3">
        <v>0</v>
      </c>
      <c r="D14" s="3">
        <v>15</v>
      </c>
      <c r="E14" s="3">
        <v>0</v>
      </c>
      <c r="F14" s="4">
        <v>0</v>
      </c>
      <c r="G14" s="5">
        <v>41.9</v>
      </c>
      <c r="H14" s="1">
        <v>1</v>
      </c>
    </row>
    <row r="15" spans="1:16" ht="15.75" customHeight="1">
      <c r="A15" s="1">
        <v>14</v>
      </c>
      <c r="B15" s="2">
        <v>2962.99</v>
      </c>
      <c r="C15" s="3">
        <v>0</v>
      </c>
      <c r="D15" s="3">
        <v>15</v>
      </c>
      <c r="E15" s="3">
        <v>0</v>
      </c>
      <c r="F15" s="4">
        <v>0</v>
      </c>
      <c r="G15" s="5">
        <v>45.1</v>
      </c>
      <c r="H15" s="1">
        <v>0</v>
      </c>
    </row>
    <row r="16" spans="1:16" ht="15.75" customHeight="1">
      <c r="A16" s="1">
        <v>15</v>
      </c>
      <c r="B16" s="2">
        <v>2510.8200000000002</v>
      </c>
      <c r="C16" s="3">
        <v>0</v>
      </c>
      <c r="D16" s="3">
        <v>15</v>
      </c>
      <c r="E16" s="3">
        <v>0</v>
      </c>
      <c r="F16" s="4">
        <v>0</v>
      </c>
      <c r="G16" s="5">
        <v>48</v>
      </c>
      <c r="H16" s="1">
        <v>0</v>
      </c>
    </row>
    <row r="17" spans="1:8" ht="15.75" customHeight="1">
      <c r="A17" s="1">
        <v>16</v>
      </c>
      <c r="B17" s="2">
        <v>2523.34</v>
      </c>
      <c r="C17" s="3">
        <v>0</v>
      </c>
      <c r="D17" s="3">
        <v>15</v>
      </c>
      <c r="E17" s="3">
        <v>0</v>
      </c>
      <c r="F17" s="4">
        <v>0.5</v>
      </c>
      <c r="G17" s="5">
        <v>45.7</v>
      </c>
      <c r="H17" s="1">
        <v>0</v>
      </c>
    </row>
    <row r="18" spans="1:8" ht="15.75" customHeight="1">
      <c r="A18" s="1">
        <v>17</v>
      </c>
      <c r="B18" s="2">
        <v>2708.6</v>
      </c>
      <c r="C18" s="3">
        <v>0</v>
      </c>
      <c r="D18" s="3">
        <v>15</v>
      </c>
      <c r="E18" s="3">
        <v>0</v>
      </c>
      <c r="F18" s="4">
        <v>0.5</v>
      </c>
      <c r="G18" s="5">
        <v>45</v>
      </c>
      <c r="H18" s="1">
        <v>0</v>
      </c>
    </row>
    <row r="19" spans="1:8" ht="15.75" customHeight="1">
      <c r="A19" s="1">
        <v>18</v>
      </c>
      <c r="B19" s="2">
        <v>2459.0300000000002</v>
      </c>
      <c r="C19" s="3">
        <v>0</v>
      </c>
      <c r="D19" s="3">
        <v>20</v>
      </c>
      <c r="E19" s="3">
        <v>0</v>
      </c>
      <c r="F19" s="4">
        <v>0.5</v>
      </c>
      <c r="G19" s="5">
        <v>50.2</v>
      </c>
      <c r="H19" s="1">
        <v>0</v>
      </c>
    </row>
    <row r="20" spans="1:8" ht="15.75" customHeight="1">
      <c r="A20" s="1">
        <v>19</v>
      </c>
      <c r="B20" s="2">
        <v>3429.26</v>
      </c>
      <c r="C20" s="3">
        <v>0</v>
      </c>
      <c r="D20" s="3">
        <v>20</v>
      </c>
      <c r="E20" s="3">
        <v>0</v>
      </c>
      <c r="F20" s="4">
        <v>0.5</v>
      </c>
      <c r="G20" s="5">
        <v>50.2</v>
      </c>
      <c r="H20" s="1">
        <v>1</v>
      </c>
    </row>
    <row r="21" spans="1:8" ht="15.75" customHeight="1">
      <c r="A21" s="1">
        <v>20</v>
      </c>
      <c r="B21" s="2">
        <v>2707.15</v>
      </c>
      <c r="C21" s="3">
        <v>0</v>
      </c>
      <c r="D21" s="3">
        <v>20</v>
      </c>
      <c r="E21" s="3">
        <v>0</v>
      </c>
      <c r="F21" s="4">
        <v>0.5</v>
      </c>
      <c r="G21" s="5">
        <v>52.8</v>
      </c>
      <c r="H21" s="1">
        <v>0</v>
      </c>
    </row>
    <row r="22" spans="1:8" ht="15.75" customHeight="1">
      <c r="A22" s="1">
        <v>21</v>
      </c>
      <c r="B22" s="2">
        <v>2658.95</v>
      </c>
      <c r="C22" s="3">
        <v>0</v>
      </c>
      <c r="D22" s="3">
        <v>20</v>
      </c>
      <c r="E22" s="3">
        <v>0</v>
      </c>
      <c r="F22" s="4">
        <v>0.5</v>
      </c>
      <c r="G22" s="5">
        <v>55.4</v>
      </c>
      <c r="H22" s="1">
        <v>0</v>
      </c>
    </row>
    <row r="23" spans="1:8" ht="15.75" customHeight="1">
      <c r="A23" s="1">
        <v>22</v>
      </c>
      <c r="B23" s="2">
        <v>2848.53</v>
      </c>
      <c r="C23" s="3">
        <v>0</v>
      </c>
      <c r="D23" s="3">
        <v>20</v>
      </c>
      <c r="E23" s="3">
        <v>0</v>
      </c>
      <c r="F23" s="4">
        <v>0.5</v>
      </c>
      <c r="G23" s="5">
        <v>61.7</v>
      </c>
      <c r="H23" s="1">
        <v>0</v>
      </c>
    </row>
    <row r="24" spans="1:8" ht="15.75" customHeight="1">
      <c r="A24" s="1">
        <v>23</v>
      </c>
      <c r="B24" s="2">
        <v>2801.63</v>
      </c>
      <c r="C24" s="3">
        <v>0</v>
      </c>
      <c r="D24" s="3">
        <v>20</v>
      </c>
      <c r="E24" s="3">
        <v>0</v>
      </c>
      <c r="F24" s="4">
        <v>0.5</v>
      </c>
      <c r="G24" s="5">
        <v>64.7</v>
      </c>
      <c r="H24" s="1">
        <v>0</v>
      </c>
    </row>
    <row r="25" spans="1:8" ht="15.75" customHeight="1">
      <c r="A25" s="1">
        <v>24</v>
      </c>
      <c r="B25" s="2">
        <v>4645.67</v>
      </c>
      <c r="C25" s="3">
        <v>200</v>
      </c>
      <c r="D25" s="3">
        <v>40</v>
      </c>
      <c r="E25" s="3">
        <v>0</v>
      </c>
      <c r="F25" s="4">
        <v>0.5</v>
      </c>
      <c r="G25" s="5">
        <v>67.599999999999994</v>
      </c>
      <c r="H25" s="1">
        <v>1</v>
      </c>
    </row>
    <row r="26" spans="1:8" ht="15.75" customHeight="1">
      <c r="A26" s="1">
        <v>25</v>
      </c>
      <c r="B26" s="2">
        <v>4034.12</v>
      </c>
      <c r="C26" s="3">
        <v>200</v>
      </c>
      <c r="D26" s="3">
        <v>40</v>
      </c>
      <c r="E26" s="3">
        <v>0</v>
      </c>
      <c r="F26" s="4">
        <v>0.5</v>
      </c>
      <c r="G26" s="5">
        <v>66.3</v>
      </c>
      <c r="H26" s="1">
        <v>0</v>
      </c>
    </row>
    <row r="27" spans="1:8" ht="15.75" customHeight="1">
      <c r="A27" s="1">
        <v>26</v>
      </c>
      <c r="B27" s="2">
        <v>4510.32</v>
      </c>
      <c r="C27" s="3">
        <v>200</v>
      </c>
      <c r="D27" s="3">
        <v>40</v>
      </c>
      <c r="E27" s="7">
        <v>70</v>
      </c>
      <c r="F27" s="4">
        <v>0.5</v>
      </c>
      <c r="G27" s="5">
        <v>74.400000000000006</v>
      </c>
      <c r="H27" s="1">
        <v>0</v>
      </c>
    </row>
    <row r="28" spans="1:8" ht="15.75" customHeight="1">
      <c r="A28" s="1">
        <v>27</v>
      </c>
      <c r="B28" s="2">
        <v>4436.8999999999996</v>
      </c>
      <c r="C28" s="3">
        <v>200</v>
      </c>
      <c r="D28" s="3">
        <v>50</v>
      </c>
      <c r="E28" s="7">
        <v>70</v>
      </c>
      <c r="F28" s="4">
        <v>0.5</v>
      </c>
      <c r="G28" s="5">
        <v>75.400000000000006</v>
      </c>
      <c r="H28" s="1">
        <v>0</v>
      </c>
    </row>
    <row r="29" spans="1:8" ht="15.75" customHeight="1">
      <c r="A29" s="1">
        <v>28</v>
      </c>
      <c r="B29" s="2">
        <v>5427.97</v>
      </c>
      <c r="C29" s="3">
        <v>200</v>
      </c>
      <c r="D29" s="3">
        <v>50</v>
      </c>
      <c r="E29" s="7">
        <v>70</v>
      </c>
      <c r="F29" s="4">
        <v>0.5</v>
      </c>
      <c r="G29" s="5">
        <v>77.099999999999994</v>
      </c>
      <c r="H29" s="1">
        <v>1</v>
      </c>
    </row>
    <row r="30" spans="1:8" ht="15.75" customHeight="1">
      <c r="A30" s="1">
        <v>29</v>
      </c>
      <c r="B30" s="2">
        <v>4758.76</v>
      </c>
      <c r="C30" s="3">
        <v>200</v>
      </c>
      <c r="D30" s="3">
        <v>50</v>
      </c>
      <c r="E30" s="7">
        <v>70</v>
      </c>
      <c r="F30" s="4">
        <v>0.5</v>
      </c>
      <c r="G30" s="5">
        <v>75.400000000000006</v>
      </c>
      <c r="H30" s="1">
        <v>0</v>
      </c>
    </row>
    <row r="31" spans="1:8" ht="15.75" customHeight="1">
      <c r="A31" s="1">
        <v>30</v>
      </c>
      <c r="B31" s="2">
        <v>4773.62</v>
      </c>
      <c r="C31" s="3">
        <v>200</v>
      </c>
      <c r="D31" s="3">
        <v>50</v>
      </c>
      <c r="E31" s="7">
        <v>140</v>
      </c>
      <c r="F31" s="4">
        <v>0.5</v>
      </c>
      <c r="G31" s="5">
        <v>79.599999999999994</v>
      </c>
      <c r="H31" s="1">
        <v>0</v>
      </c>
    </row>
    <row r="32" spans="1:8" ht="15.75" customHeight="1">
      <c r="A32" s="1">
        <v>31</v>
      </c>
      <c r="B32" s="2">
        <v>4866.54</v>
      </c>
      <c r="C32" s="3">
        <v>200</v>
      </c>
      <c r="D32" s="3">
        <v>50</v>
      </c>
      <c r="E32" s="7">
        <v>140</v>
      </c>
      <c r="F32" s="4">
        <v>0.5</v>
      </c>
      <c r="G32" s="5">
        <v>80.2</v>
      </c>
      <c r="H32" s="1">
        <v>0</v>
      </c>
    </row>
    <row r="33" spans="1:8" ht="13">
      <c r="A33" s="1">
        <v>32</v>
      </c>
      <c r="B33" s="2">
        <v>4846.53</v>
      </c>
      <c r="C33" s="3">
        <v>200</v>
      </c>
      <c r="D33" s="3">
        <v>40</v>
      </c>
      <c r="E33" s="7">
        <v>140</v>
      </c>
      <c r="F33" s="4">
        <v>0.5</v>
      </c>
      <c r="G33" s="5">
        <v>75.900000000000006</v>
      </c>
      <c r="H33" s="1">
        <v>0</v>
      </c>
    </row>
    <row r="34" spans="1:8" ht="13">
      <c r="A34" s="1">
        <v>33</v>
      </c>
      <c r="B34" s="2">
        <v>5209.8999999999996</v>
      </c>
      <c r="C34" s="3">
        <v>200</v>
      </c>
      <c r="D34" s="3">
        <v>40</v>
      </c>
      <c r="E34" s="7">
        <v>140</v>
      </c>
      <c r="F34" s="4">
        <v>-0.2</v>
      </c>
      <c r="G34" s="5">
        <v>77.3</v>
      </c>
      <c r="H34" s="1">
        <v>0</v>
      </c>
    </row>
    <row r="35" spans="1:8" ht="13">
      <c r="A35" s="1">
        <v>34</v>
      </c>
      <c r="B35" s="2">
        <v>4831.16</v>
      </c>
      <c r="C35" s="3">
        <v>200</v>
      </c>
      <c r="D35" s="3">
        <v>40</v>
      </c>
      <c r="E35" s="7">
        <v>35</v>
      </c>
      <c r="F35" s="4">
        <v>-0.2</v>
      </c>
      <c r="G35" s="5">
        <v>72.7</v>
      </c>
      <c r="H35" s="1">
        <v>0</v>
      </c>
    </row>
    <row r="36" spans="1:8" ht="13">
      <c r="A36" s="1">
        <v>35</v>
      </c>
      <c r="B36" s="2">
        <v>4999.6400000000003</v>
      </c>
      <c r="C36" s="3">
        <v>200</v>
      </c>
      <c r="D36" s="3">
        <v>40</v>
      </c>
      <c r="E36" s="7">
        <v>35</v>
      </c>
      <c r="F36" s="4">
        <v>-0.2</v>
      </c>
      <c r="G36" s="5">
        <v>76.7</v>
      </c>
      <c r="H36" s="1">
        <v>0</v>
      </c>
    </row>
    <row r="37" spans="1:8" ht="13">
      <c r="A37" s="1">
        <v>36</v>
      </c>
      <c r="B37" s="2">
        <v>4073.66</v>
      </c>
      <c r="C37" s="3">
        <v>0</v>
      </c>
      <c r="D37" s="3">
        <v>20</v>
      </c>
      <c r="E37" s="7">
        <v>35</v>
      </c>
      <c r="F37" s="4">
        <v>-0.2</v>
      </c>
      <c r="G37" s="5">
        <v>72.7</v>
      </c>
      <c r="H37" s="1">
        <v>0</v>
      </c>
    </row>
    <row r="38" spans="1:8" ht="13">
      <c r="A38" s="1">
        <v>37</v>
      </c>
      <c r="B38" s="2">
        <v>3885.19</v>
      </c>
      <c r="C38" s="3">
        <v>0</v>
      </c>
      <c r="D38" s="3">
        <v>20</v>
      </c>
      <c r="E38" s="7">
        <v>35</v>
      </c>
      <c r="F38" s="4">
        <v>-0.2</v>
      </c>
      <c r="G38" s="5">
        <v>71.7</v>
      </c>
      <c r="H38" s="1">
        <v>0</v>
      </c>
    </row>
    <row r="39" spans="1:8" ht="13">
      <c r="A39" s="1">
        <v>38</v>
      </c>
      <c r="B39" s="2">
        <v>3395.17</v>
      </c>
      <c r="C39" s="3">
        <v>0</v>
      </c>
      <c r="D39" s="3">
        <v>20</v>
      </c>
      <c r="E39" s="3">
        <v>0</v>
      </c>
      <c r="F39" s="4">
        <v>-0.2</v>
      </c>
      <c r="G39" s="5">
        <v>64.5</v>
      </c>
      <c r="H39" s="1">
        <v>0</v>
      </c>
    </row>
    <row r="40" spans="1:8" ht="13">
      <c r="A40" s="1">
        <v>39</v>
      </c>
      <c r="B40" s="2">
        <v>3543.52</v>
      </c>
      <c r="C40" s="3">
        <v>0</v>
      </c>
      <c r="D40" s="3">
        <v>20</v>
      </c>
      <c r="E40" s="3">
        <v>0</v>
      </c>
      <c r="F40" s="4">
        <v>-0.2</v>
      </c>
      <c r="G40" s="5">
        <v>62.5</v>
      </c>
      <c r="H40" s="1">
        <v>0</v>
      </c>
    </row>
    <row r="41" spans="1:8" ht="13">
      <c r="A41" s="1">
        <v>40</v>
      </c>
      <c r="B41" s="2">
        <v>3318.82</v>
      </c>
      <c r="C41" s="3">
        <v>0</v>
      </c>
      <c r="D41" s="3">
        <v>20</v>
      </c>
      <c r="E41" s="3">
        <v>0</v>
      </c>
      <c r="F41" s="4">
        <v>-0.2</v>
      </c>
      <c r="G41" s="5">
        <v>65.5</v>
      </c>
      <c r="H41" s="1">
        <v>0</v>
      </c>
    </row>
    <row r="42" spans="1:8" ht="13">
      <c r="A42" s="1">
        <v>41</v>
      </c>
      <c r="B42" s="2">
        <v>3439.85</v>
      </c>
      <c r="C42" s="3">
        <v>0</v>
      </c>
      <c r="D42" s="3">
        <v>15</v>
      </c>
      <c r="E42" s="3">
        <v>0</v>
      </c>
      <c r="F42" s="4">
        <v>-0.2</v>
      </c>
      <c r="G42" s="5">
        <v>60.9</v>
      </c>
      <c r="H42" s="1">
        <v>0</v>
      </c>
    </row>
    <row r="43" spans="1:8" ht="13">
      <c r="A43" s="1">
        <v>42</v>
      </c>
      <c r="B43" s="2">
        <v>3396.71</v>
      </c>
      <c r="C43" s="3">
        <v>0</v>
      </c>
      <c r="D43" s="3">
        <v>15</v>
      </c>
      <c r="E43" s="3">
        <v>0</v>
      </c>
      <c r="F43" s="4">
        <v>-0.2</v>
      </c>
      <c r="G43" s="5">
        <v>58.1</v>
      </c>
      <c r="H43" s="1">
        <v>0</v>
      </c>
    </row>
    <row r="44" spans="1:8" ht="13">
      <c r="A44" s="1">
        <v>43</v>
      </c>
      <c r="B44" s="2">
        <v>3249.66</v>
      </c>
      <c r="C44" s="3">
        <v>0</v>
      </c>
      <c r="D44" s="3">
        <v>15</v>
      </c>
      <c r="E44" s="3">
        <v>0</v>
      </c>
      <c r="F44" s="4">
        <v>-0.2</v>
      </c>
      <c r="G44" s="5">
        <v>61.1</v>
      </c>
      <c r="H44" s="1">
        <v>0</v>
      </c>
    </row>
    <row r="45" spans="1:8" ht="13">
      <c r="A45" s="1">
        <v>44</v>
      </c>
      <c r="B45" s="2">
        <v>2931.35</v>
      </c>
      <c r="C45" s="3">
        <v>0</v>
      </c>
      <c r="D45" s="3">
        <v>15</v>
      </c>
      <c r="E45" s="3">
        <v>0</v>
      </c>
      <c r="F45" s="4">
        <v>-0.2</v>
      </c>
      <c r="G45" s="5">
        <v>50.2</v>
      </c>
      <c r="H45" s="1">
        <v>0</v>
      </c>
    </row>
    <row r="46" spans="1:8" ht="13">
      <c r="A46" s="1">
        <v>45</v>
      </c>
      <c r="B46" s="2">
        <v>3933.05</v>
      </c>
      <c r="C46" s="3">
        <v>0</v>
      </c>
      <c r="D46" s="3">
        <v>10</v>
      </c>
      <c r="E46" s="3">
        <v>0</v>
      </c>
      <c r="F46" s="4">
        <v>-0.2</v>
      </c>
      <c r="G46" s="5">
        <v>50.4</v>
      </c>
      <c r="H46" s="1">
        <v>1</v>
      </c>
    </row>
    <row r="47" spans="1:8" ht="13">
      <c r="A47" s="1">
        <v>46</v>
      </c>
      <c r="B47" s="2">
        <v>3506.81</v>
      </c>
      <c r="C47" s="3">
        <v>0</v>
      </c>
      <c r="D47" s="3">
        <v>10</v>
      </c>
      <c r="E47" s="3">
        <v>0</v>
      </c>
      <c r="F47" s="4">
        <v>-0.2</v>
      </c>
      <c r="G47" s="5">
        <v>55</v>
      </c>
      <c r="H47" s="1">
        <v>0</v>
      </c>
    </row>
    <row r="48" spans="1:8" ht="13">
      <c r="A48" s="1">
        <v>47</v>
      </c>
      <c r="B48" s="2">
        <v>2818.97</v>
      </c>
      <c r="C48" s="3">
        <v>0</v>
      </c>
      <c r="D48" s="3">
        <v>10</v>
      </c>
      <c r="E48" s="3">
        <v>0</v>
      </c>
      <c r="F48" s="4">
        <v>-0.2</v>
      </c>
      <c r="G48" s="5">
        <v>44.4</v>
      </c>
      <c r="H48" s="1">
        <v>0</v>
      </c>
    </row>
    <row r="49" spans="1:8" ht="13">
      <c r="A49" s="1">
        <v>48</v>
      </c>
      <c r="B49" s="2">
        <v>3856.38</v>
      </c>
      <c r="C49" s="3">
        <v>0</v>
      </c>
      <c r="D49" s="3">
        <v>10</v>
      </c>
      <c r="E49" s="3">
        <v>0</v>
      </c>
      <c r="F49" s="4">
        <v>-0.2</v>
      </c>
      <c r="G49" s="5">
        <v>48.5</v>
      </c>
      <c r="H49" s="1">
        <v>1</v>
      </c>
    </row>
    <row r="50" spans="1:8" ht="13">
      <c r="A50" s="1">
        <v>49</v>
      </c>
      <c r="B50" s="2">
        <v>3060.15</v>
      </c>
      <c r="C50" s="3">
        <v>0</v>
      </c>
      <c r="D50" s="3">
        <v>0</v>
      </c>
      <c r="E50" s="3">
        <v>0</v>
      </c>
      <c r="F50" s="4">
        <v>-0.2</v>
      </c>
      <c r="G50" s="5">
        <v>44.5</v>
      </c>
      <c r="H50" s="1">
        <v>0</v>
      </c>
    </row>
    <row r="51" spans="1:8" ht="13">
      <c r="A51" s="1">
        <v>50</v>
      </c>
      <c r="B51" s="2">
        <v>2761.15</v>
      </c>
      <c r="C51" s="3">
        <v>0</v>
      </c>
      <c r="D51" s="3">
        <v>0</v>
      </c>
      <c r="E51" s="3">
        <v>0</v>
      </c>
      <c r="F51" s="4">
        <v>-0.2</v>
      </c>
      <c r="G51" s="5">
        <v>37.6</v>
      </c>
      <c r="H51" s="1">
        <v>0</v>
      </c>
    </row>
    <row r="52" spans="1:8" ht="13">
      <c r="A52" s="1">
        <v>51</v>
      </c>
      <c r="B52" s="2">
        <v>2323.12</v>
      </c>
      <c r="C52" s="3">
        <v>0</v>
      </c>
      <c r="D52" s="3">
        <v>0</v>
      </c>
      <c r="E52" s="3">
        <v>0</v>
      </c>
      <c r="F52" s="4">
        <v>-0.2</v>
      </c>
      <c r="G52" s="5">
        <v>32.799999999999997</v>
      </c>
      <c r="H52" s="1">
        <v>0</v>
      </c>
    </row>
    <row r="53" spans="1:8" ht="13">
      <c r="A53" s="1">
        <v>52</v>
      </c>
      <c r="B53" s="2">
        <v>3577.04</v>
      </c>
      <c r="C53" s="3">
        <v>0</v>
      </c>
      <c r="D53" s="3">
        <v>0</v>
      </c>
      <c r="E53" s="3">
        <v>0</v>
      </c>
      <c r="F53" s="4">
        <v>-0.2</v>
      </c>
      <c r="G53" s="5">
        <v>35.9</v>
      </c>
      <c r="H5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3"/>
  <sheetViews>
    <sheetView workbookViewId="0">
      <selection activeCell="F18" sqref="F18"/>
    </sheetView>
  </sheetViews>
  <sheetFormatPr baseColWidth="10" defaultColWidth="14.5" defaultRowHeight="15.75" customHeight="1"/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ht="15.75" customHeight="1">
      <c r="A2" s="1">
        <v>1</v>
      </c>
      <c r="B2" s="2">
        <v>3302.99</v>
      </c>
      <c r="C2" s="3">
        <v>0</v>
      </c>
    </row>
    <row r="3" spans="1:5" ht="15.75" customHeight="1">
      <c r="A3" s="1">
        <v>2</v>
      </c>
      <c r="B3" s="2">
        <v>2706.27</v>
      </c>
      <c r="C3" s="3">
        <v>0</v>
      </c>
    </row>
    <row r="4" spans="1:5" ht="15.75" customHeight="1">
      <c r="A4" s="1">
        <v>3</v>
      </c>
      <c r="B4" s="2">
        <v>2330.41</v>
      </c>
      <c r="C4" s="3">
        <v>0</v>
      </c>
    </row>
    <row r="5" spans="1:5" ht="15.75" customHeight="1">
      <c r="A5" s="1">
        <v>4</v>
      </c>
      <c r="B5" s="2">
        <v>2351.63</v>
      </c>
      <c r="C5" s="3">
        <v>0</v>
      </c>
    </row>
    <row r="6" spans="1:5" ht="15.75" customHeight="1">
      <c r="A6" s="1">
        <v>5</v>
      </c>
      <c r="B6" s="2">
        <v>2398.48</v>
      </c>
      <c r="C6" s="3">
        <v>0</v>
      </c>
    </row>
    <row r="7" spans="1:5" ht="15.75" customHeight="1">
      <c r="A7" s="1">
        <v>6</v>
      </c>
      <c r="B7" s="2">
        <v>2611.66</v>
      </c>
      <c r="C7" s="3">
        <v>0</v>
      </c>
    </row>
    <row r="8" spans="1:5" ht="15.75" customHeight="1">
      <c r="A8" s="1">
        <v>7</v>
      </c>
      <c r="B8" s="2">
        <v>2557.31</v>
      </c>
      <c r="C8" s="3">
        <v>0</v>
      </c>
    </row>
    <row r="9" spans="1:5" ht="15.75" customHeight="1">
      <c r="A9" s="1">
        <v>8</v>
      </c>
      <c r="B9" s="2">
        <v>3250.96</v>
      </c>
      <c r="C9" s="3">
        <v>0</v>
      </c>
    </row>
    <row r="10" spans="1:5" ht="15.75" customHeight="1">
      <c r="A10" s="1">
        <v>9</v>
      </c>
      <c r="B10" s="2">
        <v>2802.04</v>
      </c>
      <c r="C10" s="3">
        <v>0</v>
      </c>
    </row>
    <row r="11" spans="1:5" ht="15.75" customHeight="1">
      <c r="A11" s="1">
        <v>10</v>
      </c>
      <c r="B11" s="2">
        <v>2881.28</v>
      </c>
      <c r="C11" s="3">
        <v>0</v>
      </c>
    </row>
    <row r="12" spans="1:5" ht="15.75" customHeight="1">
      <c r="A12" s="1">
        <v>11</v>
      </c>
      <c r="B12" s="2">
        <v>2734.97</v>
      </c>
      <c r="C12" s="3">
        <v>0</v>
      </c>
    </row>
    <row r="13" spans="1:5" ht="15.75" customHeight="1">
      <c r="A13" s="1">
        <v>12</v>
      </c>
      <c r="B13" s="8">
        <v>3580.57</v>
      </c>
      <c r="C13" s="3">
        <v>0</v>
      </c>
      <c r="D13" s="9">
        <f t="shared" ref="D13:D24" si="0">$H$18</f>
        <v>2897.7008333333338</v>
      </c>
    </row>
    <row r="14" spans="1:5" ht="15.75" customHeight="1">
      <c r="A14" s="1">
        <v>13</v>
      </c>
      <c r="B14" s="8">
        <v>3581.54</v>
      </c>
      <c r="C14" s="3">
        <v>0</v>
      </c>
      <c r="D14" s="9">
        <f t="shared" si="0"/>
        <v>2897.7008333333338</v>
      </c>
    </row>
    <row r="15" spans="1:5" ht="15.75" customHeight="1">
      <c r="A15" s="1">
        <v>14</v>
      </c>
      <c r="B15" s="8">
        <v>2962.99</v>
      </c>
      <c r="C15" s="3">
        <v>0</v>
      </c>
      <c r="D15" s="9">
        <f t="shared" si="0"/>
        <v>2897.7008333333338</v>
      </c>
    </row>
    <row r="16" spans="1:5" ht="15.75" customHeight="1">
      <c r="A16" s="1">
        <v>15</v>
      </c>
      <c r="B16" s="8">
        <v>2510.8200000000002</v>
      </c>
      <c r="C16" s="3">
        <v>0</v>
      </c>
      <c r="D16" s="9">
        <f t="shared" si="0"/>
        <v>2897.7008333333338</v>
      </c>
    </row>
    <row r="17" spans="1:8" ht="15.75" customHeight="1">
      <c r="A17" s="1">
        <v>16</v>
      </c>
      <c r="B17" s="8">
        <v>2523.34</v>
      </c>
      <c r="C17" s="3">
        <v>0</v>
      </c>
      <c r="D17" s="9">
        <f t="shared" si="0"/>
        <v>2897.7008333333338</v>
      </c>
    </row>
    <row r="18" spans="1:8" ht="15.75" customHeight="1">
      <c r="A18" s="1">
        <v>17</v>
      </c>
      <c r="B18" s="8">
        <v>2708.6</v>
      </c>
      <c r="C18" s="3">
        <v>0</v>
      </c>
      <c r="D18" s="9">
        <f t="shared" si="0"/>
        <v>2897.7008333333338</v>
      </c>
      <c r="G18" s="10" t="s">
        <v>8</v>
      </c>
      <c r="H18" s="9">
        <f>AVERAGE(B13:B24)</f>
        <v>2897.7008333333338</v>
      </c>
    </row>
    <row r="19" spans="1:8" ht="15.75" customHeight="1">
      <c r="A19" s="1">
        <v>18</v>
      </c>
      <c r="B19" s="8">
        <v>2459.0300000000002</v>
      </c>
      <c r="C19" s="3">
        <v>0</v>
      </c>
      <c r="D19" s="9">
        <f t="shared" si="0"/>
        <v>2897.7008333333338</v>
      </c>
      <c r="G19" s="11" t="s">
        <v>9</v>
      </c>
      <c r="H19" s="9">
        <f>AVERAGE(B25:B36)</f>
        <v>4778.4275000000007</v>
      </c>
    </row>
    <row r="20" spans="1:8" ht="15.75" customHeight="1">
      <c r="A20" s="1">
        <v>19</v>
      </c>
      <c r="B20" s="8">
        <v>3429.26</v>
      </c>
      <c r="C20" s="3">
        <v>0</v>
      </c>
      <c r="D20" s="9">
        <f t="shared" si="0"/>
        <v>2897.7008333333338</v>
      </c>
    </row>
    <row r="21" spans="1:8" ht="15.75" customHeight="1">
      <c r="A21" s="1">
        <v>20</v>
      </c>
      <c r="B21" s="8">
        <v>2707.15</v>
      </c>
      <c r="C21" s="3">
        <v>0</v>
      </c>
      <c r="D21" s="9">
        <f t="shared" si="0"/>
        <v>2897.7008333333338</v>
      </c>
      <c r="G21" s="1" t="s">
        <v>10</v>
      </c>
      <c r="H21" s="9">
        <f>H19-H18</f>
        <v>1880.7266666666669</v>
      </c>
    </row>
    <row r="22" spans="1:8" ht="15.75" customHeight="1">
      <c r="A22" s="1">
        <v>21</v>
      </c>
      <c r="B22" s="8">
        <v>2658.95</v>
      </c>
      <c r="C22" s="3">
        <v>0</v>
      </c>
      <c r="D22" s="9">
        <f t="shared" si="0"/>
        <v>2897.7008333333338</v>
      </c>
      <c r="G22" s="1" t="s">
        <v>11</v>
      </c>
      <c r="H22" s="12">
        <f>H21/H18</f>
        <v>0.64904100693624633</v>
      </c>
    </row>
    <row r="23" spans="1:8" ht="15.75" customHeight="1">
      <c r="A23" s="1">
        <v>22</v>
      </c>
      <c r="B23" s="8">
        <v>2848.53</v>
      </c>
      <c r="C23" s="3">
        <v>0</v>
      </c>
      <c r="D23" s="9">
        <f t="shared" si="0"/>
        <v>2897.7008333333338</v>
      </c>
    </row>
    <row r="24" spans="1:8" ht="15.75" customHeight="1">
      <c r="A24" s="1">
        <v>23</v>
      </c>
      <c r="B24" s="8">
        <v>2801.63</v>
      </c>
      <c r="C24" s="3">
        <v>0</v>
      </c>
      <c r="D24" s="9">
        <f t="shared" si="0"/>
        <v>2897.7008333333338</v>
      </c>
      <c r="G24" s="1" t="s">
        <v>12</v>
      </c>
      <c r="H24" s="9">
        <f>AVERAGE(C25:C36)</f>
        <v>200</v>
      </c>
    </row>
    <row r="25" spans="1:8" ht="15.75" customHeight="1">
      <c r="A25" s="1">
        <v>24</v>
      </c>
      <c r="B25" s="13">
        <v>4645.67</v>
      </c>
      <c r="C25" s="3">
        <v>200</v>
      </c>
      <c r="E25" s="9">
        <f t="shared" ref="E25:E36" si="1">$H$19</f>
        <v>4778.4275000000007</v>
      </c>
      <c r="G25" s="1" t="s">
        <v>13</v>
      </c>
      <c r="H25" s="14">
        <f>(H21-H24)/H24</f>
        <v>8.4036333333333353</v>
      </c>
    </row>
    <row r="26" spans="1:8" ht="15.75" customHeight="1">
      <c r="A26" s="1">
        <v>25</v>
      </c>
      <c r="B26" s="13">
        <v>4034.12</v>
      </c>
      <c r="C26" s="3">
        <v>200</v>
      </c>
      <c r="E26" s="9">
        <f t="shared" si="1"/>
        <v>4778.4275000000007</v>
      </c>
    </row>
    <row r="27" spans="1:8" ht="15.75" customHeight="1">
      <c r="A27" s="1">
        <v>26</v>
      </c>
      <c r="B27" s="13">
        <v>4510.32</v>
      </c>
      <c r="C27" s="3">
        <v>200</v>
      </c>
      <c r="E27" s="9">
        <f t="shared" si="1"/>
        <v>4778.4275000000007</v>
      </c>
    </row>
    <row r="28" spans="1:8" ht="15.75" customHeight="1">
      <c r="A28" s="1">
        <v>27</v>
      </c>
      <c r="B28" s="13">
        <v>4436.8999999999996</v>
      </c>
      <c r="C28" s="3">
        <v>200</v>
      </c>
      <c r="E28" s="9">
        <f t="shared" si="1"/>
        <v>4778.4275000000007</v>
      </c>
    </row>
    <row r="29" spans="1:8" ht="15.75" customHeight="1">
      <c r="A29" s="1">
        <v>28</v>
      </c>
      <c r="B29" s="13">
        <v>5427.97</v>
      </c>
      <c r="C29" s="3">
        <v>200</v>
      </c>
      <c r="E29" s="9">
        <f t="shared" si="1"/>
        <v>4778.4275000000007</v>
      </c>
    </row>
    <row r="30" spans="1:8" ht="15.75" customHeight="1">
      <c r="A30" s="1">
        <v>29</v>
      </c>
      <c r="B30" s="13">
        <v>4758.76</v>
      </c>
      <c r="C30" s="3">
        <v>200</v>
      </c>
      <c r="E30" s="9">
        <f t="shared" si="1"/>
        <v>4778.4275000000007</v>
      </c>
    </row>
    <row r="31" spans="1:8" ht="15.75" customHeight="1">
      <c r="A31" s="1">
        <v>30</v>
      </c>
      <c r="B31" s="13">
        <v>4773.62</v>
      </c>
      <c r="C31" s="3">
        <v>200</v>
      </c>
      <c r="E31" s="9">
        <f t="shared" si="1"/>
        <v>4778.4275000000007</v>
      </c>
    </row>
    <row r="32" spans="1:8" ht="15.75" customHeight="1">
      <c r="A32" s="1">
        <v>31</v>
      </c>
      <c r="B32" s="13">
        <v>4866.54</v>
      </c>
      <c r="C32" s="3">
        <v>200</v>
      </c>
      <c r="E32" s="9">
        <f t="shared" si="1"/>
        <v>4778.4275000000007</v>
      </c>
    </row>
    <row r="33" spans="1:5" ht="13">
      <c r="A33" s="1">
        <v>32</v>
      </c>
      <c r="B33" s="13">
        <v>4846.53</v>
      </c>
      <c r="C33" s="3">
        <v>200</v>
      </c>
      <c r="E33" s="9">
        <f t="shared" si="1"/>
        <v>4778.4275000000007</v>
      </c>
    </row>
    <row r="34" spans="1:5" ht="13">
      <c r="A34" s="1">
        <v>33</v>
      </c>
      <c r="B34" s="13">
        <v>5209.8999999999996</v>
      </c>
      <c r="C34" s="3">
        <v>200</v>
      </c>
      <c r="E34" s="9">
        <f t="shared" si="1"/>
        <v>4778.4275000000007</v>
      </c>
    </row>
    <row r="35" spans="1:5" ht="13">
      <c r="A35" s="1">
        <v>34</v>
      </c>
      <c r="B35" s="13">
        <v>4831.16</v>
      </c>
      <c r="C35" s="3">
        <v>200</v>
      </c>
      <c r="E35" s="9">
        <f t="shared" si="1"/>
        <v>4778.4275000000007</v>
      </c>
    </row>
    <row r="36" spans="1:5" ht="13">
      <c r="A36" s="1">
        <v>35</v>
      </c>
      <c r="B36" s="13">
        <v>4999.6400000000003</v>
      </c>
      <c r="C36" s="3">
        <v>200</v>
      </c>
      <c r="E36" s="9">
        <f t="shared" si="1"/>
        <v>4778.4275000000007</v>
      </c>
    </row>
    <row r="37" spans="1:5" ht="13">
      <c r="A37" s="1">
        <v>36</v>
      </c>
      <c r="B37" s="2">
        <v>4073.66</v>
      </c>
      <c r="C37" s="3">
        <v>0</v>
      </c>
    </row>
    <row r="38" spans="1:5" ht="13">
      <c r="A38" s="1">
        <v>37</v>
      </c>
      <c r="B38" s="2">
        <v>3885.19</v>
      </c>
      <c r="C38" s="3">
        <v>0</v>
      </c>
    </row>
    <row r="39" spans="1:5" ht="13">
      <c r="A39" s="1">
        <v>38</v>
      </c>
      <c r="B39" s="2">
        <v>3395.17</v>
      </c>
      <c r="C39" s="3">
        <v>0</v>
      </c>
    </row>
    <row r="40" spans="1:5" ht="13">
      <c r="A40" s="1">
        <v>39</v>
      </c>
      <c r="B40" s="2">
        <v>3543.52</v>
      </c>
      <c r="C40" s="3">
        <v>0</v>
      </c>
    </row>
    <row r="41" spans="1:5" ht="13">
      <c r="A41" s="1">
        <v>40</v>
      </c>
      <c r="B41" s="2">
        <v>3318.82</v>
      </c>
      <c r="C41" s="3">
        <v>0</v>
      </c>
    </row>
    <row r="42" spans="1:5" ht="13">
      <c r="A42" s="1">
        <v>41</v>
      </c>
      <c r="B42" s="2">
        <v>3439.85</v>
      </c>
      <c r="C42" s="3">
        <v>0</v>
      </c>
    </row>
    <row r="43" spans="1:5" ht="13">
      <c r="A43" s="1">
        <v>42</v>
      </c>
      <c r="B43" s="2">
        <v>3396.71</v>
      </c>
      <c r="C43" s="3">
        <v>0</v>
      </c>
    </row>
    <row r="44" spans="1:5" ht="13">
      <c r="A44" s="1">
        <v>43</v>
      </c>
      <c r="B44" s="2">
        <v>3249.66</v>
      </c>
      <c r="C44" s="3">
        <v>0</v>
      </c>
    </row>
    <row r="45" spans="1:5" ht="13">
      <c r="A45" s="1">
        <v>44</v>
      </c>
      <c r="B45" s="2">
        <v>2931.35</v>
      </c>
      <c r="C45" s="3">
        <v>0</v>
      </c>
    </row>
    <row r="46" spans="1:5" ht="13">
      <c r="A46" s="1">
        <v>45</v>
      </c>
      <c r="B46" s="2">
        <v>3933.05</v>
      </c>
      <c r="C46" s="3">
        <v>0</v>
      </c>
    </row>
    <row r="47" spans="1:5" ht="13">
      <c r="A47" s="1">
        <v>46</v>
      </c>
      <c r="B47" s="2">
        <v>3506.81</v>
      </c>
      <c r="C47" s="3">
        <v>0</v>
      </c>
    </row>
    <row r="48" spans="1:5" ht="13">
      <c r="A48" s="1">
        <v>47</v>
      </c>
      <c r="B48" s="2">
        <v>2818.97</v>
      </c>
      <c r="C48" s="3">
        <v>0</v>
      </c>
    </row>
    <row r="49" spans="1:3" ht="13">
      <c r="A49" s="1">
        <v>48</v>
      </c>
      <c r="B49" s="2">
        <v>3856.38</v>
      </c>
      <c r="C49" s="3">
        <v>0</v>
      </c>
    </row>
    <row r="50" spans="1:3" ht="13">
      <c r="A50" s="1">
        <v>49</v>
      </c>
      <c r="B50" s="2">
        <v>3060.15</v>
      </c>
      <c r="C50" s="3">
        <v>0</v>
      </c>
    </row>
    <row r="51" spans="1:3" ht="13">
      <c r="A51" s="1">
        <v>50</v>
      </c>
      <c r="B51" s="2">
        <v>2761.15</v>
      </c>
      <c r="C51" s="3">
        <v>0</v>
      </c>
    </row>
    <row r="52" spans="1:3" ht="13">
      <c r="A52" s="1">
        <v>51</v>
      </c>
      <c r="B52" s="2">
        <v>2323.12</v>
      </c>
      <c r="C52" s="3">
        <v>0</v>
      </c>
    </row>
    <row r="53" spans="1:3" ht="13">
      <c r="A53" s="1">
        <v>52</v>
      </c>
      <c r="B53" s="2">
        <v>3577.04</v>
      </c>
      <c r="C53" s="3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5919-3A3C-DC4C-873F-3ACD2112367A}">
  <sheetPr>
    <outlinePr summaryBelow="0" summaryRight="0"/>
  </sheetPr>
  <dimension ref="A1:M53"/>
  <sheetViews>
    <sheetView workbookViewId="0"/>
  </sheetViews>
  <sheetFormatPr baseColWidth="10" defaultColWidth="14.5" defaultRowHeight="15.75" customHeight="1"/>
  <cols>
    <col min="1" max="16384" width="14.5" style="15"/>
  </cols>
  <sheetData>
    <row r="1" spans="1:13" ht="15.75" customHeight="1">
      <c r="A1" s="18" t="s">
        <v>0</v>
      </c>
      <c r="B1" s="18" t="s">
        <v>1</v>
      </c>
      <c r="C1" s="18" t="s">
        <v>6</v>
      </c>
    </row>
    <row r="2" spans="1:13" ht="15.75" customHeight="1">
      <c r="A2" s="18">
        <v>1</v>
      </c>
      <c r="B2" s="17">
        <v>3302.99</v>
      </c>
      <c r="C2" s="16">
        <v>39.799999999999997</v>
      </c>
    </row>
    <row r="3" spans="1:13" ht="15.75" customHeight="1">
      <c r="A3" s="18">
        <v>2</v>
      </c>
      <c r="B3" s="17">
        <v>2706.27</v>
      </c>
      <c r="C3" s="16">
        <v>37.299999999999997</v>
      </c>
    </row>
    <row r="4" spans="1:13" ht="15.75" customHeight="1">
      <c r="A4" s="18">
        <v>3</v>
      </c>
      <c r="B4" s="17">
        <v>2330.41</v>
      </c>
      <c r="C4" s="16">
        <v>38.6</v>
      </c>
    </row>
    <row r="5" spans="1:13" ht="15.75" customHeight="1">
      <c r="A5" s="18">
        <v>4</v>
      </c>
      <c r="B5" s="17">
        <v>2351.63</v>
      </c>
      <c r="C5" s="16">
        <v>32.299999999999997</v>
      </c>
    </row>
    <row r="6" spans="1:13" ht="15.75" customHeight="1">
      <c r="A6" s="18">
        <v>5</v>
      </c>
      <c r="B6" s="17">
        <v>2398.48</v>
      </c>
      <c r="C6" s="16">
        <v>34.9</v>
      </c>
    </row>
    <row r="7" spans="1:13" ht="15.75" customHeight="1">
      <c r="A7" s="18">
        <v>6</v>
      </c>
      <c r="B7" s="17">
        <v>2611.66</v>
      </c>
      <c r="C7" s="16">
        <v>38.700000000000003</v>
      </c>
    </row>
    <row r="8" spans="1:13" ht="15.75" customHeight="1">
      <c r="A8" s="18">
        <v>7</v>
      </c>
      <c r="B8" s="17">
        <v>2557.31</v>
      </c>
      <c r="C8" s="16">
        <v>35.1</v>
      </c>
    </row>
    <row r="9" spans="1:13" ht="15.75" customHeight="1">
      <c r="A9" s="18">
        <v>8</v>
      </c>
      <c r="B9" s="17">
        <v>3250.96</v>
      </c>
      <c r="C9" s="16">
        <v>34.4</v>
      </c>
      <c r="E9" s="18" t="s">
        <v>17</v>
      </c>
      <c r="F9" s="18">
        <f t="array" ref="F9:G13">LINEST(B2:B53,C2:C53,1,1)</f>
        <v>47.35832232344201</v>
      </c>
      <c r="G9" s="18">
        <v>862.61600087065699</v>
      </c>
      <c r="H9" s="18" t="s">
        <v>16</v>
      </c>
      <c r="L9" s="18" t="s">
        <v>6</v>
      </c>
      <c r="M9" s="18" t="s">
        <v>15</v>
      </c>
    </row>
    <row r="10" spans="1:13" ht="15.75" customHeight="1">
      <c r="A10" s="18">
        <v>9</v>
      </c>
      <c r="B10" s="17">
        <v>2802.04</v>
      </c>
      <c r="C10" s="16">
        <v>37.9</v>
      </c>
      <c r="F10" s="18">
        <v>4.701378616355699</v>
      </c>
      <c r="G10" s="18">
        <v>265.7133365992475</v>
      </c>
      <c r="L10" s="18">
        <v>40</v>
      </c>
      <c r="M10" s="19">
        <f>$F$9*L10+$G$9</f>
        <v>2756.9488938083373</v>
      </c>
    </row>
    <row r="11" spans="1:13" ht="15.75" customHeight="1">
      <c r="A11" s="18">
        <v>10</v>
      </c>
      <c r="B11" s="17">
        <v>2881.28</v>
      </c>
      <c r="C11" s="16">
        <v>40.6</v>
      </c>
      <c r="E11" s="18" t="s">
        <v>14</v>
      </c>
      <c r="F11" s="18">
        <v>0.6699039231964683</v>
      </c>
      <c r="G11" s="18">
        <v>505.32044591266492</v>
      </c>
      <c r="L11" s="18">
        <v>50</v>
      </c>
      <c r="M11" s="19">
        <f>$F$9*L11+$G$9</f>
        <v>3230.5321170427574</v>
      </c>
    </row>
    <row r="12" spans="1:13" ht="15.75" customHeight="1">
      <c r="A12" s="18">
        <v>11</v>
      </c>
      <c r="B12" s="17">
        <v>2734.97</v>
      </c>
      <c r="C12" s="16">
        <v>46.1</v>
      </c>
      <c r="F12" s="18">
        <v>101.47105195606207</v>
      </c>
      <c r="G12" s="18">
        <v>50</v>
      </c>
      <c r="L12" s="18">
        <v>60</v>
      </c>
      <c r="M12" s="19">
        <f>$F$9*L12+$G$9</f>
        <v>3704.1153402771774</v>
      </c>
    </row>
    <row r="13" spans="1:13" ht="15.75" customHeight="1">
      <c r="A13" s="18">
        <v>12</v>
      </c>
      <c r="B13" s="17">
        <v>3580.57</v>
      </c>
      <c r="C13" s="16">
        <v>43.6</v>
      </c>
      <c r="F13" s="18">
        <v>25910506.588400513</v>
      </c>
      <c r="G13" s="18">
        <v>12767437.652868727</v>
      </c>
      <c r="L13" s="18">
        <v>70</v>
      </c>
      <c r="M13" s="19">
        <f>$F$9*L13+$G$9</f>
        <v>4177.698563511598</v>
      </c>
    </row>
    <row r="14" spans="1:13" ht="15.75" customHeight="1">
      <c r="A14" s="18">
        <v>13</v>
      </c>
      <c r="B14" s="17">
        <v>3581.54</v>
      </c>
      <c r="C14" s="16">
        <v>41.9</v>
      </c>
      <c r="L14" s="18">
        <v>80</v>
      </c>
      <c r="M14" s="19">
        <f>$F$9*L14+$G$9</f>
        <v>4651.281786746018</v>
      </c>
    </row>
    <row r="15" spans="1:13" ht="15.75" customHeight="1">
      <c r="A15" s="18">
        <v>14</v>
      </c>
      <c r="B15" s="17">
        <v>2962.99</v>
      </c>
      <c r="C15" s="16">
        <v>45.1</v>
      </c>
      <c r="L15" s="18">
        <v>90</v>
      </c>
      <c r="M15" s="19">
        <f>$F$9*L15+$G$9</f>
        <v>5124.8650099804381</v>
      </c>
    </row>
    <row r="16" spans="1:13" ht="15.75" customHeight="1">
      <c r="A16" s="18">
        <v>15</v>
      </c>
      <c r="B16" s="17">
        <v>2510.8200000000002</v>
      </c>
      <c r="C16" s="16">
        <v>48</v>
      </c>
      <c r="L16" s="18">
        <v>100</v>
      </c>
      <c r="M16" s="19">
        <f>$F$9*L16+$G$9</f>
        <v>5598.4482332148582</v>
      </c>
    </row>
    <row r="17" spans="1:3" ht="15.75" customHeight="1">
      <c r="A17" s="18">
        <v>16</v>
      </c>
      <c r="B17" s="17">
        <v>2523.34</v>
      </c>
      <c r="C17" s="16">
        <v>45.7</v>
      </c>
    </row>
    <row r="18" spans="1:3" ht="15.75" customHeight="1">
      <c r="A18" s="18">
        <v>17</v>
      </c>
      <c r="B18" s="17">
        <v>2708.6</v>
      </c>
      <c r="C18" s="16">
        <v>45</v>
      </c>
    </row>
    <row r="19" spans="1:3" ht="15.75" customHeight="1">
      <c r="A19" s="18">
        <v>18</v>
      </c>
      <c r="B19" s="17">
        <v>2459.0300000000002</v>
      </c>
      <c r="C19" s="16">
        <v>50.2</v>
      </c>
    </row>
    <row r="20" spans="1:3" ht="15.75" customHeight="1">
      <c r="A20" s="18">
        <v>19</v>
      </c>
      <c r="B20" s="17">
        <v>3429.26</v>
      </c>
      <c r="C20" s="16">
        <v>50.2</v>
      </c>
    </row>
    <row r="21" spans="1:3" ht="15.75" customHeight="1">
      <c r="A21" s="18">
        <v>20</v>
      </c>
      <c r="B21" s="17">
        <v>2707.15</v>
      </c>
      <c r="C21" s="16">
        <v>52.8</v>
      </c>
    </row>
    <row r="22" spans="1:3" ht="15.75" customHeight="1">
      <c r="A22" s="18">
        <v>21</v>
      </c>
      <c r="B22" s="17">
        <v>2658.95</v>
      </c>
      <c r="C22" s="16">
        <v>55.4</v>
      </c>
    </row>
    <row r="23" spans="1:3" ht="15.75" customHeight="1">
      <c r="A23" s="18">
        <v>22</v>
      </c>
      <c r="B23" s="17">
        <v>2848.53</v>
      </c>
      <c r="C23" s="16">
        <v>61.7</v>
      </c>
    </row>
    <row r="24" spans="1:3" ht="15.75" customHeight="1">
      <c r="A24" s="18">
        <v>23</v>
      </c>
      <c r="B24" s="17">
        <v>2801.63</v>
      </c>
      <c r="C24" s="16">
        <v>64.7</v>
      </c>
    </row>
    <row r="25" spans="1:3" ht="15.75" customHeight="1">
      <c r="A25" s="18">
        <v>24</v>
      </c>
      <c r="B25" s="17">
        <v>4645.67</v>
      </c>
      <c r="C25" s="16">
        <v>67.599999999999994</v>
      </c>
    </row>
    <row r="26" spans="1:3" ht="15.75" customHeight="1">
      <c r="A26" s="18">
        <v>25</v>
      </c>
      <c r="B26" s="17">
        <v>4034.12</v>
      </c>
      <c r="C26" s="16">
        <v>66.3</v>
      </c>
    </row>
    <row r="27" spans="1:3" ht="15.75" customHeight="1">
      <c r="A27" s="18">
        <v>26</v>
      </c>
      <c r="B27" s="17">
        <v>4510.32</v>
      </c>
      <c r="C27" s="16">
        <v>74.400000000000006</v>
      </c>
    </row>
    <row r="28" spans="1:3" ht="15.75" customHeight="1">
      <c r="A28" s="18">
        <v>27</v>
      </c>
      <c r="B28" s="17">
        <v>4436.8999999999996</v>
      </c>
      <c r="C28" s="16">
        <v>75.400000000000006</v>
      </c>
    </row>
    <row r="29" spans="1:3" ht="15.75" customHeight="1">
      <c r="A29" s="18">
        <v>28</v>
      </c>
      <c r="B29" s="17">
        <v>5427.97</v>
      </c>
      <c r="C29" s="16">
        <v>77.099999999999994</v>
      </c>
    </row>
    <row r="30" spans="1:3" ht="15.75" customHeight="1">
      <c r="A30" s="18">
        <v>29</v>
      </c>
      <c r="B30" s="17">
        <v>4758.76</v>
      </c>
      <c r="C30" s="16">
        <v>75.400000000000006</v>
      </c>
    </row>
    <row r="31" spans="1:3" ht="15.75" customHeight="1">
      <c r="A31" s="18">
        <v>30</v>
      </c>
      <c r="B31" s="17">
        <v>4773.62</v>
      </c>
      <c r="C31" s="16">
        <v>79.599999999999994</v>
      </c>
    </row>
    <row r="32" spans="1:3" ht="15.75" customHeight="1">
      <c r="A32" s="18">
        <v>31</v>
      </c>
      <c r="B32" s="17">
        <v>4866.54</v>
      </c>
      <c r="C32" s="16">
        <v>80.2</v>
      </c>
    </row>
    <row r="33" spans="1:3" ht="15.75" customHeight="1">
      <c r="A33" s="18">
        <v>32</v>
      </c>
      <c r="B33" s="17">
        <v>4846.53</v>
      </c>
      <c r="C33" s="16">
        <v>75.900000000000006</v>
      </c>
    </row>
    <row r="34" spans="1:3" ht="15.75" customHeight="1">
      <c r="A34" s="18">
        <v>33</v>
      </c>
      <c r="B34" s="17">
        <v>5209.8999999999996</v>
      </c>
      <c r="C34" s="16">
        <v>77.3</v>
      </c>
    </row>
    <row r="35" spans="1:3" ht="15.75" customHeight="1">
      <c r="A35" s="18">
        <v>34</v>
      </c>
      <c r="B35" s="17">
        <v>4831.16</v>
      </c>
      <c r="C35" s="16">
        <v>72.7</v>
      </c>
    </row>
    <row r="36" spans="1:3" ht="15.75" customHeight="1">
      <c r="A36" s="18">
        <v>35</v>
      </c>
      <c r="B36" s="17">
        <v>4999.6400000000003</v>
      </c>
      <c r="C36" s="16">
        <v>76.7</v>
      </c>
    </row>
    <row r="37" spans="1:3" ht="15.75" customHeight="1">
      <c r="A37" s="18">
        <v>36</v>
      </c>
      <c r="B37" s="17">
        <v>4073.66</v>
      </c>
      <c r="C37" s="16">
        <v>72.7</v>
      </c>
    </row>
    <row r="38" spans="1:3" ht="15.75" customHeight="1">
      <c r="A38" s="18">
        <v>37</v>
      </c>
      <c r="B38" s="17">
        <v>3885.19</v>
      </c>
      <c r="C38" s="16">
        <v>71.7</v>
      </c>
    </row>
    <row r="39" spans="1:3" ht="15.75" customHeight="1">
      <c r="A39" s="18">
        <v>38</v>
      </c>
      <c r="B39" s="17">
        <v>3395.17</v>
      </c>
      <c r="C39" s="16">
        <v>64.5</v>
      </c>
    </row>
    <row r="40" spans="1:3" ht="15.75" customHeight="1">
      <c r="A40" s="18">
        <v>39</v>
      </c>
      <c r="B40" s="17">
        <v>3543.52</v>
      </c>
      <c r="C40" s="16">
        <v>62.5</v>
      </c>
    </row>
    <row r="41" spans="1:3" ht="15.75" customHeight="1">
      <c r="A41" s="18">
        <v>40</v>
      </c>
      <c r="B41" s="17">
        <v>3318.82</v>
      </c>
      <c r="C41" s="16">
        <v>65.5</v>
      </c>
    </row>
    <row r="42" spans="1:3" ht="15.75" customHeight="1">
      <c r="A42" s="18">
        <v>41</v>
      </c>
      <c r="B42" s="17">
        <v>3439.85</v>
      </c>
      <c r="C42" s="16">
        <v>60.9</v>
      </c>
    </row>
    <row r="43" spans="1:3" ht="15.75" customHeight="1">
      <c r="A43" s="18">
        <v>42</v>
      </c>
      <c r="B43" s="17">
        <v>3396.71</v>
      </c>
      <c r="C43" s="16">
        <v>58.1</v>
      </c>
    </row>
    <row r="44" spans="1:3" ht="15.75" customHeight="1">
      <c r="A44" s="18">
        <v>43</v>
      </c>
      <c r="B44" s="17">
        <v>3249.66</v>
      </c>
      <c r="C44" s="16">
        <v>61.1</v>
      </c>
    </row>
    <row r="45" spans="1:3" ht="15.75" customHeight="1">
      <c r="A45" s="18">
        <v>44</v>
      </c>
      <c r="B45" s="17">
        <v>2931.35</v>
      </c>
      <c r="C45" s="16">
        <v>50.2</v>
      </c>
    </row>
    <row r="46" spans="1:3" ht="15.75" customHeight="1">
      <c r="A46" s="18">
        <v>45</v>
      </c>
      <c r="B46" s="17">
        <v>3933.05</v>
      </c>
      <c r="C46" s="16">
        <v>50.4</v>
      </c>
    </row>
    <row r="47" spans="1:3" ht="15.75" customHeight="1">
      <c r="A47" s="18">
        <v>46</v>
      </c>
      <c r="B47" s="17">
        <v>3506.81</v>
      </c>
      <c r="C47" s="16">
        <v>55</v>
      </c>
    </row>
    <row r="48" spans="1:3" ht="13">
      <c r="A48" s="18">
        <v>47</v>
      </c>
      <c r="B48" s="17">
        <v>2818.97</v>
      </c>
      <c r="C48" s="16">
        <v>44.4</v>
      </c>
    </row>
    <row r="49" spans="1:3" ht="13">
      <c r="A49" s="18">
        <v>48</v>
      </c>
      <c r="B49" s="17">
        <v>3856.38</v>
      </c>
      <c r="C49" s="16">
        <v>48.5</v>
      </c>
    </row>
    <row r="50" spans="1:3" ht="13">
      <c r="A50" s="18">
        <v>49</v>
      </c>
      <c r="B50" s="17">
        <v>3060.15</v>
      </c>
      <c r="C50" s="16">
        <v>44.5</v>
      </c>
    </row>
    <row r="51" spans="1:3" ht="13">
      <c r="A51" s="18">
        <v>50</v>
      </c>
      <c r="B51" s="17">
        <v>2761.15</v>
      </c>
      <c r="C51" s="16">
        <v>37.6</v>
      </c>
    </row>
    <row r="52" spans="1:3" ht="13">
      <c r="A52" s="18">
        <v>51</v>
      </c>
      <c r="B52" s="17">
        <v>2323.12</v>
      </c>
      <c r="C52" s="16">
        <v>32.799999999999997</v>
      </c>
    </row>
    <row r="53" spans="1:3" ht="13">
      <c r="A53" s="18">
        <v>52</v>
      </c>
      <c r="B53" s="17">
        <v>3577.04</v>
      </c>
      <c r="C53" s="16">
        <v>35.9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65F4-2C74-8E48-8697-5576090C6833}">
  <sheetPr>
    <outlinePr summaryBelow="0" summaryRight="0"/>
  </sheetPr>
  <dimension ref="A1:Q53"/>
  <sheetViews>
    <sheetView topLeftCell="A21" workbookViewId="0">
      <selection activeCell="P50" sqref="P50"/>
    </sheetView>
  </sheetViews>
  <sheetFormatPr baseColWidth="10" defaultColWidth="14.5" defaultRowHeight="15.75" customHeight="1"/>
  <cols>
    <col min="1" max="16384" width="14.5" style="15"/>
  </cols>
  <sheetData>
    <row r="1" spans="1:16" ht="15.7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spans="1:16" ht="15.75" customHeight="1">
      <c r="A2" s="18">
        <v>1</v>
      </c>
      <c r="B2" s="17">
        <v>3302.99</v>
      </c>
      <c r="C2" s="21">
        <v>0</v>
      </c>
      <c r="D2" s="21">
        <v>0</v>
      </c>
      <c r="E2" s="21">
        <v>0</v>
      </c>
      <c r="F2" s="20">
        <v>0</v>
      </c>
      <c r="G2" s="16">
        <v>39.799999999999997</v>
      </c>
      <c r="H2" s="18">
        <v>1</v>
      </c>
    </row>
    <row r="3" spans="1:16" ht="15.75" customHeight="1">
      <c r="A3" s="18">
        <v>2</v>
      </c>
      <c r="B3" s="17">
        <v>2706.27</v>
      </c>
      <c r="C3" s="21">
        <v>0</v>
      </c>
      <c r="D3" s="21">
        <v>0</v>
      </c>
      <c r="E3" s="21">
        <v>0</v>
      </c>
      <c r="F3" s="20">
        <v>0</v>
      </c>
      <c r="G3" s="16">
        <v>37.299999999999997</v>
      </c>
      <c r="H3" s="18">
        <v>0</v>
      </c>
      <c r="J3" s="49" t="s">
        <v>28</v>
      </c>
      <c r="K3" s="49"/>
      <c r="L3" s="48"/>
      <c r="M3" s="48"/>
      <c r="N3" s="48"/>
      <c r="O3" s="48"/>
      <c r="P3" s="48"/>
    </row>
    <row r="4" spans="1:16" ht="15.75" customHeight="1">
      <c r="A4" s="18">
        <v>3</v>
      </c>
      <c r="B4" s="17">
        <v>2330.41</v>
      </c>
      <c r="C4" s="21">
        <v>0</v>
      </c>
      <c r="D4" s="21">
        <v>0</v>
      </c>
      <c r="E4" s="21">
        <v>0</v>
      </c>
      <c r="F4" s="20">
        <v>0</v>
      </c>
      <c r="G4" s="16">
        <v>38.6</v>
      </c>
      <c r="H4" s="18">
        <v>0</v>
      </c>
      <c r="J4" s="46">
        <v>1</v>
      </c>
      <c r="K4" s="45" t="s">
        <v>27</v>
      </c>
    </row>
    <row r="5" spans="1:16" ht="15.75" customHeight="1">
      <c r="A5" s="18">
        <v>4</v>
      </c>
      <c r="B5" s="17">
        <v>2351.63</v>
      </c>
      <c r="C5" s="21">
        <v>0</v>
      </c>
      <c r="D5" s="21">
        <v>0</v>
      </c>
      <c r="E5" s="21">
        <v>0</v>
      </c>
      <c r="F5" s="20">
        <v>0</v>
      </c>
      <c r="G5" s="16">
        <v>32.299999999999997</v>
      </c>
      <c r="H5" s="18">
        <v>0</v>
      </c>
      <c r="J5" s="46">
        <v>0.7</v>
      </c>
      <c r="K5" s="45" t="s">
        <v>26</v>
      </c>
    </row>
    <row r="6" spans="1:16" ht="15.75" customHeight="1">
      <c r="A6" s="18">
        <v>5</v>
      </c>
      <c r="B6" s="17">
        <v>2398.48</v>
      </c>
      <c r="C6" s="21">
        <v>0</v>
      </c>
      <c r="D6" s="21">
        <v>10</v>
      </c>
      <c r="E6" s="21">
        <v>0</v>
      </c>
      <c r="F6" s="20">
        <v>0</v>
      </c>
      <c r="G6" s="16">
        <v>34.9</v>
      </c>
      <c r="H6" s="18">
        <v>0</v>
      </c>
      <c r="J6" s="46">
        <v>0.5</v>
      </c>
      <c r="K6" s="45" t="s">
        <v>25</v>
      </c>
    </row>
    <row r="7" spans="1:16" ht="15.75" customHeight="1">
      <c r="A7" s="18">
        <v>6</v>
      </c>
      <c r="B7" s="17">
        <v>2611.66</v>
      </c>
      <c r="C7" s="21">
        <v>0</v>
      </c>
      <c r="D7" s="21">
        <v>10</v>
      </c>
      <c r="E7" s="21">
        <v>0</v>
      </c>
      <c r="F7" s="20">
        <v>0</v>
      </c>
      <c r="G7" s="16">
        <v>38.700000000000003</v>
      </c>
      <c r="H7" s="18">
        <v>0</v>
      </c>
      <c r="J7" s="46">
        <v>0.3</v>
      </c>
      <c r="K7" s="45" t="s">
        <v>24</v>
      </c>
    </row>
    <row r="8" spans="1:16" ht="15.75" customHeight="1">
      <c r="A8" s="18">
        <v>7</v>
      </c>
      <c r="B8" s="17">
        <v>2557.31</v>
      </c>
      <c r="C8" s="21">
        <v>0</v>
      </c>
      <c r="D8" s="21">
        <v>10</v>
      </c>
      <c r="E8" s="21">
        <v>0</v>
      </c>
      <c r="F8" s="20">
        <v>0</v>
      </c>
      <c r="G8" s="16">
        <v>35.1</v>
      </c>
      <c r="H8" s="18">
        <v>0</v>
      </c>
      <c r="J8" s="47">
        <v>0</v>
      </c>
      <c r="K8" s="45" t="s">
        <v>23</v>
      </c>
    </row>
    <row r="9" spans="1:16" ht="15.75" customHeight="1">
      <c r="A9" s="18">
        <v>8</v>
      </c>
      <c r="B9" s="17">
        <v>3250.96</v>
      </c>
      <c r="C9" s="21">
        <v>0</v>
      </c>
      <c r="D9" s="21">
        <v>10</v>
      </c>
      <c r="E9" s="21">
        <v>0</v>
      </c>
      <c r="F9" s="20">
        <v>0</v>
      </c>
      <c r="G9" s="16">
        <v>34.4</v>
      </c>
      <c r="H9" s="18">
        <v>1</v>
      </c>
      <c r="J9" s="47">
        <v>-0.3</v>
      </c>
      <c r="K9" s="45" t="s">
        <v>22</v>
      </c>
    </row>
    <row r="10" spans="1:16" ht="15.75" customHeight="1">
      <c r="A10" s="18">
        <v>9</v>
      </c>
      <c r="B10" s="17">
        <v>2802.04</v>
      </c>
      <c r="C10" s="21">
        <v>0</v>
      </c>
      <c r="D10" s="21">
        <v>10</v>
      </c>
      <c r="E10" s="21">
        <v>0</v>
      </c>
      <c r="F10" s="20">
        <v>0</v>
      </c>
      <c r="G10" s="16">
        <v>37.9</v>
      </c>
      <c r="H10" s="18">
        <v>0</v>
      </c>
      <c r="J10" s="47">
        <v>-0.5</v>
      </c>
      <c r="K10" s="45" t="s">
        <v>21</v>
      </c>
    </row>
    <row r="11" spans="1:16" ht="15.75" customHeight="1">
      <c r="A11" s="18">
        <v>10</v>
      </c>
      <c r="B11" s="17">
        <v>2881.28</v>
      </c>
      <c r="C11" s="21">
        <v>0</v>
      </c>
      <c r="D11" s="21">
        <v>15</v>
      </c>
      <c r="E11" s="21">
        <v>0</v>
      </c>
      <c r="F11" s="20">
        <v>0</v>
      </c>
      <c r="G11" s="16">
        <v>40.6</v>
      </c>
      <c r="H11" s="18">
        <v>0</v>
      </c>
      <c r="J11" s="47">
        <v>-0.7</v>
      </c>
      <c r="K11" s="45" t="s">
        <v>20</v>
      </c>
    </row>
    <row r="12" spans="1:16" ht="15.75" customHeight="1">
      <c r="A12" s="18">
        <v>11</v>
      </c>
      <c r="B12" s="17">
        <v>2734.97</v>
      </c>
      <c r="C12" s="21">
        <v>0</v>
      </c>
      <c r="D12" s="21">
        <v>15</v>
      </c>
      <c r="E12" s="21">
        <v>0</v>
      </c>
      <c r="F12" s="20">
        <v>0</v>
      </c>
      <c r="G12" s="16">
        <v>46.1</v>
      </c>
      <c r="H12" s="18">
        <v>0</v>
      </c>
      <c r="J12" s="46">
        <v>-1</v>
      </c>
      <c r="K12" s="45" t="s">
        <v>19</v>
      </c>
    </row>
    <row r="13" spans="1:16" ht="15.75" customHeight="1">
      <c r="A13" s="18">
        <v>12</v>
      </c>
      <c r="B13" s="17">
        <v>3580.57</v>
      </c>
      <c r="C13" s="21">
        <v>0</v>
      </c>
      <c r="D13" s="21">
        <v>15</v>
      </c>
      <c r="E13" s="21">
        <v>0</v>
      </c>
      <c r="F13" s="20">
        <v>0</v>
      </c>
      <c r="G13" s="16">
        <v>43.6</v>
      </c>
      <c r="H13" s="18">
        <v>1</v>
      </c>
    </row>
    <row r="14" spans="1:16" ht="15.75" customHeight="1">
      <c r="A14" s="18">
        <v>13</v>
      </c>
      <c r="B14" s="17">
        <v>3581.54</v>
      </c>
      <c r="C14" s="21">
        <v>0</v>
      </c>
      <c r="D14" s="21">
        <v>15</v>
      </c>
      <c r="E14" s="21">
        <v>0</v>
      </c>
      <c r="F14" s="20">
        <v>0</v>
      </c>
      <c r="G14" s="16">
        <v>41.9</v>
      </c>
      <c r="H14" s="18">
        <v>1</v>
      </c>
    </row>
    <row r="15" spans="1:16" ht="15.75" customHeight="1">
      <c r="A15" s="18">
        <v>14</v>
      </c>
      <c r="B15" s="17">
        <v>2962.99</v>
      </c>
      <c r="C15" s="21">
        <v>0</v>
      </c>
      <c r="D15" s="21">
        <v>15</v>
      </c>
      <c r="E15" s="21">
        <v>0</v>
      </c>
      <c r="F15" s="20">
        <v>0</v>
      </c>
      <c r="G15" s="16">
        <v>45.1</v>
      </c>
      <c r="H15" s="18">
        <v>0</v>
      </c>
      <c r="J15" s="18">
        <f>CORREL(B2:B53,G2:G53)</f>
        <v>0.81847658683463131</v>
      </c>
      <c r="K15" s="18" t="s">
        <v>18</v>
      </c>
    </row>
    <row r="16" spans="1:16" ht="15.75" customHeight="1">
      <c r="A16" s="18">
        <v>15</v>
      </c>
      <c r="B16" s="17">
        <v>2510.8200000000002</v>
      </c>
      <c r="C16" s="21">
        <v>0</v>
      </c>
      <c r="D16" s="21">
        <v>15</v>
      </c>
      <c r="E16" s="21">
        <v>0</v>
      </c>
      <c r="F16" s="20">
        <v>0</v>
      </c>
      <c r="G16" s="16">
        <v>48</v>
      </c>
      <c r="H16" s="18">
        <v>0</v>
      </c>
    </row>
    <row r="17" spans="1:8" ht="15.75" customHeight="1">
      <c r="A17" s="18">
        <v>16</v>
      </c>
      <c r="B17" s="17">
        <v>2523.34</v>
      </c>
      <c r="C17" s="21">
        <v>0</v>
      </c>
      <c r="D17" s="21">
        <v>15</v>
      </c>
      <c r="E17" s="21">
        <v>0</v>
      </c>
      <c r="F17" s="20">
        <v>0.5</v>
      </c>
      <c r="G17" s="16">
        <v>45.7</v>
      </c>
      <c r="H17" s="18">
        <v>0</v>
      </c>
    </row>
    <row r="18" spans="1:8" ht="15.75" customHeight="1">
      <c r="A18" s="18">
        <v>17</v>
      </c>
      <c r="B18" s="17">
        <v>2708.6</v>
      </c>
      <c r="C18" s="21">
        <v>0</v>
      </c>
      <c r="D18" s="21">
        <v>15</v>
      </c>
      <c r="E18" s="21">
        <v>0</v>
      </c>
      <c r="F18" s="20">
        <v>0.5</v>
      </c>
      <c r="G18" s="16">
        <v>45</v>
      </c>
      <c r="H18" s="18">
        <v>0</v>
      </c>
    </row>
    <row r="19" spans="1:8" ht="15.75" customHeight="1">
      <c r="A19" s="18">
        <v>18</v>
      </c>
      <c r="B19" s="17">
        <v>2459.0300000000002</v>
      </c>
      <c r="C19" s="21">
        <v>0</v>
      </c>
      <c r="D19" s="21">
        <v>20</v>
      </c>
      <c r="E19" s="21">
        <v>0</v>
      </c>
      <c r="F19" s="20">
        <v>0.5</v>
      </c>
      <c r="G19" s="16">
        <v>50.2</v>
      </c>
      <c r="H19" s="18">
        <v>0</v>
      </c>
    </row>
    <row r="20" spans="1:8" ht="15.75" customHeight="1">
      <c r="A20" s="18">
        <v>19</v>
      </c>
      <c r="B20" s="17">
        <v>3429.26</v>
      </c>
      <c r="C20" s="21">
        <v>0</v>
      </c>
      <c r="D20" s="21">
        <v>20</v>
      </c>
      <c r="E20" s="21">
        <v>0</v>
      </c>
      <c r="F20" s="20">
        <v>0.5</v>
      </c>
      <c r="G20" s="16">
        <v>50.2</v>
      </c>
      <c r="H20" s="18">
        <v>1</v>
      </c>
    </row>
    <row r="21" spans="1:8" ht="15.75" customHeight="1">
      <c r="A21" s="18">
        <v>20</v>
      </c>
      <c r="B21" s="17">
        <v>2707.15</v>
      </c>
      <c r="C21" s="21">
        <v>0</v>
      </c>
      <c r="D21" s="21">
        <v>20</v>
      </c>
      <c r="E21" s="21">
        <v>0</v>
      </c>
      <c r="F21" s="20">
        <v>0.5</v>
      </c>
      <c r="G21" s="16">
        <v>52.8</v>
      </c>
      <c r="H21" s="18">
        <v>0</v>
      </c>
    </row>
    <row r="22" spans="1:8" ht="15.75" customHeight="1">
      <c r="A22" s="18">
        <v>21</v>
      </c>
      <c r="B22" s="17">
        <v>2658.95</v>
      </c>
      <c r="C22" s="21">
        <v>0</v>
      </c>
      <c r="D22" s="21">
        <v>20</v>
      </c>
      <c r="E22" s="21">
        <v>0</v>
      </c>
      <c r="F22" s="20">
        <v>0.5</v>
      </c>
      <c r="G22" s="16">
        <v>55.4</v>
      </c>
      <c r="H22" s="18">
        <v>0</v>
      </c>
    </row>
    <row r="23" spans="1:8" ht="15.75" customHeight="1">
      <c r="A23" s="18">
        <v>22</v>
      </c>
      <c r="B23" s="17">
        <v>2848.53</v>
      </c>
      <c r="C23" s="21">
        <v>0</v>
      </c>
      <c r="D23" s="21">
        <v>20</v>
      </c>
      <c r="E23" s="21">
        <v>0</v>
      </c>
      <c r="F23" s="20">
        <v>0.5</v>
      </c>
      <c r="G23" s="16">
        <v>61.7</v>
      </c>
      <c r="H23" s="18">
        <v>0</v>
      </c>
    </row>
    <row r="24" spans="1:8" ht="15.75" customHeight="1">
      <c r="A24" s="18">
        <v>23</v>
      </c>
      <c r="B24" s="17">
        <v>2801.63</v>
      </c>
      <c r="C24" s="21">
        <v>0</v>
      </c>
      <c r="D24" s="21">
        <v>20</v>
      </c>
      <c r="E24" s="21">
        <v>0</v>
      </c>
      <c r="F24" s="20">
        <v>0.5</v>
      </c>
      <c r="G24" s="16">
        <v>64.7</v>
      </c>
      <c r="H24" s="18">
        <v>0</v>
      </c>
    </row>
    <row r="25" spans="1:8" ht="15.75" customHeight="1">
      <c r="A25" s="18">
        <v>24</v>
      </c>
      <c r="B25" s="17">
        <v>4645.67</v>
      </c>
      <c r="C25" s="21">
        <v>200</v>
      </c>
      <c r="D25" s="21">
        <v>40</v>
      </c>
      <c r="E25" s="21">
        <v>0</v>
      </c>
      <c r="F25" s="20">
        <v>0.5</v>
      </c>
      <c r="G25" s="16">
        <v>67.599999999999994</v>
      </c>
      <c r="H25" s="18">
        <v>1</v>
      </c>
    </row>
    <row r="26" spans="1:8" ht="15.75" customHeight="1">
      <c r="A26" s="18">
        <v>25</v>
      </c>
      <c r="B26" s="17">
        <v>4034.12</v>
      </c>
      <c r="C26" s="21">
        <v>200</v>
      </c>
      <c r="D26" s="21">
        <v>40</v>
      </c>
      <c r="E26" s="21">
        <v>0</v>
      </c>
      <c r="F26" s="20">
        <v>0.5</v>
      </c>
      <c r="G26" s="16">
        <v>66.3</v>
      </c>
      <c r="H26" s="18">
        <v>0</v>
      </c>
    </row>
    <row r="27" spans="1:8" ht="15.75" customHeight="1">
      <c r="A27" s="18">
        <v>26</v>
      </c>
      <c r="B27" s="17">
        <v>4510.32</v>
      </c>
      <c r="C27" s="21">
        <v>200</v>
      </c>
      <c r="D27" s="21">
        <v>40</v>
      </c>
      <c r="E27" s="17">
        <v>70</v>
      </c>
      <c r="F27" s="20">
        <v>0.5</v>
      </c>
      <c r="G27" s="16">
        <v>74.400000000000006</v>
      </c>
      <c r="H27" s="18">
        <v>0</v>
      </c>
    </row>
    <row r="28" spans="1:8" ht="15.75" customHeight="1">
      <c r="A28" s="18">
        <v>27</v>
      </c>
      <c r="B28" s="17">
        <v>4436.8999999999996</v>
      </c>
      <c r="C28" s="21">
        <v>200</v>
      </c>
      <c r="D28" s="21">
        <v>50</v>
      </c>
      <c r="E28" s="17">
        <v>70</v>
      </c>
      <c r="F28" s="20">
        <v>0.5</v>
      </c>
      <c r="G28" s="16">
        <v>75.400000000000006</v>
      </c>
      <c r="H28" s="18">
        <v>0</v>
      </c>
    </row>
    <row r="29" spans="1:8" ht="15.75" customHeight="1">
      <c r="A29" s="18">
        <v>28</v>
      </c>
      <c r="B29" s="17">
        <v>5427.97</v>
      </c>
      <c r="C29" s="21">
        <v>200</v>
      </c>
      <c r="D29" s="21">
        <v>50</v>
      </c>
      <c r="E29" s="17">
        <v>70</v>
      </c>
      <c r="F29" s="20">
        <v>0.5</v>
      </c>
      <c r="G29" s="16">
        <v>77.099999999999994</v>
      </c>
      <c r="H29" s="18">
        <v>1</v>
      </c>
    </row>
    <row r="30" spans="1:8" ht="15.75" customHeight="1">
      <c r="A30" s="18">
        <v>29</v>
      </c>
      <c r="B30" s="17">
        <v>4758.76</v>
      </c>
      <c r="C30" s="21">
        <v>200</v>
      </c>
      <c r="D30" s="21">
        <v>50</v>
      </c>
      <c r="E30" s="17">
        <v>70</v>
      </c>
      <c r="F30" s="20">
        <v>0.5</v>
      </c>
      <c r="G30" s="16">
        <v>75.400000000000006</v>
      </c>
      <c r="H30" s="18">
        <v>0</v>
      </c>
    </row>
    <row r="31" spans="1:8" ht="15.75" customHeight="1">
      <c r="A31" s="18">
        <v>30</v>
      </c>
      <c r="B31" s="17">
        <v>4773.62</v>
      </c>
      <c r="C31" s="21">
        <v>200</v>
      </c>
      <c r="D31" s="21">
        <v>50</v>
      </c>
      <c r="E31" s="17">
        <v>140</v>
      </c>
      <c r="F31" s="20">
        <v>0.5</v>
      </c>
      <c r="G31" s="16">
        <v>79.599999999999994</v>
      </c>
      <c r="H31" s="18">
        <v>0</v>
      </c>
    </row>
    <row r="32" spans="1:8" ht="15.75" customHeight="1">
      <c r="A32" s="18">
        <v>31</v>
      </c>
      <c r="B32" s="17">
        <v>4866.54</v>
      </c>
      <c r="C32" s="21">
        <v>200</v>
      </c>
      <c r="D32" s="21">
        <v>50</v>
      </c>
      <c r="E32" s="17">
        <v>140</v>
      </c>
      <c r="F32" s="20">
        <v>0.5</v>
      </c>
      <c r="G32" s="16">
        <v>80.2</v>
      </c>
      <c r="H32" s="18">
        <v>0</v>
      </c>
    </row>
    <row r="33" spans="1:17" ht="15.75" customHeight="1">
      <c r="A33" s="18">
        <v>32</v>
      </c>
      <c r="B33" s="17">
        <v>4846.53</v>
      </c>
      <c r="C33" s="21">
        <v>200</v>
      </c>
      <c r="D33" s="21">
        <v>40</v>
      </c>
      <c r="E33" s="17">
        <v>140</v>
      </c>
      <c r="F33" s="20">
        <v>0.5</v>
      </c>
      <c r="G33" s="16">
        <v>75.900000000000006</v>
      </c>
      <c r="H33" s="18">
        <v>0</v>
      </c>
    </row>
    <row r="34" spans="1:17" ht="15.75" customHeight="1">
      <c r="A34" s="18">
        <v>33</v>
      </c>
      <c r="B34" s="17">
        <v>5209.8999999999996</v>
      </c>
      <c r="C34" s="21">
        <v>200</v>
      </c>
      <c r="D34" s="21">
        <v>40</v>
      </c>
      <c r="E34" s="17">
        <v>140</v>
      </c>
      <c r="F34" s="20">
        <v>-0.2</v>
      </c>
      <c r="G34" s="16">
        <v>77.3</v>
      </c>
      <c r="H34" s="18">
        <v>0</v>
      </c>
    </row>
    <row r="35" spans="1:17" ht="15.75" customHeight="1">
      <c r="A35" s="18">
        <v>34</v>
      </c>
      <c r="B35" s="17">
        <v>4831.16</v>
      </c>
      <c r="C35" s="21">
        <v>200</v>
      </c>
      <c r="D35" s="21">
        <v>40</v>
      </c>
      <c r="E35" s="17">
        <v>35</v>
      </c>
      <c r="F35" s="20">
        <v>-0.2</v>
      </c>
      <c r="G35" s="16">
        <v>72.7</v>
      </c>
      <c r="H35" s="18">
        <v>0</v>
      </c>
    </row>
    <row r="36" spans="1:17" ht="15.75" customHeight="1">
      <c r="A36" s="18">
        <v>35</v>
      </c>
      <c r="B36" s="17">
        <v>4999.6400000000003</v>
      </c>
      <c r="C36" s="21">
        <v>200</v>
      </c>
      <c r="D36" s="21">
        <v>40</v>
      </c>
      <c r="E36" s="17">
        <v>35</v>
      </c>
      <c r="F36" s="20">
        <v>-0.2</v>
      </c>
      <c r="G36" s="16">
        <v>76.7</v>
      </c>
      <c r="H36" s="18">
        <v>0</v>
      </c>
      <c r="K36" s="45" t="s">
        <v>1</v>
      </c>
      <c r="L36" s="45" t="s">
        <v>2</v>
      </c>
      <c r="M36" s="45" t="s">
        <v>3</v>
      </c>
      <c r="N36" s="45" t="s">
        <v>4</v>
      </c>
      <c r="O36" s="45" t="s">
        <v>5</v>
      </c>
      <c r="P36" s="45" t="s">
        <v>6</v>
      </c>
      <c r="Q36" s="18" t="s">
        <v>7</v>
      </c>
    </row>
    <row r="37" spans="1:17" ht="15.75" customHeight="1">
      <c r="A37" s="18">
        <v>36</v>
      </c>
      <c r="B37" s="17">
        <v>4073.66</v>
      </c>
      <c r="C37" s="21">
        <v>0</v>
      </c>
      <c r="D37" s="21">
        <v>20</v>
      </c>
      <c r="E37" s="17">
        <v>35</v>
      </c>
      <c r="F37" s="20">
        <v>-0.2</v>
      </c>
      <c r="G37" s="16">
        <v>72.7</v>
      </c>
      <c r="H37" s="18">
        <v>0</v>
      </c>
      <c r="J37" s="18" t="s">
        <v>1</v>
      </c>
      <c r="K37" s="22">
        <f>CORREL($B$2:$B$53,B$2:B$53)</f>
        <v>1</v>
      </c>
      <c r="L37" s="44">
        <f>CORREL($B$2:$B$53,C$2:C$53)</f>
        <v>0.84717762910212235</v>
      </c>
      <c r="M37" s="43">
        <f>CORREL($B$2:$B$53,D$2:D$53)</f>
        <v>0.81820499867919971</v>
      </c>
      <c r="N37" s="34">
        <f>CORREL($B$2:$B$53,E$2:E$53)</f>
        <v>0.7437121794461875</v>
      </c>
      <c r="O37" s="42">
        <f>CORREL($B$2:$B$53,F$2:F$53)</f>
        <v>0.17101780979891257</v>
      </c>
      <c r="P37" s="41">
        <f>CORREL($B$2:$B$53,G$2:G$53)</f>
        <v>0.81847658683463131</v>
      </c>
      <c r="Q37" s="40">
        <f>CORREL($B$2:$B$53,H$2:H$53)</f>
        <v>0.23427626896412151</v>
      </c>
    </row>
    <row r="38" spans="1:17" ht="15.75" customHeight="1">
      <c r="A38" s="18">
        <v>37</v>
      </c>
      <c r="B38" s="17">
        <v>3885.19</v>
      </c>
      <c r="C38" s="21">
        <v>0</v>
      </c>
      <c r="D38" s="21">
        <v>20</v>
      </c>
      <c r="E38" s="17">
        <v>35</v>
      </c>
      <c r="F38" s="20">
        <v>-0.2</v>
      </c>
      <c r="G38" s="16">
        <v>71.7</v>
      </c>
      <c r="H38" s="18">
        <v>0</v>
      </c>
      <c r="J38" s="18" t="s">
        <v>2</v>
      </c>
      <c r="K38" s="23"/>
      <c r="L38" s="27">
        <f>CORREL($C$2:$C$53,C$2:C$53)</f>
        <v>1</v>
      </c>
      <c r="M38" s="39">
        <f>CORREL($C$2:$C$53,D$2:D$53)</f>
        <v>0.89678091458947196</v>
      </c>
      <c r="N38" s="38">
        <f>CORREL($C$2:$C$53,E$2:E$53)</f>
        <v>0.77462068290289843</v>
      </c>
      <c r="O38" s="37">
        <f>CORREL($C$2:$C$53,F$2:F$53)</f>
        <v>0.43627547546127593</v>
      </c>
      <c r="P38" s="36">
        <f>CORREL($C$2:$C$53,G$2:G$53)</f>
        <v>0.74838821908419517</v>
      </c>
      <c r="Q38" s="35">
        <f>CORREL($C$2:$C$53,H$2:H$53)</f>
        <v>-3.5634832254989909E-2</v>
      </c>
    </row>
    <row r="39" spans="1:17" ht="15.75" customHeight="1">
      <c r="A39" s="18">
        <v>38</v>
      </c>
      <c r="B39" s="17">
        <v>3395.17</v>
      </c>
      <c r="C39" s="21">
        <v>0</v>
      </c>
      <c r="D39" s="21">
        <v>20</v>
      </c>
      <c r="E39" s="21">
        <v>0</v>
      </c>
      <c r="F39" s="20">
        <v>-0.2</v>
      </c>
      <c r="G39" s="16">
        <v>64.5</v>
      </c>
      <c r="H39" s="18">
        <v>0</v>
      </c>
      <c r="J39" s="18" t="s">
        <v>3</v>
      </c>
      <c r="K39" s="23"/>
      <c r="L39" s="23"/>
      <c r="M39" s="22">
        <f>CORREL($D$2:$D$53,D$2:D$53)</f>
        <v>1.0000000000000002</v>
      </c>
      <c r="N39" s="34">
        <f>CORREL($D$2:$D$53,E$2:E$53)</f>
        <v>0.7472065773083989</v>
      </c>
      <c r="O39" s="33">
        <f>CORREL($D$2:$D$53,F$2:F$53)</f>
        <v>0.54717414704722267</v>
      </c>
      <c r="P39" s="32">
        <f>CORREL($D$2:$D$53,G$2:G$53)</f>
        <v>0.8809662211299254</v>
      </c>
      <c r="Q39" s="31">
        <f>CORREL($D$2:$D$53,H$2:H$53)</f>
        <v>-8.5106449634699016E-2</v>
      </c>
    </row>
    <row r="40" spans="1:17" ht="15.75" customHeight="1">
      <c r="A40" s="18">
        <v>39</v>
      </c>
      <c r="B40" s="17">
        <v>3543.52</v>
      </c>
      <c r="C40" s="21">
        <v>0</v>
      </c>
      <c r="D40" s="21">
        <v>20</v>
      </c>
      <c r="E40" s="21">
        <v>0</v>
      </c>
      <c r="F40" s="20">
        <v>-0.2</v>
      </c>
      <c r="G40" s="16">
        <v>62.5</v>
      </c>
      <c r="H40" s="18">
        <v>0</v>
      </c>
      <c r="J40" s="18" t="s">
        <v>4</v>
      </c>
      <c r="K40" s="23"/>
      <c r="L40" s="23"/>
      <c r="M40" s="23"/>
      <c r="N40" s="22">
        <f>CORREL($E$2:$E$53,E$2:E$53)</f>
        <v>1</v>
      </c>
      <c r="O40" s="30">
        <f>CORREL($E$2:$E$53,F$2:F$53)</f>
        <v>0.33348438053538382</v>
      </c>
      <c r="P40" s="29">
        <f>CORREL($E$2:$E$53,G$2:G$53)</f>
        <v>0.69920048833366155</v>
      </c>
      <c r="Q40" s="28">
        <f>CORREL($E$2:$E$53,H$2:H$53)</f>
        <v>-0.14345114601325779</v>
      </c>
    </row>
    <row r="41" spans="1:17" ht="15.75" customHeight="1">
      <c r="A41" s="18">
        <v>40</v>
      </c>
      <c r="B41" s="17">
        <v>3318.82</v>
      </c>
      <c r="C41" s="21">
        <v>0</v>
      </c>
      <c r="D41" s="21">
        <v>20</v>
      </c>
      <c r="E41" s="21">
        <v>0</v>
      </c>
      <c r="F41" s="20">
        <v>-0.2</v>
      </c>
      <c r="G41" s="16">
        <v>65.5</v>
      </c>
      <c r="H41" s="18">
        <v>0</v>
      </c>
      <c r="J41" s="18" t="s">
        <v>5</v>
      </c>
      <c r="K41" s="23"/>
      <c r="L41" s="23"/>
      <c r="M41" s="23"/>
      <c r="N41" s="23"/>
      <c r="O41" s="27">
        <f>CORREL($F$2:$F$53,F$2:F$53)</f>
        <v>1</v>
      </c>
      <c r="P41" s="26">
        <f>CORREL($F$2:$F$53,G$2:G$53)</f>
        <v>0.3226700231920786</v>
      </c>
      <c r="Q41" s="25">
        <f>CORREL($F$2:$F$53,H$2:H$53)</f>
        <v>5.6419125187603617E-3</v>
      </c>
    </row>
    <row r="42" spans="1:17" ht="15.75" customHeight="1">
      <c r="A42" s="18">
        <v>41</v>
      </c>
      <c r="B42" s="17">
        <v>3439.85</v>
      </c>
      <c r="C42" s="21">
        <v>0</v>
      </c>
      <c r="D42" s="21">
        <v>15</v>
      </c>
      <c r="E42" s="21">
        <v>0</v>
      </c>
      <c r="F42" s="20">
        <v>-0.2</v>
      </c>
      <c r="G42" s="16">
        <v>60.9</v>
      </c>
      <c r="H42" s="18">
        <v>0</v>
      </c>
      <c r="J42" s="18" t="s">
        <v>6</v>
      </c>
      <c r="K42" s="23"/>
      <c r="L42" s="23"/>
      <c r="M42" s="23"/>
      <c r="N42" s="23"/>
      <c r="O42" s="23"/>
      <c r="P42" s="22">
        <f>CORREL($G$2:$G$53,G$2:G$53)</f>
        <v>1</v>
      </c>
      <c r="Q42" s="24">
        <f>CORREL($G$2:$G$53,H$2:H$53)</f>
        <v>-0.18258285264602153</v>
      </c>
    </row>
    <row r="43" spans="1:17" ht="15.75" customHeight="1">
      <c r="A43" s="18">
        <v>42</v>
      </c>
      <c r="B43" s="17">
        <v>3396.71</v>
      </c>
      <c r="C43" s="21">
        <v>0</v>
      </c>
      <c r="D43" s="21">
        <v>15</v>
      </c>
      <c r="E43" s="21">
        <v>0</v>
      </c>
      <c r="F43" s="20">
        <v>-0.2</v>
      </c>
      <c r="G43" s="16">
        <v>58.1</v>
      </c>
      <c r="H43" s="18">
        <v>0</v>
      </c>
      <c r="J43" s="18" t="s">
        <v>7</v>
      </c>
      <c r="K43" s="23"/>
      <c r="L43" s="23"/>
      <c r="M43" s="23"/>
      <c r="N43" s="23"/>
      <c r="O43" s="23"/>
      <c r="P43" s="23"/>
      <c r="Q43" s="22">
        <f>CORREL($H$2:$H$53,H$2:H$53)</f>
        <v>1.0000000000000002</v>
      </c>
    </row>
    <row r="44" spans="1:17" ht="15.75" customHeight="1">
      <c r="A44" s="18">
        <v>43</v>
      </c>
      <c r="B44" s="17">
        <v>3249.66</v>
      </c>
      <c r="C44" s="21">
        <v>0</v>
      </c>
      <c r="D44" s="21">
        <v>15</v>
      </c>
      <c r="E44" s="21">
        <v>0</v>
      </c>
      <c r="F44" s="20">
        <v>-0.2</v>
      </c>
      <c r="G44" s="16">
        <v>61.1</v>
      </c>
      <c r="H44" s="18">
        <v>0</v>
      </c>
    </row>
    <row r="45" spans="1:17" ht="15.75" customHeight="1">
      <c r="A45" s="18">
        <v>44</v>
      </c>
      <c r="B45" s="17">
        <v>2931.35</v>
      </c>
      <c r="C45" s="21">
        <v>0</v>
      </c>
      <c r="D45" s="21">
        <v>15</v>
      </c>
      <c r="E45" s="21">
        <v>0</v>
      </c>
      <c r="F45" s="20">
        <v>-0.2</v>
      </c>
      <c r="G45" s="16">
        <v>50.2</v>
      </c>
      <c r="H45" s="18">
        <v>0</v>
      </c>
    </row>
    <row r="46" spans="1:17" ht="15.75" customHeight="1">
      <c r="A46" s="18">
        <v>45</v>
      </c>
      <c r="B46" s="17">
        <v>3933.05</v>
      </c>
      <c r="C46" s="21">
        <v>0</v>
      </c>
      <c r="D46" s="21">
        <v>10</v>
      </c>
      <c r="E46" s="21">
        <v>0</v>
      </c>
      <c r="F46" s="20">
        <v>-0.2</v>
      </c>
      <c r="G46" s="16">
        <v>50.4</v>
      </c>
      <c r="H46" s="18">
        <v>1</v>
      </c>
    </row>
    <row r="47" spans="1:17" ht="15.75" customHeight="1">
      <c r="A47" s="18">
        <v>46</v>
      </c>
      <c r="B47" s="17">
        <v>3506.81</v>
      </c>
      <c r="C47" s="21">
        <v>0</v>
      </c>
      <c r="D47" s="21">
        <v>10</v>
      </c>
      <c r="E47" s="21">
        <v>0</v>
      </c>
      <c r="F47" s="20">
        <v>-0.2</v>
      </c>
      <c r="G47" s="16">
        <v>55</v>
      </c>
      <c r="H47" s="18">
        <v>0</v>
      </c>
    </row>
    <row r="48" spans="1:17" ht="13">
      <c r="A48" s="18">
        <v>47</v>
      </c>
      <c r="B48" s="17">
        <v>2818.97</v>
      </c>
      <c r="C48" s="21">
        <v>0</v>
      </c>
      <c r="D48" s="21">
        <v>10</v>
      </c>
      <c r="E48" s="21">
        <v>0</v>
      </c>
      <c r="F48" s="20">
        <v>-0.2</v>
      </c>
      <c r="G48" s="16">
        <v>44.4</v>
      </c>
      <c r="H48" s="18">
        <v>0</v>
      </c>
    </row>
    <row r="49" spans="1:8" ht="13">
      <c r="A49" s="18">
        <v>48</v>
      </c>
      <c r="B49" s="17">
        <v>3856.38</v>
      </c>
      <c r="C49" s="21">
        <v>0</v>
      </c>
      <c r="D49" s="21">
        <v>10</v>
      </c>
      <c r="E49" s="21">
        <v>0</v>
      </c>
      <c r="F49" s="20">
        <v>-0.2</v>
      </c>
      <c r="G49" s="16">
        <v>48.5</v>
      </c>
      <c r="H49" s="18">
        <v>1</v>
      </c>
    </row>
    <row r="50" spans="1:8" ht="13">
      <c r="A50" s="18">
        <v>49</v>
      </c>
      <c r="B50" s="17">
        <v>3060.15</v>
      </c>
      <c r="C50" s="21">
        <v>0</v>
      </c>
      <c r="D50" s="21">
        <v>0</v>
      </c>
      <c r="E50" s="21">
        <v>0</v>
      </c>
      <c r="F50" s="20">
        <v>-0.2</v>
      </c>
      <c r="G50" s="16">
        <v>44.5</v>
      </c>
      <c r="H50" s="18">
        <v>0</v>
      </c>
    </row>
    <row r="51" spans="1:8" ht="13">
      <c r="A51" s="18">
        <v>50</v>
      </c>
      <c r="B51" s="17">
        <v>2761.15</v>
      </c>
      <c r="C51" s="21">
        <v>0</v>
      </c>
      <c r="D51" s="21">
        <v>0</v>
      </c>
      <c r="E51" s="21">
        <v>0</v>
      </c>
      <c r="F51" s="20">
        <v>-0.2</v>
      </c>
      <c r="G51" s="16">
        <v>37.6</v>
      </c>
      <c r="H51" s="18">
        <v>0</v>
      </c>
    </row>
    <row r="52" spans="1:8" ht="13">
      <c r="A52" s="18">
        <v>51</v>
      </c>
      <c r="B52" s="17">
        <v>2323.12</v>
      </c>
      <c r="C52" s="21">
        <v>0</v>
      </c>
      <c r="D52" s="21">
        <v>0</v>
      </c>
      <c r="E52" s="21">
        <v>0</v>
      </c>
      <c r="F52" s="20">
        <v>-0.2</v>
      </c>
      <c r="G52" s="16">
        <v>32.799999999999997</v>
      </c>
      <c r="H52" s="18">
        <v>0</v>
      </c>
    </row>
    <row r="53" spans="1:8" ht="13">
      <c r="A53" s="18">
        <v>52</v>
      </c>
      <c r="B53" s="17">
        <v>3577.04</v>
      </c>
      <c r="C53" s="21">
        <v>0</v>
      </c>
      <c r="D53" s="21">
        <v>0</v>
      </c>
      <c r="E53" s="21">
        <v>0</v>
      </c>
      <c r="F53" s="20">
        <v>-0.2</v>
      </c>
      <c r="G53" s="16">
        <v>35.9</v>
      </c>
      <c r="H53" s="18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CCC7-481A-E74E-82D7-77286DF583A5}">
  <sheetPr>
    <outlinePr summaryBelow="0" summaryRight="0"/>
  </sheetPr>
  <dimension ref="A1:AC53"/>
  <sheetViews>
    <sheetView workbookViewId="0">
      <selection activeCell="I2" sqref="I2"/>
    </sheetView>
  </sheetViews>
  <sheetFormatPr baseColWidth="10" defaultColWidth="14.5" defaultRowHeight="15.75" customHeight="1"/>
  <cols>
    <col min="1" max="16384" width="14.5" style="15"/>
  </cols>
  <sheetData>
    <row r="1" spans="1:29" ht="15.7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S1" s="18" t="str">
        <f>A1</f>
        <v>Week</v>
      </c>
      <c r="T1" s="45" t="s">
        <v>34</v>
      </c>
      <c r="U1" s="18" t="str">
        <f>C1</f>
        <v>Newspaper Ads</v>
      </c>
      <c r="V1" s="18" t="str">
        <f>D1</f>
        <v>Search Ads</v>
      </c>
      <c r="W1" s="18" t="str">
        <f>E1</f>
        <v>Social Ads</v>
      </c>
      <c r="X1" s="18" t="str">
        <f>F1</f>
        <v>Price Change</v>
      </c>
      <c r="Y1" s="18" t="str">
        <f>G1</f>
        <v>Temperature</v>
      </c>
      <c r="Z1" s="18" t="str">
        <f>H1</f>
        <v>Holiday</v>
      </c>
      <c r="AA1" s="18" t="s">
        <v>29</v>
      </c>
      <c r="AB1" s="18" t="s">
        <v>33</v>
      </c>
      <c r="AC1" s="18" t="s">
        <v>32</v>
      </c>
    </row>
    <row r="2" spans="1:29" ht="15.75" customHeight="1">
      <c r="A2" s="18">
        <v>1</v>
      </c>
      <c r="B2" s="17">
        <v>3302.99</v>
      </c>
      <c r="C2" s="21">
        <v>0</v>
      </c>
      <c r="D2" s="21">
        <v>0</v>
      </c>
      <c r="E2" s="21">
        <v>0</v>
      </c>
      <c r="F2" s="20">
        <v>0</v>
      </c>
      <c r="G2" s="16">
        <v>39.799999999999997</v>
      </c>
      <c r="H2" s="18">
        <v>1</v>
      </c>
      <c r="K2" s="18" t="str">
        <f>H1</f>
        <v>Holiday</v>
      </c>
      <c r="L2" s="18" t="str">
        <f>G1</f>
        <v>Temperature</v>
      </c>
      <c r="M2" s="18" t="str">
        <f>F1</f>
        <v>Price Change</v>
      </c>
      <c r="N2" s="18" t="str">
        <f>E1</f>
        <v>Social Ads</v>
      </c>
      <c r="O2" s="18" t="str">
        <f>D1</f>
        <v>Search Ads</v>
      </c>
      <c r="P2" s="18" t="str">
        <f>C1</f>
        <v>Newspaper Ads</v>
      </c>
      <c r="Q2" s="45" t="s">
        <v>29</v>
      </c>
      <c r="S2" s="18">
        <f>A2</f>
        <v>1</v>
      </c>
      <c r="T2" s="21">
        <f>SUM(U2:AA2)</f>
        <v>3420.6547622928538</v>
      </c>
      <c r="U2" s="21">
        <f>C2*$P$3</f>
        <v>0</v>
      </c>
      <c r="V2" s="21">
        <f>D2*$O$3</f>
        <v>0</v>
      </c>
      <c r="W2" s="21">
        <f>E2*$N$3</f>
        <v>0</v>
      </c>
      <c r="X2" s="20">
        <f>F2*$M$3</f>
        <v>0</v>
      </c>
      <c r="Y2" s="18">
        <f>G2*$L$3</f>
        <v>1098.6256207889642</v>
      </c>
      <c r="Z2" s="18">
        <f>H2*$K$3</f>
        <v>804.20996582391831</v>
      </c>
      <c r="AA2" s="18">
        <f>$Q$3</f>
        <v>1517.8191756799711</v>
      </c>
      <c r="AB2" s="21">
        <f>T2-B2</f>
        <v>117.66476229285399</v>
      </c>
      <c r="AC2" s="50">
        <f>AB2/B2</f>
        <v>3.5623711332112416E-2</v>
      </c>
    </row>
    <row r="3" spans="1:29" ht="15.75" customHeight="1">
      <c r="A3" s="18">
        <v>2</v>
      </c>
      <c r="B3" s="17">
        <v>2706.27</v>
      </c>
      <c r="C3" s="21">
        <v>0</v>
      </c>
      <c r="D3" s="21">
        <v>0</v>
      </c>
      <c r="E3" s="21">
        <v>0</v>
      </c>
      <c r="F3" s="20">
        <v>0</v>
      </c>
      <c r="G3" s="16">
        <v>37.299999999999997</v>
      </c>
      <c r="H3" s="18">
        <v>0</v>
      </c>
      <c r="J3" s="48" t="s">
        <v>31</v>
      </c>
      <c r="K3" s="51">
        <f t="array" ref="K3:Q7">LINEST(B2:B53,C2:H53,1,1)</f>
        <v>804.20996582391831</v>
      </c>
      <c r="L3" s="51">
        <v>27.603658813793071</v>
      </c>
      <c r="M3" s="51">
        <v>-751.92529348984044</v>
      </c>
      <c r="N3" s="51">
        <v>3.7100898251693231</v>
      </c>
      <c r="O3" s="51">
        <v>2.7898930069270897</v>
      </c>
      <c r="P3" s="51">
        <v>4.4966315667304091</v>
      </c>
      <c r="Q3" s="18">
        <v>1517.8191756799711</v>
      </c>
      <c r="S3" s="18">
        <f>A3</f>
        <v>2</v>
      </c>
      <c r="T3" s="21">
        <f>SUM(U3:AA3)</f>
        <v>2547.4356494344524</v>
      </c>
      <c r="U3" s="21">
        <f>C3*$P$3</f>
        <v>0</v>
      </c>
      <c r="V3" s="21">
        <f>D3*$O$3</f>
        <v>0</v>
      </c>
      <c r="W3" s="21">
        <f>E3*$N$3</f>
        <v>0</v>
      </c>
      <c r="X3" s="20">
        <f>F3*$M$3</f>
        <v>0</v>
      </c>
      <c r="Y3" s="18">
        <f>G3*$L$3</f>
        <v>1029.6164737544814</v>
      </c>
      <c r="Z3" s="18">
        <f>H3*$K$3</f>
        <v>0</v>
      </c>
      <c r="AA3" s="18">
        <f>$Q$3</f>
        <v>1517.8191756799711</v>
      </c>
      <c r="AB3" s="21">
        <f>T3-B3</f>
        <v>-158.83435056554754</v>
      </c>
      <c r="AC3" s="50">
        <f>AB3/B3</f>
        <v>-5.8691243137435491E-2</v>
      </c>
    </row>
    <row r="4" spans="1:29" ht="15.75" customHeight="1">
      <c r="A4" s="18">
        <v>3</v>
      </c>
      <c r="B4" s="17">
        <v>2330.41</v>
      </c>
      <c r="C4" s="21">
        <v>0</v>
      </c>
      <c r="D4" s="21">
        <v>0</v>
      </c>
      <c r="E4" s="21">
        <v>0</v>
      </c>
      <c r="F4" s="20">
        <v>0</v>
      </c>
      <c r="G4" s="16">
        <v>38.6</v>
      </c>
      <c r="H4" s="18">
        <v>0</v>
      </c>
      <c r="K4" s="18">
        <v>56.036661438870368</v>
      </c>
      <c r="L4" s="18">
        <v>3.5573704658940852</v>
      </c>
      <c r="M4" s="18">
        <v>95.679594235869345</v>
      </c>
      <c r="N4" s="18">
        <v>0.87605474655058246</v>
      </c>
      <c r="O4" s="18">
        <v>5.5691467449915759</v>
      </c>
      <c r="P4" s="18">
        <v>0.65267573805907009</v>
      </c>
      <c r="Q4" s="18">
        <v>132.68614093031479</v>
      </c>
      <c r="S4" s="18">
        <f>A4</f>
        <v>3</v>
      </c>
      <c r="T4" s="21">
        <f>SUM(U4:AA4)</f>
        <v>2583.3204058923839</v>
      </c>
      <c r="U4" s="21">
        <f>C4*$P$3</f>
        <v>0</v>
      </c>
      <c r="V4" s="21">
        <f>D4*$O$3</f>
        <v>0</v>
      </c>
      <c r="W4" s="21">
        <f>E4*$N$3</f>
        <v>0</v>
      </c>
      <c r="X4" s="20">
        <f>F4*$M$3</f>
        <v>0</v>
      </c>
      <c r="Y4" s="18">
        <f>G4*$L$3</f>
        <v>1065.5012302124126</v>
      </c>
      <c r="Z4" s="18">
        <f>H4*$K$3</f>
        <v>0</v>
      </c>
      <c r="AA4" s="18">
        <f>$Q$3</f>
        <v>1517.8191756799711</v>
      </c>
      <c r="AB4" s="21">
        <f>T4-B4</f>
        <v>252.91040589238401</v>
      </c>
      <c r="AC4" s="50">
        <f>AB4/B4</f>
        <v>0.10852614170570159</v>
      </c>
    </row>
    <row r="5" spans="1:29" ht="15.75" customHeight="1">
      <c r="A5" s="18">
        <v>4</v>
      </c>
      <c r="B5" s="17">
        <v>2351.63</v>
      </c>
      <c r="C5" s="21">
        <v>0</v>
      </c>
      <c r="D5" s="21">
        <v>0</v>
      </c>
      <c r="E5" s="21">
        <v>0</v>
      </c>
      <c r="F5" s="20">
        <v>0</v>
      </c>
      <c r="G5" s="16">
        <v>32.299999999999997</v>
      </c>
      <c r="H5" s="18">
        <v>0</v>
      </c>
      <c r="J5" s="18" t="s">
        <v>30</v>
      </c>
      <c r="K5" s="18">
        <v>0.97273237968288373</v>
      </c>
      <c r="L5" s="18">
        <v>153.09078629779876</v>
      </c>
      <c r="M5" s="18" t="e">
        <v>#N/A</v>
      </c>
      <c r="N5" s="18" t="e">
        <v>#N/A</v>
      </c>
      <c r="O5" s="18" t="e">
        <v>#N/A</v>
      </c>
      <c r="P5" s="18" t="e">
        <v>#N/A</v>
      </c>
      <c r="Q5" s="18" t="e">
        <v>#N/A</v>
      </c>
      <c r="S5" s="18">
        <f>A5</f>
        <v>4</v>
      </c>
      <c r="T5" s="21">
        <f>SUM(U5:AA5)</f>
        <v>2409.4173553654873</v>
      </c>
      <c r="U5" s="21">
        <f>C5*$P$3</f>
        <v>0</v>
      </c>
      <c r="V5" s="21">
        <f>D5*$O$3</f>
        <v>0</v>
      </c>
      <c r="W5" s="21">
        <f>E5*$N$3</f>
        <v>0</v>
      </c>
      <c r="X5" s="20">
        <f>F5*$M$3</f>
        <v>0</v>
      </c>
      <c r="Y5" s="18">
        <f>G5*$L$3</f>
        <v>891.59817968551613</v>
      </c>
      <c r="Z5" s="18">
        <f>H5*$K$3</f>
        <v>0</v>
      </c>
      <c r="AA5" s="18">
        <f>$Q$3</f>
        <v>1517.8191756799711</v>
      </c>
      <c r="AB5" s="21">
        <f>T5-B5</f>
        <v>57.787355365487201</v>
      </c>
      <c r="AC5" s="50">
        <f>AB5/B5</f>
        <v>2.4573319512630473E-2</v>
      </c>
    </row>
    <row r="6" spans="1:29" ht="15.75" customHeight="1">
      <c r="A6" s="18">
        <v>5</v>
      </c>
      <c r="B6" s="17">
        <v>2398.48</v>
      </c>
      <c r="C6" s="21">
        <v>0</v>
      </c>
      <c r="D6" s="21">
        <v>10</v>
      </c>
      <c r="E6" s="21">
        <v>0</v>
      </c>
      <c r="F6" s="20">
        <v>0</v>
      </c>
      <c r="G6" s="16">
        <v>34.9</v>
      </c>
      <c r="H6" s="18">
        <v>0</v>
      </c>
      <c r="K6" s="18">
        <v>267.551504780274</v>
      </c>
      <c r="L6" s="18">
        <v>45</v>
      </c>
      <c r="M6" s="18" t="e">
        <v>#N/A</v>
      </c>
      <c r="N6" s="18" t="e">
        <v>#N/A</v>
      </c>
      <c r="O6" s="18" t="e">
        <v>#N/A</v>
      </c>
      <c r="P6" s="18" t="e">
        <v>#N/A</v>
      </c>
      <c r="Q6" s="18" t="e">
        <v>#N/A</v>
      </c>
      <c r="S6" s="18">
        <f>A6</f>
        <v>5</v>
      </c>
      <c r="T6" s="21">
        <f>SUM(U6:AA6)</f>
        <v>2509.0857983506203</v>
      </c>
      <c r="U6" s="21">
        <f>C6*$P$3</f>
        <v>0</v>
      </c>
      <c r="V6" s="21">
        <f>D6*$O$3</f>
        <v>27.898930069270897</v>
      </c>
      <c r="W6" s="21">
        <f>E6*$N$3</f>
        <v>0</v>
      </c>
      <c r="X6" s="20">
        <f>F6*$M$3</f>
        <v>0</v>
      </c>
      <c r="Y6" s="18">
        <f>G6*$L$3</f>
        <v>963.36769260137817</v>
      </c>
      <c r="Z6" s="18">
        <f>H6*$K$3</f>
        <v>0</v>
      </c>
      <c r="AA6" s="18">
        <f>$Q$3</f>
        <v>1517.8191756799711</v>
      </c>
      <c r="AB6" s="21">
        <f>T6-B6</f>
        <v>110.60579835062026</v>
      </c>
      <c r="AC6" s="50">
        <f>AB6/B6</f>
        <v>4.6114955451210873E-2</v>
      </c>
    </row>
    <row r="7" spans="1:29" ht="15.75" customHeight="1">
      <c r="A7" s="18">
        <v>6</v>
      </c>
      <c r="B7" s="17">
        <v>2611.66</v>
      </c>
      <c r="C7" s="21">
        <v>0</v>
      </c>
      <c r="D7" s="21">
        <v>10</v>
      </c>
      <c r="E7" s="21">
        <v>0</v>
      </c>
      <c r="F7" s="20">
        <v>0</v>
      </c>
      <c r="G7" s="16">
        <v>38.700000000000003</v>
      </c>
      <c r="H7" s="18">
        <v>0</v>
      </c>
      <c r="K7" s="18">
        <v>37623288.743051715</v>
      </c>
      <c r="L7" s="18">
        <v>1054655.4982175229</v>
      </c>
      <c r="M7" s="18" t="e">
        <v>#N/A</v>
      </c>
      <c r="N7" s="18" t="e">
        <v>#N/A</v>
      </c>
      <c r="O7" s="18" t="e">
        <v>#N/A</v>
      </c>
      <c r="P7" s="18" t="e">
        <v>#N/A</v>
      </c>
      <c r="Q7" s="18" t="e">
        <v>#N/A</v>
      </c>
      <c r="S7" s="18">
        <f>A7</f>
        <v>6</v>
      </c>
      <c r="T7" s="21">
        <f>SUM(U7:AA7)</f>
        <v>2613.9797018430336</v>
      </c>
      <c r="U7" s="21">
        <f>C7*$P$3</f>
        <v>0</v>
      </c>
      <c r="V7" s="21">
        <f>D7*$O$3</f>
        <v>27.898930069270897</v>
      </c>
      <c r="W7" s="21">
        <f>E7*$N$3</f>
        <v>0</v>
      </c>
      <c r="X7" s="20">
        <f>F7*$M$3</f>
        <v>0</v>
      </c>
      <c r="Y7" s="18">
        <f>G7*$L$3</f>
        <v>1068.2615960937919</v>
      </c>
      <c r="Z7" s="18">
        <f>H7*$K$3</f>
        <v>0</v>
      </c>
      <c r="AA7" s="18">
        <f>$Q$3</f>
        <v>1517.8191756799711</v>
      </c>
      <c r="AB7" s="21">
        <f>T7-B7</f>
        <v>2.3197018430337266</v>
      </c>
      <c r="AC7" s="50">
        <f>AB7/B7</f>
        <v>8.8820973749788518E-4</v>
      </c>
    </row>
    <row r="8" spans="1:29" ht="15.75" customHeight="1">
      <c r="A8" s="18">
        <v>7</v>
      </c>
      <c r="B8" s="17">
        <v>2557.31</v>
      </c>
      <c r="C8" s="21">
        <v>0</v>
      </c>
      <c r="D8" s="21">
        <v>10</v>
      </c>
      <c r="E8" s="21">
        <v>0</v>
      </c>
      <c r="F8" s="20">
        <v>0</v>
      </c>
      <c r="G8" s="16">
        <v>35.1</v>
      </c>
      <c r="H8" s="18">
        <v>0</v>
      </c>
      <c r="S8" s="18">
        <f>A8</f>
        <v>7</v>
      </c>
      <c r="T8" s="21">
        <f>SUM(U8:AA8)</f>
        <v>2514.606530113379</v>
      </c>
      <c r="U8" s="21">
        <f>C8*$P$3</f>
        <v>0</v>
      </c>
      <c r="V8" s="21">
        <f>D8*$O$3</f>
        <v>27.898930069270897</v>
      </c>
      <c r="W8" s="21">
        <f>E8*$N$3</f>
        <v>0</v>
      </c>
      <c r="X8" s="20">
        <f>F8*$M$3</f>
        <v>0</v>
      </c>
      <c r="Y8" s="18">
        <f>G8*$L$3</f>
        <v>968.88842436413688</v>
      </c>
      <c r="Z8" s="18">
        <f>H8*$K$3</f>
        <v>0</v>
      </c>
      <c r="AA8" s="18">
        <f>$Q$3</f>
        <v>1517.8191756799711</v>
      </c>
      <c r="AB8" s="21">
        <f>T8-B8</f>
        <v>-42.703469886620951</v>
      </c>
      <c r="AC8" s="50">
        <f>AB8/B8</f>
        <v>-1.6698589489198005E-2</v>
      </c>
    </row>
    <row r="9" spans="1:29" ht="15.75" customHeight="1">
      <c r="A9" s="18">
        <v>8</v>
      </c>
      <c r="B9" s="17">
        <v>3250.96</v>
      </c>
      <c r="C9" s="21">
        <v>0</v>
      </c>
      <c r="D9" s="21">
        <v>10</v>
      </c>
      <c r="E9" s="21">
        <v>0</v>
      </c>
      <c r="F9" s="20">
        <v>0</v>
      </c>
      <c r="G9" s="16">
        <v>34.4</v>
      </c>
      <c r="H9" s="18">
        <v>1</v>
      </c>
      <c r="S9" s="18">
        <f>A9</f>
        <v>8</v>
      </c>
      <c r="T9" s="21">
        <f>SUM(U9:AA9)</f>
        <v>3299.4939347676418</v>
      </c>
      <c r="U9" s="21">
        <f>C9*$P$3</f>
        <v>0</v>
      </c>
      <c r="V9" s="21">
        <f>D9*$O$3</f>
        <v>27.898930069270897</v>
      </c>
      <c r="W9" s="21">
        <f>E9*$N$3</f>
        <v>0</v>
      </c>
      <c r="X9" s="20">
        <f>F9*$M$3</f>
        <v>0</v>
      </c>
      <c r="Y9" s="18">
        <f>G9*$L$3</f>
        <v>949.56586319448161</v>
      </c>
      <c r="Z9" s="18">
        <f>H9*$K$3</f>
        <v>804.20996582391831</v>
      </c>
      <c r="AA9" s="18">
        <f>$Q$3</f>
        <v>1517.8191756799711</v>
      </c>
      <c r="AB9" s="21">
        <f>T9-B9</f>
        <v>48.533934767641767</v>
      </c>
      <c r="AC9" s="50">
        <f>AB9/B9</f>
        <v>1.4929108561053278E-2</v>
      </c>
    </row>
    <row r="10" spans="1:29" ht="15.75" customHeight="1">
      <c r="A10" s="18">
        <v>9</v>
      </c>
      <c r="B10" s="17">
        <v>2802.04</v>
      </c>
      <c r="C10" s="21">
        <v>0</v>
      </c>
      <c r="D10" s="21">
        <v>10</v>
      </c>
      <c r="E10" s="21">
        <v>0</v>
      </c>
      <c r="F10" s="20">
        <v>0</v>
      </c>
      <c r="G10" s="16">
        <v>37.9</v>
      </c>
      <c r="H10" s="18">
        <v>0</v>
      </c>
      <c r="S10" s="18">
        <f>A10</f>
        <v>9</v>
      </c>
      <c r="T10" s="21">
        <f>SUM(U10:AA10)</f>
        <v>2591.8967747919992</v>
      </c>
      <c r="U10" s="21">
        <f>C10*$P$3</f>
        <v>0</v>
      </c>
      <c r="V10" s="21">
        <f>D10*$O$3</f>
        <v>27.898930069270897</v>
      </c>
      <c r="W10" s="21">
        <f>E10*$N$3</f>
        <v>0</v>
      </c>
      <c r="X10" s="20">
        <f>F10*$M$3</f>
        <v>0</v>
      </c>
      <c r="Y10" s="18">
        <f>G10*$L$3</f>
        <v>1046.1786690427573</v>
      </c>
      <c r="Z10" s="18">
        <f>H10*$K$3</f>
        <v>0</v>
      </c>
      <c r="AA10" s="18">
        <f>$Q$3</f>
        <v>1517.8191756799711</v>
      </c>
      <c r="AB10" s="21">
        <f>T10-B10</f>
        <v>-210.14322520800079</v>
      </c>
      <c r="AC10" s="50">
        <f>AB10/B10</f>
        <v>-7.4996511544446476E-2</v>
      </c>
    </row>
    <row r="11" spans="1:29" ht="15.75" customHeight="1">
      <c r="A11" s="18">
        <v>10</v>
      </c>
      <c r="B11" s="17">
        <v>2881.28</v>
      </c>
      <c r="C11" s="21">
        <v>0</v>
      </c>
      <c r="D11" s="21">
        <v>15</v>
      </c>
      <c r="E11" s="21">
        <v>0</v>
      </c>
      <c r="F11" s="20">
        <v>0</v>
      </c>
      <c r="G11" s="16">
        <v>40.6</v>
      </c>
      <c r="H11" s="18">
        <v>0</v>
      </c>
      <c r="S11" s="18">
        <f>A11</f>
        <v>10</v>
      </c>
      <c r="T11" s="21">
        <f>SUM(U11:AA11)</f>
        <v>2680.3761186238762</v>
      </c>
      <c r="U11" s="21">
        <f>C11*$P$3</f>
        <v>0</v>
      </c>
      <c r="V11" s="21">
        <f>D11*$O$3</f>
        <v>41.848395103906348</v>
      </c>
      <c r="W11" s="21">
        <f>E11*$N$3</f>
        <v>0</v>
      </c>
      <c r="X11" s="20">
        <f>F11*$M$3</f>
        <v>0</v>
      </c>
      <c r="Y11" s="18">
        <f>G11*$L$3</f>
        <v>1120.7085478399988</v>
      </c>
      <c r="Z11" s="18">
        <f>H11*$K$3</f>
        <v>0</v>
      </c>
      <c r="AA11" s="18">
        <f>$Q$3</f>
        <v>1517.8191756799711</v>
      </c>
      <c r="AB11" s="21">
        <f>T11-B11</f>
        <v>-200.90388137612399</v>
      </c>
      <c r="AC11" s="50">
        <f>AB11/B11</f>
        <v>-6.9727302232384214E-2</v>
      </c>
    </row>
    <row r="12" spans="1:29" ht="15.75" customHeight="1">
      <c r="A12" s="18">
        <v>11</v>
      </c>
      <c r="B12" s="17">
        <v>2734.97</v>
      </c>
      <c r="C12" s="21">
        <v>0</v>
      </c>
      <c r="D12" s="21">
        <v>15</v>
      </c>
      <c r="E12" s="21">
        <v>0</v>
      </c>
      <c r="F12" s="20">
        <v>0</v>
      </c>
      <c r="G12" s="16">
        <v>46.1</v>
      </c>
      <c r="H12" s="18">
        <v>0</v>
      </c>
      <c r="S12" s="18">
        <f>A12</f>
        <v>11</v>
      </c>
      <c r="T12" s="21">
        <f>SUM(U12:AA12)</f>
        <v>2832.1962420997379</v>
      </c>
      <c r="U12" s="21">
        <f>C12*$P$3</f>
        <v>0</v>
      </c>
      <c r="V12" s="21">
        <f>D12*$O$3</f>
        <v>41.848395103906348</v>
      </c>
      <c r="W12" s="21">
        <f>E12*$N$3</f>
        <v>0</v>
      </c>
      <c r="X12" s="20">
        <f>F12*$M$3</f>
        <v>0</v>
      </c>
      <c r="Y12" s="18">
        <f>G12*$L$3</f>
        <v>1272.5286713158607</v>
      </c>
      <c r="Z12" s="18">
        <f>H12*$K$3</f>
        <v>0</v>
      </c>
      <c r="AA12" s="18">
        <f>$Q$3</f>
        <v>1517.8191756799711</v>
      </c>
      <c r="AB12" s="21">
        <f>T12-B12</f>
        <v>97.226242099738101</v>
      </c>
      <c r="AC12" s="50">
        <f>AB12/B12</f>
        <v>3.5549290156651848E-2</v>
      </c>
    </row>
    <row r="13" spans="1:29" ht="15.75" customHeight="1">
      <c r="A13" s="18">
        <v>12</v>
      </c>
      <c r="B13" s="17">
        <v>3580.57</v>
      </c>
      <c r="C13" s="21">
        <v>0</v>
      </c>
      <c r="D13" s="21">
        <v>15</v>
      </c>
      <c r="E13" s="21">
        <v>0</v>
      </c>
      <c r="F13" s="20">
        <v>0</v>
      </c>
      <c r="G13" s="16">
        <v>43.6</v>
      </c>
      <c r="H13" s="18">
        <v>1</v>
      </c>
      <c r="S13" s="18">
        <f>A13</f>
        <v>12</v>
      </c>
      <c r="T13" s="21">
        <f>SUM(U13:AA13)</f>
        <v>3567.3970608891736</v>
      </c>
      <c r="U13" s="21">
        <f>C13*$P$3</f>
        <v>0</v>
      </c>
      <c r="V13" s="21">
        <f>D13*$O$3</f>
        <v>41.848395103906348</v>
      </c>
      <c r="W13" s="21">
        <f>E13*$N$3</f>
        <v>0</v>
      </c>
      <c r="X13" s="20">
        <f>F13*$M$3</f>
        <v>0</v>
      </c>
      <c r="Y13" s="18">
        <f>G13*$L$3</f>
        <v>1203.5195242813779</v>
      </c>
      <c r="Z13" s="18">
        <f>H13*$K$3</f>
        <v>804.20996582391831</v>
      </c>
      <c r="AA13" s="18">
        <f>$Q$3</f>
        <v>1517.8191756799711</v>
      </c>
      <c r="AB13" s="21">
        <f>T13-B13</f>
        <v>-13.172939110826519</v>
      </c>
      <c r="AC13" s="50">
        <f>AB13/B13</f>
        <v>-3.6790061668467641E-3</v>
      </c>
    </row>
    <row r="14" spans="1:29" ht="15.75" customHeight="1">
      <c r="A14" s="18">
        <v>13</v>
      </c>
      <c r="B14" s="17">
        <v>3581.54</v>
      </c>
      <c r="C14" s="21">
        <v>0</v>
      </c>
      <c r="D14" s="21">
        <v>15</v>
      </c>
      <c r="E14" s="21">
        <v>0</v>
      </c>
      <c r="F14" s="20">
        <v>0</v>
      </c>
      <c r="G14" s="16">
        <v>41.9</v>
      </c>
      <c r="H14" s="18">
        <v>1</v>
      </c>
      <c r="S14" s="18">
        <f>A14</f>
        <v>13</v>
      </c>
      <c r="T14" s="21">
        <f>SUM(U14:AA14)</f>
        <v>3520.4708409057257</v>
      </c>
      <c r="U14" s="21">
        <f>C14*$P$3</f>
        <v>0</v>
      </c>
      <c r="V14" s="21">
        <f>D14*$O$3</f>
        <v>41.848395103906348</v>
      </c>
      <c r="W14" s="21">
        <f>E14*$N$3</f>
        <v>0</v>
      </c>
      <c r="X14" s="20">
        <f>F14*$M$3</f>
        <v>0</v>
      </c>
      <c r="Y14" s="18">
        <f>G14*$L$3</f>
        <v>1156.5933042979298</v>
      </c>
      <c r="Z14" s="18">
        <f>H14*$K$3</f>
        <v>804.20996582391831</v>
      </c>
      <c r="AA14" s="18">
        <f>$Q$3</f>
        <v>1517.8191756799711</v>
      </c>
      <c r="AB14" s="21">
        <f>T14-B14</f>
        <v>-61.069159094274255</v>
      </c>
      <c r="AC14" s="50">
        <f>AB14/B14</f>
        <v>-1.7051089501799298E-2</v>
      </c>
    </row>
    <row r="15" spans="1:29" ht="15.75" customHeight="1">
      <c r="A15" s="18">
        <v>14</v>
      </c>
      <c r="B15" s="17">
        <v>2962.99</v>
      </c>
      <c r="C15" s="21">
        <v>0</v>
      </c>
      <c r="D15" s="21">
        <v>15</v>
      </c>
      <c r="E15" s="21">
        <v>0</v>
      </c>
      <c r="F15" s="20">
        <v>0</v>
      </c>
      <c r="G15" s="16">
        <v>45.1</v>
      </c>
      <c r="H15" s="18">
        <v>0</v>
      </c>
      <c r="S15" s="18">
        <f>A15</f>
        <v>14</v>
      </c>
      <c r="T15" s="21">
        <f>SUM(U15:AA15)</f>
        <v>2804.5925832859448</v>
      </c>
      <c r="U15" s="21">
        <f>C15*$P$3</f>
        <v>0</v>
      </c>
      <c r="V15" s="21">
        <f>D15*$O$3</f>
        <v>41.848395103906348</v>
      </c>
      <c r="W15" s="21">
        <f>E15*$N$3</f>
        <v>0</v>
      </c>
      <c r="X15" s="20">
        <f>F15*$M$3</f>
        <v>0</v>
      </c>
      <c r="Y15" s="18">
        <f>G15*$L$3</f>
        <v>1244.9250125020676</v>
      </c>
      <c r="Z15" s="18">
        <f>H15*$K$3</f>
        <v>0</v>
      </c>
      <c r="AA15" s="18">
        <f>$Q$3</f>
        <v>1517.8191756799711</v>
      </c>
      <c r="AB15" s="21">
        <f>T15-B15</f>
        <v>-158.397416714055</v>
      </c>
      <c r="AC15" s="50">
        <f>AB15/B15</f>
        <v>-5.3458640330900545E-2</v>
      </c>
    </row>
    <row r="16" spans="1:29" ht="15.75" customHeight="1">
      <c r="A16" s="18">
        <v>15</v>
      </c>
      <c r="B16" s="17">
        <v>2510.8200000000002</v>
      </c>
      <c r="C16" s="21">
        <v>0</v>
      </c>
      <c r="D16" s="21">
        <v>15</v>
      </c>
      <c r="E16" s="21">
        <v>0</v>
      </c>
      <c r="F16" s="20">
        <v>0</v>
      </c>
      <c r="G16" s="16">
        <v>48</v>
      </c>
      <c r="H16" s="18">
        <v>0</v>
      </c>
      <c r="S16" s="18">
        <f>A16</f>
        <v>15</v>
      </c>
      <c r="T16" s="21">
        <f>SUM(U16:AA16)</f>
        <v>2884.6431938459446</v>
      </c>
      <c r="U16" s="21">
        <f>C16*$P$3</f>
        <v>0</v>
      </c>
      <c r="V16" s="21">
        <f>D16*$O$3</f>
        <v>41.848395103906348</v>
      </c>
      <c r="W16" s="21">
        <f>E16*$N$3</f>
        <v>0</v>
      </c>
      <c r="X16" s="20">
        <f>F16*$M$3</f>
        <v>0</v>
      </c>
      <c r="Y16" s="18">
        <f>G16*$L$3</f>
        <v>1324.9756230620674</v>
      </c>
      <c r="Z16" s="18">
        <f>H16*$K$3</f>
        <v>0</v>
      </c>
      <c r="AA16" s="18">
        <f>$Q$3</f>
        <v>1517.8191756799711</v>
      </c>
      <c r="AB16" s="21">
        <f>T16-B16</f>
        <v>373.82319384594439</v>
      </c>
      <c r="AC16" s="50">
        <f>AB16/B16</f>
        <v>0.14888490367527119</v>
      </c>
    </row>
    <row r="17" spans="1:29" ht="15.75" customHeight="1">
      <c r="A17" s="18">
        <v>16</v>
      </c>
      <c r="B17" s="17">
        <v>2523.34</v>
      </c>
      <c r="C17" s="21">
        <v>0</v>
      </c>
      <c r="D17" s="21">
        <v>15</v>
      </c>
      <c r="E17" s="21">
        <v>0</v>
      </c>
      <c r="F17" s="20">
        <v>0.5</v>
      </c>
      <c r="G17" s="16">
        <v>45.7</v>
      </c>
      <c r="H17" s="18">
        <v>0</v>
      </c>
      <c r="S17" s="18">
        <f>A17</f>
        <v>16</v>
      </c>
      <c r="T17" s="21">
        <f>SUM(U17:AA17)</f>
        <v>2445.1921318293007</v>
      </c>
      <c r="U17" s="21">
        <f>C17*$P$3</f>
        <v>0</v>
      </c>
      <c r="V17" s="21">
        <f>D17*$O$3</f>
        <v>41.848395103906348</v>
      </c>
      <c r="W17" s="21">
        <f>E17*$N$3</f>
        <v>0</v>
      </c>
      <c r="X17" s="20">
        <f>F17*$M$3</f>
        <v>-375.96264674492022</v>
      </c>
      <c r="Y17" s="18">
        <f>G17*$L$3</f>
        <v>1261.4872077903435</v>
      </c>
      <c r="Z17" s="18">
        <f>H17*$K$3</f>
        <v>0</v>
      </c>
      <c r="AA17" s="18">
        <f>$Q$3</f>
        <v>1517.8191756799711</v>
      </c>
      <c r="AB17" s="21">
        <f>T17-B17</f>
        <v>-78.147868170699439</v>
      </c>
      <c r="AC17" s="50">
        <f>AB17/B17</f>
        <v>-3.0970011243312213E-2</v>
      </c>
    </row>
    <row r="18" spans="1:29" ht="15.75" customHeight="1">
      <c r="A18" s="18">
        <v>17</v>
      </c>
      <c r="B18" s="17">
        <v>2708.6</v>
      </c>
      <c r="C18" s="21">
        <v>0</v>
      </c>
      <c r="D18" s="21">
        <v>15</v>
      </c>
      <c r="E18" s="21">
        <v>0</v>
      </c>
      <c r="F18" s="20">
        <v>0.5</v>
      </c>
      <c r="G18" s="16">
        <v>45</v>
      </c>
      <c r="H18" s="18">
        <v>0</v>
      </c>
      <c r="S18" s="18">
        <f>A18</f>
        <v>17</v>
      </c>
      <c r="T18" s="21">
        <f>SUM(U18:AA18)</f>
        <v>2425.8695706596454</v>
      </c>
      <c r="U18" s="21">
        <f>C18*$P$3</f>
        <v>0</v>
      </c>
      <c r="V18" s="21">
        <f>D18*$O$3</f>
        <v>41.848395103906348</v>
      </c>
      <c r="W18" s="21">
        <f>E18*$N$3</f>
        <v>0</v>
      </c>
      <c r="X18" s="20">
        <f>F18*$M$3</f>
        <v>-375.96264674492022</v>
      </c>
      <c r="Y18" s="18">
        <f>G18*$L$3</f>
        <v>1242.1646466206882</v>
      </c>
      <c r="Z18" s="18">
        <f>H18*$K$3</f>
        <v>0</v>
      </c>
      <c r="AA18" s="18">
        <f>$Q$3</f>
        <v>1517.8191756799711</v>
      </c>
      <c r="AB18" s="21">
        <f>T18-B18</f>
        <v>-282.73042934035448</v>
      </c>
      <c r="AC18" s="50">
        <f>AB18/B18</f>
        <v>-0.10438249624911559</v>
      </c>
    </row>
    <row r="19" spans="1:29" ht="15.75" customHeight="1">
      <c r="A19" s="18">
        <v>18</v>
      </c>
      <c r="B19" s="17">
        <v>2459.0300000000002</v>
      </c>
      <c r="C19" s="21">
        <v>0</v>
      </c>
      <c r="D19" s="21">
        <v>20</v>
      </c>
      <c r="E19" s="21">
        <v>0</v>
      </c>
      <c r="F19" s="20">
        <v>0.5</v>
      </c>
      <c r="G19" s="16">
        <v>50.2</v>
      </c>
      <c r="H19" s="18">
        <v>0</v>
      </c>
      <c r="S19" s="18">
        <f>A19</f>
        <v>18</v>
      </c>
      <c r="T19" s="21">
        <f>SUM(U19:AA19)</f>
        <v>2583.3580615260053</v>
      </c>
      <c r="U19" s="21">
        <f>C19*$P$3</f>
        <v>0</v>
      </c>
      <c r="V19" s="21">
        <f>D19*$O$3</f>
        <v>55.797860138541793</v>
      </c>
      <c r="W19" s="21">
        <f>E19*$N$3</f>
        <v>0</v>
      </c>
      <c r="X19" s="20">
        <f>F19*$M$3</f>
        <v>-375.96264674492022</v>
      </c>
      <c r="Y19" s="18">
        <f>G19*$L$3</f>
        <v>1385.7036724524123</v>
      </c>
      <c r="Z19" s="18">
        <f>H19*$K$3</f>
        <v>0</v>
      </c>
      <c r="AA19" s="18">
        <f>$Q$3</f>
        <v>1517.8191756799711</v>
      </c>
      <c r="AB19" s="21">
        <f>T19-B19</f>
        <v>124.32806152600506</v>
      </c>
      <c r="AC19" s="50">
        <f>AB19/B19</f>
        <v>5.0559798589689856E-2</v>
      </c>
    </row>
    <row r="20" spans="1:29" ht="15.75" customHeight="1">
      <c r="A20" s="18">
        <v>19</v>
      </c>
      <c r="B20" s="17">
        <v>3429.26</v>
      </c>
      <c r="C20" s="21">
        <v>0</v>
      </c>
      <c r="D20" s="21">
        <v>20</v>
      </c>
      <c r="E20" s="21">
        <v>0</v>
      </c>
      <c r="F20" s="20">
        <v>0.5</v>
      </c>
      <c r="G20" s="16">
        <v>50.2</v>
      </c>
      <c r="H20" s="18">
        <v>1</v>
      </c>
      <c r="S20" s="18">
        <f>A20</f>
        <v>19</v>
      </c>
      <c r="T20" s="21">
        <f>SUM(U20:AA20)</f>
        <v>3387.5680273499233</v>
      </c>
      <c r="U20" s="21">
        <f>C20*$P$3</f>
        <v>0</v>
      </c>
      <c r="V20" s="21">
        <f>D20*$O$3</f>
        <v>55.797860138541793</v>
      </c>
      <c r="W20" s="21">
        <f>E20*$N$3</f>
        <v>0</v>
      </c>
      <c r="X20" s="20">
        <f>F20*$M$3</f>
        <v>-375.96264674492022</v>
      </c>
      <c r="Y20" s="18">
        <f>G20*$L$3</f>
        <v>1385.7036724524123</v>
      </c>
      <c r="Z20" s="18">
        <f>H20*$K$3</f>
        <v>804.20996582391831</v>
      </c>
      <c r="AA20" s="18">
        <f>$Q$3</f>
        <v>1517.8191756799711</v>
      </c>
      <c r="AB20" s="21">
        <f>T20-B20</f>
        <v>-41.691972650076877</v>
      </c>
      <c r="AC20" s="50">
        <f>AB20/B20</f>
        <v>-1.2157717014771955E-2</v>
      </c>
    </row>
    <row r="21" spans="1:29" ht="15.75" customHeight="1">
      <c r="A21" s="18">
        <v>20</v>
      </c>
      <c r="B21" s="17">
        <v>2707.15</v>
      </c>
      <c r="C21" s="21">
        <v>0</v>
      </c>
      <c r="D21" s="21">
        <v>20</v>
      </c>
      <c r="E21" s="21">
        <v>0</v>
      </c>
      <c r="F21" s="20">
        <v>0.5</v>
      </c>
      <c r="G21" s="16">
        <v>52.8</v>
      </c>
      <c r="H21" s="18">
        <v>0</v>
      </c>
      <c r="S21" s="18">
        <f>A21</f>
        <v>20</v>
      </c>
      <c r="T21" s="21">
        <f>SUM(U21:AA21)</f>
        <v>2655.1275744418667</v>
      </c>
      <c r="U21" s="21">
        <f>C21*$P$3</f>
        <v>0</v>
      </c>
      <c r="V21" s="21">
        <f>D21*$O$3</f>
        <v>55.797860138541793</v>
      </c>
      <c r="W21" s="21">
        <f>E21*$N$3</f>
        <v>0</v>
      </c>
      <c r="X21" s="20">
        <f>F21*$M$3</f>
        <v>-375.96264674492022</v>
      </c>
      <c r="Y21" s="18">
        <f>G21*$L$3</f>
        <v>1457.473185368274</v>
      </c>
      <c r="Z21" s="18">
        <f>H21*$K$3</f>
        <v>0</v>
      </c>
      <c r="AA21" s="18">
        <f>$Q$3</f>
        <v>1517.8191756799711</v>
      </c>
      <c r="AB21" s="21">
        <f>T21-B21</f>
        <v>-52.022425558133364</v>
      </c>
      <c r="AC21" s="50">
        <f>AB21/B21</f>
        <v>-1.9216676415467693E-2</v>
      </c>
    </row>
    <row r="22" spans="1:29" ht="15.75" customHeight="1">
      <c r="A22" s="18">
        <v>21</v>
      </c>
      <c r="B22" s="17">
        <v>2658.95</v>
      </c>
      <c r="C22" s="21">
        <v>0</v>
      </c>
      <c r="D22" s="21">
        <v>20</v>
      </c>
      <c r="E22" s="21">
        <v>0</v>
      </c>
      <c r="F22" s="20">
        <v>0.5</v>
      </c>
      <c r="G22" s="16">
        <v>55.4</v>
      </c>
      <c r="H22" s="18">
        <v>0</v>
      </c>
      <c r="S22" s="18">
        <f>A22</f>
        <v>21</v>
      </c>
      <c r="T22" s="21">
        <f>SUM(U22:AA22)</f>
        <v>2726.8970873577291</v>
      </c>
      <c r="U22" s="21">
        <f>C22*$P$3</f>
        <v>0</v>
      </c>
      <c r="V22" s="21">
        <f>D22*$O$3</f>
        <v>55.797860138541793</v>
      </c>
      <c r="W22" s="21">
        <f>E22*$N$3</f>
        <v>0</v>
      </c>
      <c r="X22" s="20">
        <f>F22*$M$3</f>
        <v>-375.96264674492022</v>
      </c>
      <c r="Y22" s="18">
        <f>G22*$L$3</f>
        <v>1529.2426982841362</v>
      </c>
      <c r="Z22" s="18">
        <f>H22*$K$3</f>
        <v>0</v>
      </c>
      <c r="AA22" s="18">
        <f>$Q$3</f>
        <v>1517.8191756799711</v>
      </c>
      <c r="AB22" s="21">
        <f>T22-B22</f>
        <v>67.947087357729288</v>
      </c>
      <c r="AC22" s="50">
        <f>AB22/B22</f>
        <v>2.5554104950348554E-2</v>
      </c>
    </row>
    <row r="23" spans="1:29" ht="15.75" customHeight="1">
      <c r="A23" s="18">
        <v>22</v>
      </c>
      <c r="B23" s="17">
        <v>2848.53</v>
      </c>
      <c r="C23" s="21">
        <v>0</v>
      </c>
      <c r="D23" s="21">
        <v>20</v>
      </c>
      <c r="E23" s="21">
        <v>0</v>
      </c>
      <c r="F23" s="20">
        <v>0.5</v>
      </c>
      <c r="G23" s="16">
        <v>61.7</v>
      </c>
      <c r="H23" s="18">
        <v>0</v>
      </c>
      <c r="S23" s="18">
        <f>A23</f>
        <v>22</v>
      </c>
      <c r="T23" s="21">
        <f>SUM(U23:AA23)</f>
        <v>2900.8001378846252</v>
      </c>
      <c r="U23" s="21">
        <f>C23*$P$3</f>
        <v>0</v>
      </c>
      <c r="V23" s="21">
        <f>D23*$O$3</f>
        <v>55.797860138541793</v>
      </c>
      <c r="W23" s="21">
        <f>E23*$N$3</f>
        <v>0</v>
      </c>
      <c r="X23" s="20">
        <f>F23*$M$3</f>
        <v>-375.96264674492022</v>
      </c>
      <c r="Y23" s="18">
        <f>G23*$L$3</f>
        <v>1703.1457488110325</v>
      </c>
      <c r="Z23" s="18">
        <f>H23*$K$3</f>
        <v>0</v>
      </c>
      <c r="AA23" s="18">
        <f>$Q$3</f>
        <v>1517.8191756799711</v>
      </c>
      <c r="AB23" s="21">
        <f>T23-B23</f>
        <v>52.270137884625001</v>
      </c>
      <c r="AC23" s="50">
        <f>AB23/B23</f>
        <v>1.834986392441891E-2</v>
      </c>
    </row>
    <row r="24" spans="1:29" ht="15.75" customHeight="1">
      <c r="A24" s="18">
        <v>23</v>
      </c>
      <c r="B24" s="17">
        <v>2801.63</v>
      </c>
      <c r="C24" s="21">
        <v>0</v>
      </c>
      <c r="D24" s="21">
        <v>20</v>
      </c>
      <c r="E24" s="21">
        <v>0</v>
      </c>
      <c r="F24" s="20">
        <v>0.5</v>
      </c>
      <c r="G24" s="16">
        <v>64.7</v>
      </c>
      <c r="H24" s="18">
        <v>0</v>
      </c>
      <c r="S24" s="18">
        <f>A24</f>
        <v>23</v>
      </c>
      <c r="T24" s="21">
        <f>SUM(U24:AA24)</f>
        <v>2983.6111143260046</v>
      </c>
      <c r="U24" s="21">
        <f>C24*$P$3</f>
        <v>0</v>
      </c>
      <c r="V24" s="21">
        <f>D24*$O$3</f>
        <v>55.797860138541793</v>
      </c>
      <c r="W24" s="21">
        <f>E24*$N$3</f>
        <v>0</v>
      </c>
      <c r="X24" s="20">
        <f>F24*$M$3</f>
        <v>-375.96264674492022</v>
      </c>
      <c r="Y24" s="18">
        <f>G24*$L$3</f>
        <v>1785.9567252524118</v>
      </c>
      <c r="Z24" s="18">
        <f>H24*$K$3</f>
        <v>0</v>
      </c>
      <c r="AA24" s="18">
        <f>$Q$3</f>
        <v>1517.8191756799711</v>
      </c>
      <c r="AB24" s="21">
        <f>T24-B24</f>
        <v>181.98111432600444</v>
      </c>
      <c r="AC24" s="50">
        <f>AB24/B24</f>
        <v>6.4955441769971214E-2</v>
      </c>
    </row>
    <row r="25" spans="1:29" ht="15.75" customHeight="1">
      <c r="A25" s="18">
        <v>24</v>
      </c>
      <c r="B25" s="17">
        <v>4645.67</v>
      </c>
      <c r="C25" s="21">
        <v>200</v>
      </c>
      <c r="D25" s="21">
        <v>40</v>
      </c>
      <c r="E25" s="21">
        <v>0</v>
      </c>
      <c r="F25" s="20">
        <v>0.5</v>
      </c>
      <c r="G25" s="16">
        <v>67.599999999999994</v>
      </c>
      <c r="H25" s="18">
        <v>1</v>
      </c>
      <c r="S25" s="18">
        <f>A25</f>
        <v>24</v>
      </c>
      <c r="T25" s="21">
        <f>SUM(U25:AA25)</f>
        <v>4822.9958641945468</v>
      </c>
      <c r="U25" s="21">
        <f>C25*$P$3</f>
        <v>899.32631334608186</v>
      </c>
      <c r="V25" s="21">
        <f>D25*$O$3</f>
        <v>111.59572027708359</v>
      </c>
      <c r="W25" s="21">
        <f>E25*$N$3</f>
        <v>0</v>
      </c>
      <c r="X25" s="20">
        <f>F25*$M$3</f>
        <v>-375.96264674492022</v>
      </c>
      <c r="Y25" s="18">
        <f>G25*$L$3</f>
        <v>1866.0073358124114</v>
      </c>
      <c r="Z25" s="18">
        <f>H25*$K$3</f>
        <v>804.20996582391831</v>
      </c>
      <c r="AA25" s="18">
        <f>$Q$3</f>
        <v>1517.8191756799711</v>
      </c>
      <c r="AB25" s="21">
        <f>T25-B25</f>
        <v>177.32586419454674</v>
      </c>
      <c r="AC25" s="50">
        <f>AB25/B25</f>
        <v>3.817013782609327E-2</v>
      </c>
    </row>
    <row r="26" spans="1:29" ht="15.75" customHeight="1">
      <c r="A26" s="18">
        <v>25</v>
      </c>
      <c r="B26" s="17">
        <v>4034.12</v>
      </c>
      <c r="C26" s="21">
        <v>200</v>
      </c>
      <c r="D26" s="21">
        <v>40</v>
      </c>
      <c r="E26" s="21">
        <v>0</v>
      </c>
      <c r="F26" s="20">
        <v>0.5</v>
      </c>
      <c r="G26" s="16">
        <v>66.3</v>
      </c>
      <c r="H26" s="18">
        <v>0</v>
      </c>
      <c r="S26" s="18">
        <f>A26</f>
        <v>25</v>
      </c>
      <c r="T26" s="21">
        <f>SUM(U26:AA26)</f>
        <v>3982.9011419126969</v>
      </c>
      <c r="U26" s="21">
        <f>C26*$P$3</f>
        <v>899.32631334608186</v>
      </c>
      <c r="V26" s="21">
        <f>D26*$O$3</f>
        <v>111.59572027708359</v>
      </c>
      <c r="W26" s="21">
        <f>E26*$N$3</f>
        <v>0</v>
      </c>
      <c r="X26" s="20">
        <f>F26*$M$3</f>
        <v>-375.96264674492022</v>
      </c>
      <c r="Y26" s="18">
        <f>G26*$L$3</f>
        <v>1830.1225793544806</v>
      </c>
      <c r="Z26" s="18">
        <f>H26*$K$3</f>
        <v>0</v>
      </c>
      <c r="AA26" s="18">
        <f>$Q$3</f>
        <v>1517.8191756799711</v>
      </c>
      <c r="AB26" s="21">
        <f>T26-B26</f>
        <v>-51.218858087303033</v>
      </c>
      <c r="AC26" s="50">
        <f>AB26/B26</f>
        <v>-1.2696414109471962E-2</v>
      </c>
    </row>
    <row r="27" spans="1:29" ht="15.75" customHeight="1">
      <c r="A27" s="18">
        <v>26</v>
      </c>
      <c r="B27" s="17">
        <v>4510.32</v>
      </c>
      <c r="C27" s="21">
        <v>200</v>
      </c>
      <c r="D27" s="21">
        <v>40</v>
      </c>
      <c r="E27" s="17">
        <v>70</v>
      </c>
      <c r="F27" s="20">
        <v>0.5</v>
      </c>
      <c r="G27" s="16">
        <v>74.400000000000006</v>
      </c>
      <c r="H27" s="18">
        <v>0</v>
      </c>
      <c r="S27" s="18">
        <f>A27</f>
        <v>26</v>
      </c>
      <c r="T27" s="21">
        <f>SUM(U27:AA27)</f>
        <v>4466.1970660662737</v>
      </c>
      <c r="U27" s="21">
        <f>C27*$P$3</f>
        <v>899.32631334608186</v>
      </c>
      <c r="V27" s="21">
        <f>D27*$O$3</f>
        <v>111.59572027708359</v>
      </c>
      <c r="W27" s="21">
        <f>E27*$N$3</f>
        <v>259.70628776185259</v>
      </c>
      <c r="X27" s="20">
        <f>F27*$M$3</f>
        <v>-375.96264674492022</v>
      </c>
      <c r="Y27" s="18">
        <f>G27*$L$3</f>
        <v>2053.7122157462045</v>
      </c>
      <c r="Z27" s="18">
        <f>H27*$K$3</f>
        <v>0</v>
      </c>
      <c r="AA27" s="18">
        <f>$Q$3</f>
        <v>1517.8191756799711</v>
      </c>
      <c r="AB27" s="21">
        <f>T27-B27</f>
        <v>-44.122933933726017</v>
      </c>
      <c r="AC27" s="50">
        <f>AB27/B27</f>
        <v>-9.7826615259507133E-3</v>
      </c>
    </row>
    <row r="28" spans="1:29" ht="15.75" customHeight="1">
      <c r="A28" s="18">
        <v>27</v>
      </c>
      <c r="B28" s="17">
        <v>4436.8999999999996</v>
      </c>
      <c r="C28" s="21">
        <v>200</v>
      </c>
      <c r="D28" s="21">
        <v>50</v>
      </c>
      <c r="E28" s="17">
        <v>70</v>
      </c>
      <c r="F28" s="20">
        <v>0.5</v>
      </c>
      <c r="G28" s="16">
        <v>75.400000000000006</v>
      </c>
      <c r="H28" s="18">
        <v>0</v>
      </c>
      <c r="J28" s="18" t="s">
        <v>2</v>
      </c>
      <c r="K28" s="18" t="s">
        <v>3</v>
      </c>
      <c r="L28" s="18" t="s">
        <v>4</v>
      </c>
      <c r="M28" s="18" t="s">
        <v>5</v>
      </c>
      <c r="N28" s="18" t="s">
        <v>6</v>
      </c>
      <c r="O28" s="18" t="s">
        <v>7</v>
      </c>
      <c r="P28" s="18" t="s">
        <v>29</v>
      </c>
      <c r="S28" s="18">
        <f>A28</f>
        <v>27</v>
      </c>
      <c r="T28" s="21">
        <f>SUM(U28:AA28)</f>
        <v>4521.6996549493379</v>
      </c>
      <c r="U28" s="21">
        <f>C28*$P$3</f>
        <v>899.32631334608186</v>
      </c>
      <c r="V28" s="21">
        <f>D28*$O$3</f>
        <v>139.49465034635449</v>
      </c>
      <c r="W28" s="21">
        <f>E28*$N$3</f>
        <v>259.70628776185259</v>
      </c>
      <c r="X28" s="20">
        <f>F28*$M$3</f>
        <v>-375.96264674492022</v>
      </c>
      <c r="Y28" s="18">
        <f>G28*$L$3</f>
        <v>2081.3158745599976</v>
      </c>
      <c r="Z28" s="18">
        <f>H28*$K$3</f>
        <v>0</v>
      </c>
      <c r="AA28" s="18">
        <f>$Q$3</f>
        <v>1517.8191756799711</v>
      </c>
      <c r="AB28" s="21">
        <f>T28-B28</f>
        <v>84.799654949338219</v>
      </c>
      <c r="AC28" s="50">
        <f>AB28/B28</f>
        <v>1.9112365604214254E-2</v>
      </c>
    </row>
    <row r="29" spans="1:29" ht="15.75" customHeight="1">
      <c r="A29" s="18">
        <v>28</v>
      </c>
      <c r="B29" s="17">
        <v>5427.97</v>
      </c>
      <c r="C29" s="21">
        <v>200</v>
      </c>
      <c r="D29" s="21">
        <v>50</v>
      </c>
      <c r="E29" s="17">
        <v>70</v>
      </c>
      <c r="F29" s="20">
        <v>0.5</v>
      </c>
      <c r="G29" s="16">
        <v>77.099999999999994</v>
      </c>
      <c r="H29" s="18">
        <v>1</v>
      </c>
      <c r="J29" s="20">
        <f>SUM(U2:U53)</f>
        <v>10791.915760152986</v>
      </c>
      <c r="K29" s="20">
        <f>SUM(V2:V53)</f>
        <v>2845.6908670656326</v>
      </c>
      <c r="L29" s="20">
        <f>SUM(W2:W53)</f>
        <v>3635.8880286659364</v>
      </c>
      <c r="M29" s="20">
        <f>SUM(X2:X53)</f>
        <v>-3383.6638207042834</v>
      </c>
      <c r="N29" s="20">
        <f>SUM(Y2:Y53)</f>
        <v>78253.612371221941</v>
      </c>
      <c r="O29" s="20">
        <f>SUM(Z2:Z53)</f>
        <v>8042.0996582391845</v>
      </c>
      <c r="P29" s="20">
        <f>SUM(AA2:AA53)</f>
        <v>78926.597135358446</v>
      </c>
      <c r="S29" s="18">
        <f>A29</f>
        <v>28</v>
      </c>
      <c r="T29" s="21">
        <f>SUM(U29:AA29)</f>
        <v>5372.835840756703</v>
      </c>
      <c r="U29" s="21">
        <f>C29*$P$3</f>
        <v>899.32631334608186</v>
      </c>
      <c r="V29" s="21">
        <f>D29*$O$3</f>
        <v>139.49465034635449</v>
      </c>
      <c r="W29" s="21">
        <f>E29*$N$3</f>
        <v>259.70628776185259</v>
      </c>
      <c r="X29" s="20">
        <f>F29*$M$3</f>
        <v>-375.96264674492022</v>
      </c>
      <c r="Y29" s="18">
        <f>G29*$L$3</f>
        <v>2128.2420945434455</v>
      </c>
      <c r="Z29" s="18">
        <f>H29*$K$3</f>
        <v>804.20996582391831</v>
      </c>
      <c r="AA29" s="18">
        <f>$Q$3</f>
        <v>1517.8191756799711</v>
      </c>
      <c r="AB29" s="21">
        <f>T29-B29</f>
        <v>-55.13415924329729</v>
      </c>
      <c r="AC29" s="50">
        <f>AB29/B29</f>
        <v>-1.0157417827161404E-2</v>
      </c>
    </row>
    <row r="30" spans="1:29" ht="15.75" customHeight="1">
      <c r="A30" s="18">
        <v>29</v>
      </c>
      <c r="B30" s="17">
        <v>4758.76</v>
      </c>
      <c r="C30" s="21">
        <v>200</v>
      </c>
      <c r="D30" s="21">
        <v>50</v>
      </c>
      <c r="E30" s="17">
        <v>70</v>
      </c>
      <c r="F30" s="20">
        <v>0.5</v>
      </c>
      <c r="G30" s="16">
        <v>75.400000000000006</v>
      </c>
      <c r="H30" s="18">
        <v>0</v>
      </c>
      <c r="J30" s="50">
        <f>J29/SUM($J$29:$P$29)</f>
        <v>6.0252285301001907E-2</v>
      </c>
      <c r="K30" s="50">
        <f>K29/SUM($J$29:$P$29)</f>
        <v>1.5887760969555915E-2</v>
      </c>
      <c r="L30" s="50">
        <f>L29/SUM($J$29:$P$29)</f>
        <v>2.0299506380002715E-2</v>
      </c>
      <c r="M30" s="50">
        <f>M29/SUM($J$29:$P$29)</f>
        <v>-1.8891314796999726E-2</v>
      </c>
      <c r="N30" s="50">
        <f>N29/SUM($J$29:$P$29)</f>
        <v>0.43689731121085379</v>
      </c>
      <c r="O30" s="50">
        <f>O29/SUM($J$29:$P$29)</f>
        <v>4.489980220346422E-2</v>
      </c>
      <c r="P30" s="50">
        <f>P29/SUM($J$29:$P$29)</f>
        <v>0.44065464873212123</v>
      </c>
      <c r="S30" s="18">
        <f>A30</f>
        <v>29</v>
      </c>
      <c r="T30" s="21">
        <f>SUM(U30:AA30)</f>
        <v>4521.6996549493379</v>
      </c>
      <c r="U30" s="21">
        <f>C30*$P$3</f>
        <v>899.32631334608186</v>
      </c>
      <c r="V30" s="21">
        <f>D30*$O$3</f>
        <v>139.49465034635449</v>
      </c>
      <c r="W30" s="21">
        <f>E30*$N$3</f>
        <v>259.70628776185259</v>
      </c>
      <c r="X30" s="20">
        <f>F30*$M$3</f>
        <v>-375.96264674492022</v>
      </c>
      <c r="Y30" s="18">
        <f>G30*$L$3</f>
        <v>2081.3158745599976</v>
      </c>
      <c r="Z30" s="18">
        <f>H30*$K$3</f>
        <v>0</v>
      </c>
      <c r="AA30" s="18">
        <f>$Q$3</f>
        <v>1517.8191756799711</v>
      </c>
      <c r="AB30" s="21">
        <f>T30-B30</f>
        <v>-237.06034505066236</v>
      </c>
      <c r="AC30" s="50">
        <f>AB30/B30</f>
        <v>-4.9815570663505275E-2</v>
      </c>
    </row>
    <row r="31" spans="1:29" ht="15.75" customHeight="1">
      <c r="A31" s="18">
        <v>30</v>
      </c>
      <c r="B31" s="17">
        <v>4773.62</v>
      </c>
      <c r="C31" s="21">
        <v>200</v>
      </c>
      <c r="D31" s="21">
        <v>50</v>
      </c>
      <c r="E31" s="17">
        <v>140</v>
      </c>
      <c r="F31" s="20">
        <v>0.5</v>
      </c>
      <c r="G31" s="16">
        <v>79.599999999999994</v>
      </c>
      <c r="H31" s="18">
        <v>0</v>
      </c>
      <c r="S31" s="18">
        <f>A31</f>
        <v>30</v>
      </c>
      <c r="T31" s="21">
        <f>SUM(U31:AA31)</f>
        <v>4897.3413097291213</v>
      </c>
      <c r="U31" s="21">
        <f>C31*$P$3</f>
        <v>899.32631334608186</v>
      </c>
      <c r="V31" s="21">
        <f>D31*$O$3</f>
        <v>139.49465034635449</v>
      </c>
      <c r="W31" s="21">
        <f>E31*$N$3</f>
        <v>519.41257552370519</v>
      </c>
      <c r="X31" s="20">
        <f>F31*$M$3</f>
        <v>-375.96264674492022</v>
      </c>
      <c r="Y31" s="18">
        <f>G31*$L$3</f>
        <v>2197.2512415779283</v>
      </c>
      <c r="Z31" s="18">
        <f>H31*$K$3</f>
        <v>0</v>
      </c>
      <c r="AA31" s="18">
        <f>$Q$3</f>
        <v>1517.8191756799711</v>
      </c>
      <c r="AB31" s="21">
        <f>T31-B31</f>
        <v>123.72130972912146</v>
      </c>
      <c r="AC31" s="50">
        <f>AB31/B31</f>
        <v>2.5917712287346177E-2</v>
      </c>
    </row>
    <row r="32" spans="1:29" ht="15.75" customHeight="1">
      <c r="A32" s="18">
        <v>31</v>
      </c>
      <c r="B32" s="17">
        <v>4866.54</v>
      </c>
      <c r="C32" s="21">
        <v>200</v>
      </c>
      <c r="D32" s="21">
        <v>50</v>
      </c>
      <c r="E32" s="17">
        <v>140</v>
      </c>
      <c r="F32" s="20">
        <v>0.5</v>
      </c>
      <c r="G32" s="16">
        <v>80.2</v>
      </c>
      <c r="H32" s="18">
        <v>0</v>
      </c>
      <c r="S32" s="18">
        <f>A32</f>
        <v>31</v>
      </c>
      <c r="T32" s="21">
        <f>SUM(U32:AA32)</f>
        <v>4913.903505017397</v>
      </c>
      <c r="U32" s="21">
        <f>C32*$P$3</f>
        <v>899.32631334608186</v>
      </c>
      <c r="V32" s="21">
        <f>D32*$O$3</f>
        <v>139.49465034635449</v>
      </c>
      <c r="W32" s="21">
        <f>E32*$N$3</f>
        <v>519.41257552370519</v>
      </c>
      <c r="X32" s="20">
        <f>F32*$M$3</f>
        <v>-375.96264674492022</v>
      </c>
      <c r="Y32" s="18">
        <f>G32*$L$3</f>
        <v>2213.8134368662045</v>
      </c>
      <c r="Z32" s="18">
        <f>H32*$K$3</f>
        <v>0</v>
      </c>
      <c r="AA32" s="18">
        <f>$Q$3</f>
        <v>1517.8191756799711</v>
      </c>
      <c r="AB32" s="21">
        <f>T32-B32</f>
        <v>47.363505017397074</v>
      </c>
      <c r="AC32" s="50">
        <f>AB32/B32</f>
        <v>9.7324803695021667E-3</v>
      </c>
    </row>
    <row r="33" spans="1:29" ht="15.75" customHeight="1">
      <c r="A33" s="18">
        <v>32</v>
      </c>
      <c r="B33" s="17">
        <v>4846.53</v>
      </c>
      <c r="C33" s="21">
        <v>200</v>
      </c>
      <c r="D33" s="21">
        <v>40</v>
      </c>
      <c r="E33" s="17">
        <v>140</v>
      </c>
      <c r="F33" s="20">
        <v>0.5</v>
      </c>
      <c r="G33" s="16">
        <v>75.900000000000006</v>
      </c>
      <c r="H33" s="18">
        <v>0</v>
      </c>
      <c r="S33" s="18">
        <f>A33</f>
        <v>32</v>
      </c>
      <c r="T33" s="21">
        <f>SUM(U33:AA33)</f>
        <v>4767.3088420488157</v>
      </c>
      <c r="U33" s="21">
        <f>C33*$P$3</f>
        <v>899.32631334608186</v>
      </c>
      <c r="V33" s="21">
        <f>D33*$O$3</f>
        <v>111.59572027708359</v>
      </c>
      <c r="W33" s="21">
        <f>E33*$N$3</f>
        <v>519.41257552370519</v>
      </c>
      <c r="X33" s="20">
        <f>F33*$M$3</f>
        <v>-375.96264674492022</v>
      </c>
      <c r="Y33" s="18">
        <f>G33*$L$3</f>
        <v>2095.1177039668942</v>
      </c>
      <c r="Z33" s="18">
        <f>H33*$K$3</f>
        <v>0</v>
      </c>
      <c r="AA33" s="18">
        <f>$Q$3</f>
        <v>1517.8191756799711</v>
      </c>
      <c r="AB33" s="21">
        <f>T33-B33</f>
        <v>-79.221157951184068</v>
      </c>
      <c r="AC33" s="50">
        <f>AB33/B33</f>
        <v>-1.6345954311885839E-2</v>
      </c>
    </row>
    <row r="34" spans="1:29" ht="15.75" customHeight="1">
      <c r="A34" s="18">
        <v>33</v>
      </c>
      <c r="B34" s="17">
        <v>5209.8999999999996</v>
      </c>
      <c r="C34" s="21">
        <v>200</v>
      </c>
      <c r="D34" s="21">
        <v>40</v>
      </c>
      <c r="E34" s="17">
        <v>140</v>
      </c>
      <c r="F34" s="20">
        <v>-0.2</v>
      </c>
      <c r="G34" s="16">
        <v>77.3</v>
      </c>
      <c r="H34" s="18">
        <v>0</v>
      </c>
      <c r="S34" s="18">
        <f>A34</f>
        <v>33</v>
      </c>
      <c r="T34" s="21">
        <f>SUM(U34:AA34)</f>
        <v>5332.3016698310148</v>
      </c>
      <c r="U34" s="21">
        <f>C34*$P$3</f>
        <v>899.32631334608186</v>
      </c>
      <c r="V34" s="21">
        <f>D34*$O$3</f>
        <v>111.59572027708359</v>
      </c>
      <c r="W34" s="21">
        <f>E34*$N$3</f>
        <v>519.41257552370519</v>
      </c>
      <c r="X34" s="20">
        <f>F34*$M$3</f>
        <v>150.38505869796811</v>
      </c>
      <c r="Y34" s="18">
        <f>G34*$L$3</f>
        <v>2133.7628263062043</v>
      </c>
      <c r="Z34" s="18">
        <f>H34*$K$3</f>
        <v>0</v>
      </c>
      <c r="AA34" s="18">
        <f>$Q$3</f>
        <v>1517.8191756799711</v>
      </c>
      <c r="AB34" s="21">
        <f>T34-B34</f>
        <v>122.40166983101517</v>
      </c>
      <c r="AC34" s="50">
        <f>AB34/B34</f>
        <v>2.3494053596233168E-2</v>
      </c>
    </row>
    <row r="35" spans="1:29" ht="15.75" customHeight="1">
      <c r="A35" s="18">
        <v>34</v>
      </c>
      <c r="B35" s="17">
        <v>4831.16</v>
      </c>
      <c r="C35" s="21">
        <v>200</v>
      </c>
      <c r="D35" s="21">
        <v>40</v>
      </c>
      <c r="E35" s="17">
        <v>35</v>
      </c>
      <c r="F35" s="20">
        <v>-0.2</v>
      </c>
      <c r="G35" s="16">
        <v>72.7</v>
      </c>
      <c r="H35" s="18">
        <v>0</v>
      </c>
      <c r="S35" s="18">
        <f>A35</f>
        <v>34</v>
      </c>
      <c r="T35" s="21">
        <f>SUM(U35:AA35)</f>
        <v>4815.765407644787</v>
      </c>
      <c r="U35" s="21">
        <f>C35*$P$3</f>
        <v>899.32631334608186</v>
      </c>
      <c r="V35" s="21">
        <f>D35*$O$3</f>
        <v>111.59572027708359</v>
      </c>
      <c r="W35" s="21">
        <f>E35*$N$3</f>
        <v>129.8531438809263</v>
      </c>
      <c r="X35" s="20">
        <f>F35*$M$3</f>
        <v>150.38505869796811</v>
      </c>
      <c r="Y35" s="18">
        <f>G35*$L$3</f>
        <v>2006.7859957627563</v>
      </c>
      <c r="Z35" s="18">
        <f>H35*$K$3</f>
        <v>0</v>
      </c>
      <c r="AA35" s="18">
        <f>$Q$3</f>
        <v>1517.8191756799711</v>
      </c>
      <c r="AB35" s="21">
        <f>T35-B35</f>
        <v>-15.394592355212808</v>
      </c>
      <c r="AC35" s="50">
        <f>AB35/B35</f>
        <v>-3.1865209091010874E-3</v>
      </c>
    </row>
    <row r="36" spans="1:29" ht="15.75" customHeight="1">
      <c r="A36" s="18">
        <v>35</v>
      </c>
      <c r="B36" s="17">
        <v>4999.6400000000003</v>
      </c>
      <c r="C36" s="21">
        <v>200</v>
      </c>
      <c r="D36" s="21">
        <v>40</v>
      </c>
      <c r="E36" s="17">
        <v>35</v>
      </c>
      <c r="F36" s="20">
        <v>-0.2</v>
      </c>
      <c r="G36" s="16">
        <v>76.7</v>
      </c>
      <c r="H36" s="18">
        <v>0</v>
      </c>
      <c r="S36" s="18">
        <f>A36</f>
        <v>35</v>
      </c>
      <c r="T36" s="21">
        <f>SUM(U36:AA36)</f>
        <v>4926.1800428999595</v>
      </c>
      <c r="U36" s="21">
        <f>C36*$P$3</f>
        <v>899.32631334608186</v>
      </c>
      <c r="V36" s="21">
        <f>D36*$O$3</f>
        <v>111.59572027708359</v>
      </c>
      <c r="W36" s="21">
        <f>E36*$N$3</f>
        <v>129.8531438809263</v>
      </c>
      <c r="X36" s="20">
        <f>F36*$M$3</f>
        <v>150.38505869796811</v>
      </c>
      <c r="Y36" s="18">
        <f>G36*$L$3</f>
        <v>2117.2006310179286</v>
      </c>
      <c r="Z36" s="18">
        <f>H36*$K$3</f>
        <v>0</v>
      </c>
      <c r="AA36" s="18">
        <f>$Q$3</f>
        <v>1517.8191756799711</v>
      </c>
      <c r="AB36" s="21">
        <f>T36-B36</f>
        <v>-73.45995710004081</v>
      </c>
      <c r="AC36" s="50">
        <f>AB36/B36</f>
        <v>-1.4693049319559169E-2</v>
      </c>
    </row>
    <row r="37" spans="1:29" ht="15.75" customHeight="1">
      <c r="A37" s="18">
        <v>36</v>
      </c>
      <c r="B37" s="17">
        <v>4073.66</v>
      </c>
      <c r="C37" s="21">
        <v>0</v>
      </c>
      <c r="D37" s="21">
        <v>20</v>
      </c>
      <c r="E37" s="17">
        <v>35</v>
      </c>
      <c r="F37" s="20">
        <v>-0.2</v>
      </c>
      <c r="G37" s="16">
        <v>72.7</v>
      </c>
      <c r="H37" s="18">
        <v>0</v>
      </c>
      <c r="S37" s="18">
        <f>A37</f>
        <v>36</v>
      </c>
      <c r="T37" s="21">
        <f>SUM(U37:AA37)</f>
        <v>3860.6412341601635</v>
      </c>
      <c r="U37" s="21">
        <f>C37*$P$3</f>
        <v>0</v>
      </c>
      <c r="V37" s="21">
        <f>D37*$O$3</f>
        <v>55.797860138541793</v>
      </c>
      <c r="W37" s="21">
        <f>E37*$N$3</f>
        <v>129.8531438809263</v>
      </c>
      <c r="X37" s="20">
        <f>F37*$M$3</f>
        <v>150.38505869796811</v>
      </c>
      <c r="Y37" s="18">
        <f>G37*$L$3</f>
        <v>2006.7859957627563</v>
      </c>
      <c r="Z37" s="18">
        <f>H37*$K$3</f>
        <v>0</v>
      </c>
      <c r="AA37" s="18">
        <f>$Q$3</f>
        <v>1517.8191756799711</v>
      </c>
      <c r="AB37" s="21">
        <f>T37-B37</f>
        <v>-213.01876583983631</v>
      </c>
      <c r="AC37" s="50">
        <f>AB37/B37</f>
        <v>-5.2291739084714066E-2</v>
      </c>
    </row>
    <row r="38" spans="1:29" ht="15.75" customHeight="1">
      <c r="A38" s="18">
        <v>37</v>
      </c>
      <c r="B38" s="17">
        <v>3885.19</v>
      </c>
      <c r="C38" s="21">
        <v>0</v>
      </c>
      <c r="D38" s="21">
        <v>20</v>
      </c>
      <c r="E38" s="17">
        <v>35</v>
      </c>
      <c r="F38" s="20">
        <v>-0.2</v>
      </c>
      <c r="G38" s="16">
        <v>71.7</v>
      </c>
      <c r="H38" s="18">
        <v>0</v>
      </c>
      <c r="S38" s="18">
        <f>A38</f>
        <v>37</v>
      </c>
      <c r="T38" s="21">
        <f>SUM(U38:AA38)</f>
        <v>3833.0375753463704</v>
      </c>
      <c r="U38" s="21">
        <f>C38*$P$3</f>
        <v>0</v>
      </c>
      <c r="V38" s="21">
        <f>D38*$O$3</f>
        <v>55.797860138541793</v>
      </c>
      <c r="W38" s="21">
        <f>E38*$N$3</f>
        <v>129.8531438809263</v>
      </c>
      <c r="X38" s="20">
        <f>F38*$M$3</f>
        <v>150.38505869796811</v>
      </c>
      <c r="Y38" s="18">
        <f>G38*$L$3</f>
        <v>1979.1823369489632</v>
      </c>
      <c r="Z38" s="18">
        <f>H38*$K$3</f>
        <v>0</v>
      </c>
      <c r="AA38" s="18">
        <f>$Q$3</f>
        <v>1517.8191756799711</v>
      </c>
      <c r="AB38" s="21">
        <f>T38-B38</f>
        <v>-52.152424653629623</v>
      </c>
      <c r="AC38" s="50">
        <f>AB38/B38</f>
        <v>-1.3423391044872869E-2</v>
      </c>
    </row>
    <row r="39" spans="1:29" ht="15.75" customHeight="1">
      <c r="A39" s="18">
        <v>38</v>
      </c>
      <c r="B39" s="17">
        <v>3395.17</v>
      </c>
      <c r="C39" s="21">
        <v>0</v>
      </c>
      <c r="D39" s="21">
        <v>20</v>
      </c>
      <c r="E39" s="21">
        <v>0</v>
      </c>
      <c r="F39" s="20">
        <v>-0.2</v>
      </c>
      <c r="G39" s="16">
        <v>64.5</v>
      </c>
      <c r="H39" s="18">
        <v>0</v>
      </c>
      <c r="S39" s="18">
        <f>A39</f>
        <v>38</v>
      </c>
      <c r="T39" s="21">
        <f>SUM(U39:AA39)</f>
        <v>3504.438088006134</v>
      </c>
      <c r="U39" s="21">
        <f>C39*$P$3</f>
        <v>0</v>
      </c>
      <c r="V39" s="21">
        <f>D39*$O$3</f>
        <v>55.797860138541793</v>
      </c>
      <c r="W39" s="21">
        <f>E39*$N$3</f>
        <v>0</v>
      </c>
      <c r="X39" s="20">
        <f>F39*$M$3</f>
        <v>150.38505869796811</v>
      </c>
      <c r="Y39" s="18">
        <f>G39*$L$3</f>
        <v>1780.4359934896531</v>
      </c>
      <c r="Z39" s="18">
        <f>H39*$K$3</f>
        <v>0</v>
      </c>
      <c r="AA39" s="18">
        <f>$Q$3</f>
        <v>1517.8191756799711</v>
      </c>
      <c r="AB39" s="21">
        <f>T39-B39</f>
        <v>109.26808800613389</v>
      </c>
      <c r="AC39" s="50">
        <f>AB39/B39</f>
        <v>3.2183392291441633E-2</v>
      </c>
    </row>
    <row r="40" spans="1:29" ht="15.75" customHeight="1">
      <c r="A40" s="18">
        <v>39</v>
      </c>
      <c r="B40" s="17">
        <v>3543.52</v>
      </c>
      <c r="C40" s="21">
        <v>0</v>
      </c>
      <c r="D40" s="21">
        <v>20</v>
      </c>
      <c r="E40" s="21">
        <v>0</v>
      </c>
      <c r="F40" s="20">
        <v>-0.2</v>
      </c>
      <c r="G40" s="16">
        <v>62.5</v>
      </c>
      <c r="H40" s="18">
        <v>0</v>
      </c>
      <c r="S40" s="18">
        <f>A40</f>
        <v>39</v>
      </c>
      <c r="T40" s="21">
        <f>SUM(U40:AA40)</f>
        <v>3449.2307703785477</v>
      </c>
      <c r="U40" s="21">
        <f>C40*$P$3</f>
        <v>0</v>
      </c>
      <c r="V40" s="21">
        <f>D40*$O$3</f>
        <v>55.797860138541793</v>
      </c>
      <c r="W40" s="21">
        <f>E40*$N$3</f>
        <v>0</v>
      </c>
      <c r="X40" s="20">
        <f>F40*$M$3</f>
        <v>150.38505869796811</v>
      </c>
      <c r="Y40" s="18">
        <f>G40*$L$3</f>
        <v>1725.2286758620669</v>
      </c>
      <c r="Z40" s="18">
        <f>H40*$K$3</f>
        <v>0</v>
      </c>
      <c r="AA40" s="18">
        <f>$Q$3</f>
        <v>1517.8191756799711</v>
      </c>
      <c r="AB40" s="21">
        <f>T40-B40</f>
        <v>-94.28922962145225</v>
      </c>
      <c r="AC40" s="50">
        <f>AB40/B40</f>
        <v>-2.6608917015129661E-2</v>
      </c>
    </row>
    <row r="41" spans="1:29" ht="15.75" customHeight="1">
      <c r="A41" s="18">
        <v>40</v>
      </c>
      <c r="B41" s="17">
        <v>3318.82</v>
      </c>
      <c r="C41" s="21">
        <v>0</v>
      </c>
      <c r="D41" s="21">
        <v>20</v>
      </c>
      <c r="E41" s="21">
        <v>0</v>
      </c>
      <c r="F41" s="20">
        <v>-0.2</v>
      </c>
      <c r="G41" s="16">
        <v>65.5</v>
      </c>
      <c r="H41" s="18">
        <v>0</v>
      </c>
      <c r="S41" s="18">
        <f>A41</f>
        <v>40</v>
      </c>
      <c r="T41" s="21">
        <f>SUM(U41:AA41)</f>
        <v>3532.0417468199271</v>
      </c>
      <c r="U41" s="21">
        <f>C41*$P$3</f>
        <v>0</v>
      </c>
      <c r="V41" s="21">
        <f>D41*$O$3</f>
        <v>55.797860138541793</v>
      </c>
      <c r="W41" s="21">
        <f>E41*$N$3</f>
        <v>0</v>
      </c>
      <c r="X41" s="20">
        <f>F41*$M$3</f>
        <v>150.38505869796811</v>
      </c>
      <c r="Y41" s="18">
        <f>G41*$L$3</f>
        <v>1808.0396523034462</v>
      </c>
      <c r="Z41" s="18">
        <f>H41*$K$3</f>
        <v>0</v>
      </c>
      <c r="AA41" s="18">
        <f>$Q$3</f>
        <v>1517.8191756799711</v>
      </c>
      <c r="AB41" s="21">
        <f>T41-B41</f>
        <v>213.22174681992692</v>
      </c>
      <c r="AC41" s="50">
        <f>AB41/B41</f>
        <v>6.4246252228179562E-2</v>
      </c>
    </row>
    <row r="42" spans="1:29" ht="15.75" customHeight="1">
      <c r="A42" s="18">
        <v>41</v>
      </c>
      <c r="B42" s="17">
        <v>3439.85</v>
      </c>
      <c r="C42" s="21">
        <v>0</v>
      </c>
      <c r="D42" s="21">
        <v>15</v>
      </c>
      <c r="E42" s="21">
        <v>0</v>
      </c>
      <c r="F42" s="20">
        <v>-0.2</v>
      </c>
      <c r="G42" s="16">
        <v>60.9</v>
      </c>
      <c r="H42" s="18">
        <v>0</v>
      </c>
      <c r="S42" s="18">
        <f>A42</f>
        <v>41</v>
      </c>
      <c r="T42" s="21">
        <f>SUM(U42:AA42)</f>
        <v>3391.1154512418434</v>
      </c>
      <c r="U42" s="21">
        <f>C42*$P$3</f>
        <v>0</v>
      </c>
      <c r="V42" s="21">
        <f>D42*$O$3</f>
        <v>41.848395103906348</v>
      </c>
      <c r="W42" s="21">
        <f>E42*$N$3</f>
        <v>0</v>
      </c>
      <c r="X42" s="20">
        <f>F42*$M$3</f>
        <v>150.38505869796811</v>
      </c>
      <c r="Y42" s="18">
        <f>G42*$L$3</f>
        <v>1681.0628217599981</v>
      </c>
      <c r="Z42" s="18">
        <f>H42*$K$3</f>
        <v>0</v>
      </c>
      <c r="AA42" s="18">
        <f>$Q$3</f>
        <v>1517.8191756799711</v>
      </c>
      <c r="AB42" s="21">
        <f>T42-B42</f>
        <v>-48.734548758156507</v>
      </c>
      <c r="AC42" s="50">
        <f>AB42/B42</f>
        <v>-1.416763776273864E-2</v>
      </c>
    </row>
    <row r="43" spans="1:29" ht="15.75" customHeight="1">
      <c r="A43" s="18">
        <v>42</v>
      </c>
      <c r="B43" s="17">
        <v>3396.71</v>
      </c>
      <c r="C43" s="21">
        <v>0</v>
      </c>
      <c r="D43" s="21">
        <v>15</v>
      </c>
      <c r="E43" s="21">
        <v>0</v>
      </c>
      <c r="F43" s="20">
        <v>-0.2</v>
      </c>
      <c r="G43" s="16">
        <v>58.1</v>
      </c>
      <c r="H43" s="18">
        <v>0</v>
      </c>
      <c r="S43" s="18">
        <f>A43</f>
        <v>42</v>
      </c>
      <c r="T43" s="21">
        <f>SUM(U43:AA43)</f>
        <v>3313.8252065632232</v>
      </c>
      <c r="U43" s="21">
        <f>C43*$P$3</f>
        <v>0</v>
      </c>
      <c r="V43" s="21">
        <f>D43*$O$3</f>
        <v>41.848395103906348</v>
      </c>
      <c r="W43" s="21">
        <f>E43*$N$3</f>
        <v>0</v>
      </c>
      <c r="X43" s="20">
        <f>F43*$M$3</f>
        <v>150.38505869796811</v>
      </c>
      <c r="Y43" s="18">
        <f>G43*$L$3</f>
        <v>1603.7725770813774</v>
      </c>
      <c r="Z43" s="18">
        <f>H43*$K$3</f>
        <v>0</v>
      </c>
      <c r="AA43" s="18">
        <f>$Q$3</f>
        <v>1517.8191756799711</v>
      </c>
      <c r="AB43" s="21">
        <f>T43-B43</f>
        <v>-82.884793436776818</v>
      </c>
      <c r="AC43" s="50">
        <f>AB43/B43</f>
        <v>-2.4401492454986389E-2</v>
      </c>
    </row>
    <row r="44" spans="1:29" ht="15.75" customHeight="1">
      <c r="A44" s="18">
        <v>43</v>
      </c>
      <c r="B44" s="17">
        <v>3249.66</v>
      </c>
      <c r="C44" s="21">
        <v>0</v>
      </c>
      <c r="D44" s="21">
        <v>15</v>
      </c>
      <c r="E44" s="21">
        <v>0</v>
      </c>
      <c r="F44" s="20">
        <v>-0.2</v>
      </c>
      <c r="G44" s="16">
        <v>61.1</v>
      </c>
      <c r="H44" s="18">
        <v>0</v>
      </c>
      <c r="S44" s="18">
        <f>A44</f>
        <v>43</v>
      </c>
      <c r="T44" s="21">
        <f>SUM(U44:AA44)</f>
        <v>3396.6361830046026</v>
      </c>
      <c r="U44" s="21">
        <f>C44*$P$3</f>
        <v>0</v>
      </c>
      <c r="V44" s="21">
        <f>D44*$O$3</f>
        <v>41.848395103906348</v>
      </c>
      <c r="W44" s="21">
        <f>E44*$N$3</f>
        <v>0</v>
      </c>
      <c r="X44" s="20">
        <f>F44*$M$3</f>
        <v>150.38505869796811</v>
      </c>
      <c r="Y44" s="18">
        <f>G44*$L$3</f>
        <v>1686.5835535227568</v>
      </c>
      <c r="Z44" s="18">
        <f>H44*$K$3</f>
        <v>0</v>
      </c>
      <c r="AA44" s="18">
        <f>$Q$3</f>
        <v>1517.8191756799711</v>
      </c>
      <c r="AB44" s="21">
        <f>T44-B44</f>
        <v>146.97618300460272</v>
      </c>
      <c r="AC44" s="50">
        <f>AB44/B44</f>
        <v>4.5228172487153342E-2</v>
      </c>
    </row>
    <row r="45" spans="1:29" ht="15.75" customHeight="1">
      <c r="A45" s="18">
        <v>44</v>
      </c>
      <c r="B45" s="17">
        <v>2931.35</v>
      </c>
      <c r="C45" s="21">
        <v>0</v>
      </c>
      <c r="D45" s="21">
        <v>15</v>
      </c>
      <c r="E45" s="21">
        <v>0</v>
      </c>
      <c r="F45" s="20">
        <v>-0.2</v>
      </c>
      <c r="G45" s="16">
        <v>50.2</v>
      </c>
      <c r="H45" s="18">
        <v>0</v>
      </c>
      <c r="S45" s="18">
        <f>A45</f>
        <v>44</v>
      </c>
      <c r="T45" s="21">
        <f>SUM(U45:AA45)</f>
        <v>3095.7563019342579</v>
      </c>
      <c r="U45" s="21">
        <f>C45*$P$3</f>
        <v>0</v>
      </c>
      <c r="V45" s="21">
        <f>D45*$O$3</f>
        <v>41.848395103906348</v>
      </c>
      <c r="W45" s="21">
        <f>E45*$N$3</f>
        <v>0</v>
      </c>
      <c r="X45" s="20">
        <f>F45*$M$3</f>
        <v>150.38505869796811</v>
      </c>
      <c r="Y45" s="18">
        <f>G45*$L$3</f>
        <v>1385.7036724524123</v>
      </c>
      <c r="Z45" s="18">
        <f>H45*$K$3</f>
        <v>0</v>
      </c>
      <c r="AA45" s="18">
        <f>$Q$3</f>
        <v>1517.8191756799711</v>
      </c>
      <c r="AB45" s="21">
        <f>T45-B45</f>
        <v>164.40630193425795</v>
      </c>
      <c r="AC45" s="50">
        <f>AB45/B45</f>
        <v>5.6085524394650234E-2</v>
      </c>
    </row>
    <row r="46" spans="1:29" ht="15.75" customHeight="1">
      <c r="A46" s="18">
        <v>45</v>
      </c>
      <c r="B46" s="17">
        <v>3933.05</v>
      </c>
      <c r="C46" s="21">
        <v>0</v>
      </c>
      <c r="D46" s="21">
        <v>10</v>
      </c>
      <c r="E46" s="21">
        <v>0</v>
      </c>
      <c r="F46" s="20">
        <v>-0.2</v>
      </c>
      <c r="G46" s="16">
        <v>50.4</v>
      </c>
      <c r="H46" s="18">
        <v>1</v>
      </c>
      <c r="S46" s="18">
        <f>A46</f>
        <v>45</v>
      </c>
      <c r="T46" s="21">
        <f>SUM(U46:AA46)</f>
        <v>3891.5375344862991</v>
      </c>
      <c r="U46" s="21">
        <f>C46*$P$3</f>
        <v>0</v>
      </c>
      <c r="V46" s="21">
        <f>D46*$O$3</f>
        <v>27.898930069270897</v>
      </c>
      <c r="W46" s="21">
        <f>E46*$N$3</f>
        <v>0</v>
      </c>
      <c r="X46" s="20">
        <f>F46*$M$3</f>
        <v>150.38505869796811</v>
      </c>
      <c r="Y46" s="18">
        <f>G46*$L$3</f>
        <v>1391.2244042151708</v>
      </c>
      <c r="Z46" s="18">
        <f>H46*$K$3</f>
        <v>804.20996582391831</v>
      </c>
      <c r="AA46" s="18">
        <f>$Q$3</f>
        <v>1517.8191756799711</v>
      </c>
      <c r="AB46" s="21">
        <f>T46-B46</f>
        <v>-41.512465513701045</v>
      </c>
      <c r="AC46" s="50">
        <f>AB46/B46</f>
        <v>-1.0554776957755696E-2</v>
      </c>
    </row>
    <row r="47" spans="1:29" ht="15.75" customHeight="1">
      <c r="A47" s="18">
        <v>46</v>
      </c>
      <c r="B47" s="17">
        <v>3506.81</v>
      </c>
      <c r="C47" s="21">
        <v>0</v>
      </c>
      <c r="D47" s="21">
        <v>10</v>
      </c>
      <c r="E47" s="21">
        <v>0</v>
      </c>
      <c r="F47" s="20">
        <v>-0.2</v>
      </c>
      <c r="G47" s="16">
        <v>55</v>
      </c>
      <c r="H47" s="18">
        <v>0</v>
      </c>
      <c r="S47" s="18">
        <f>A47</f>
        <v>46</v>
      </c>
      <c r="T47" s="21">
        <f>SUM(U47:AA47)</f>
        <v>3214.3043992058292</v>
      </c>
      <c r="U47" s="21">
        <f>C47*$P$3</f>
        <v>0</v>
      </c>
      <c r="V47" s="21">
        <f>D47*$O$3</f>
        <v>27.898930069270897</v>
      </c>
      <c r="W47" s="21">
        <f>E47*$N$3</f>
        <v>0</v>
      </c>
      <c r="X47" s="20">
        <f>F47*$M$3</f>
        <v>150.38505869796811</v>
      </c>
      <c r="Y47" s="18">
        <f>G47*$L$3</f>
        <v>1518.201234758619</v>
      </c>
      <c r="Z47" s="18">
        <f>H47*$K$3</f>
        <v>0</v>
      </c>
      <c r="AA47" s="18">
        <f>$Q$3</f>
        <v>1517.8191756799711</v>
      </c>
      <c r="AB47" s="21">
        <f>T47-B47</f>
        <v>-292.50560079417073</v>
      </c>
      <c r="AC47" s="50">
        <f>AB47/B47</f>
        <v>-8.3410735339003464E-2</v>
      </c>
    </row>
    <row r="48" spans="1:29" ht="13">
      <c r="A48" s="18">
        <v>47</v>
      </c>
      <c r="B48" s="17">
        <v>2818.97</v>
      </c>
      <c r="C48" s="21">
        <v>0</v>
      </c>
      <c r="D48" s="21">
        <v>10</v>
      </c>
      <c r="E48" s="21">
        <v>0</v>
      </c>
      <c r="F48" s="20">
        <v>-0.2</v>
      </c>
      <c r="G48" s="16">
        <v>44.4</v>
      </c>
      <c r="H48" s="18">
        <v>0</v>
      </c>
      <c r="S48" s="18">
        <f>A48</f>
        <v>47</v>
      </c>
      <c r="T48" s="21">
        <f>SUM(U48:AA48)</f>
        <v>2921.7056157796223</v>
      </c>
      <c r="U48" s="21">
        <f>C48*$P$3</f>
        <v>0</v>
      </c>
      <c r="V48" s="21">
        <f>D48*$O$3</f>
        <v>27.898930069270897</v>
      </c>
      <c r="W48" s="21">
        <f>E48*$N$3</f>
        <v>0</v>
      </c>
      <c r="X48" s="20">
        <f>F48*$M$3</f>
        <v>150.38505869796811</v>
      </c>
      <c r="Y48" s="18">
        <f>G48*$L$3</f>
        <v>1225.6024513324123</v>
      </c>
      <c r="Z48" s="18">
        <f>H48*$K$3</f>
        <v>0</v>
      </c>
      <c r="AA48" s="18">
        <f>$Q$3</f>
        <v>1517.8191756799711</v>
      </c>
      <c r="AB48" s="21">
        <f>T48-B48</f>
        <v>102.73561577962255</v>
      </c>
      <c r="AC48" s="50">
        <f>AB48/B48</f>
        <v>3.6444380670820391E-2</v>
      </c>
    </row>
    <row r="49" spans="1:29" ht="13">
      <c r="A49" s="18">
        <v>48</v>
      </c>
      <c r="B49" s="17">
        <v>3856.38</v>
      </c>
      <c r="C49" s="21">
        <v>0</v>
      </c>
      <c r="D49" s="21">
        <v>10</v>
      </c>
      <c r="E49" s="21">
        <v>0</v>
      </c>
      <c r="F49" s="20">
        <v>-0.2</v>
      </c>
      <c r="G49" s="16">
        <v>48.5</v>
      </c>
      <c r="H49" s="18">
        <v>1</v>
      </c>
      <c r="S49" s="18">
        <f>A49</f>
        <v>48</v>
      </c>
      <c r="T49" s="21">
        <f>SUM(U49:AA49)</f>
        <v>3839.0905827400925</v>
      </c>
      <c r="U49" s="21">
        <f>C49*$P$3</f>
        <v>0</v>
      </c>
      <c r="V49" s="21">
        <f>D49*$O$3</f>
        <v>27.898930069270897</v>
      </c>
      <c r="W49" s="21">
        <f>E49*$N$3</f>
        <v>0</v>
      </c>
      <c r="X49" s="20">
        <f>F49*$M$3</f>
        <v>150.38505869796811</v>
      </c>
      <c r="Y49" s="18">
        <f>G49*$L$3</f>
        <v>1338.7774524689639</v>
      </c>
      <c r="Z49" s="18">
        <f>H49*$K$3</f>
        <v>804.20996582391831</v>
      </c>
      <c r="AA49" s="18">
        <f>$Q$3</f>
        <v>1517.8191756799711</v>
      </c>
      <c r="AB49" s="21">
        <f>T49-B49</f>
        <v>-17.289417259907623</v>
      </c>
      <c r="AC49" s="50">
        <f>AB49/B49</f>
        <v>-4.4833282145192183E-3</v>
      </c>
    </row>
    <row r="50" spans="1:29" ht="13">
      <c r="A50" s="18">
        <v>49</v>
      </c>
      <c r="B50" s="17">
        <v>3060.15</v>
      </c>
      <c r="C50" s="21">
        <v>0</v>
      </c>
      <c r="D50" s="21">
        <v>0</v>
      </c>
      <c r="E50" s="21">
        <v>0</v>
      </c>
      <c r="F50" s="20">
        <v>-0.2</v>
      </c>
      <c r="G50" s="16">
        <v>44.5</v>
      </c>
      <c r="H50" s="18">
        <v>0</v>
      </c>
      <c r="S50" s="18">
        <f>A50</f>
        <v>49</v>
      </c>
      <c r="T50" s="21">
        <f>SUM(U50:AA50)</f>
        <v>2896.5670515917309</v>
      </c>
      <c r="U50" s="21">
        <f>C50*$P$3</f>
        <v>0</v>
      </c>
      <c r="V50" s="21">
        <f>D50*$O$3</f>
        <v>0</v>
      </c>
      <c r="W50" s="21">
        <f>E50*$N$3</f>
        <v>0</v>
      </c>
      <c r="X50" s="20">
        <f>F50*$M$3</f>
        <v>150.38505869796811</v>
      </c>
      <c r="Y50" s="18">
        <f>G50*$L$3</f>
        <v>1228.3628172137917</v>
      </c>
      <c r="Z50" s="18">
        <f>H50*$K$3</f>
        <v>0</v>
      </c>
      <c r="AA50" s="18">
        <f>$Q$3</f>
        <v>1517.8191756799711</v>
      </c>
      <c r="AB50" s="21">
        <f>T50-B50</f>
        <v>-163.5829484082692</v>
      </c>
      <c r="AC50" s="50">
        <f>AB50/B50</f>
        <v>-5.3455859486714441E-2</v>
      </c>
    </row>
    <row r="51" spans="1:29" ht="13">
      <c r="A51" s="18">
        <v>50</v>
      </c>
      <c r="B51" s="17">
        <v>2761.15</v>
      </c>
      <c r="C51" s="21">
        <v>0</v>
      </c>
      <c r="D51" s="21">
        <v>0</v>
      </c>
      <c r="E51" s="21">
        <v>0</v>
      </c>
      <c r="F51" s="20">
        <v>-0.2</v>
      </c>
      <c r="G51" s="16">
        <v>37.6</v>
      </c>
      <c r="H51" s="18">
        <v>0</v>
      </c>
      <c r="S51" s="18">
        <f>A51</f>
        <v>50</v>
      </c>
      <c r="T51" s="21">
        <f>SUM(U51:AA51)</f>
        <v>2706.1018057765586</v>
      </c>
      <c r="U51" s="21">
        <f>C51*$P$3</f>
        <v>0</v>
      </c>
      <c r="V51" s="21">
        <f>D51*$O$3</f>
        <v>0</v>
      </c>
      <c r="W51" s="21">
        <f>E51*$N$3</f>
        <v>0</v>
      </c>
      <c r="X51" s="20">
        <f>F51*$M$3</f>
        <v>150.38505869796811</v>
      </c>
      <c r="Y51" s="18">
        <f>G51*$L$3</f>
        <v>1037.8975713986194</v>
      </c>
      <c r="Z51" s="18">
        <f>H51*$K$3</f>
        <v>0</v>
      </c>
      <c r="AA51" s="18">
        <f>$Q$3</f>
        <v>1517.8191756799711</v>
      </c>
      <c r="AB51" s="21">
        <f>T51-B51</f>
        <v>-55.048194223441442</v>
      </c>
      <c r="AC51" s="50">
        <f>AB51/B51</f>
        <v>-1.9936690952480466E-2</v>
      </c>
    </row>
    <row r="52" spans="1:29" ht="13">
      <c r="A52" s="18">
        <v>51</v>
      </c>
      <c r="B52" s="17">
        <v>2323.12</v>
      </c>
      <c r="C52" s="21">
        <v>0</v>
      </c>
      <c r="D52" s="21">
        <v>0</v>
      </c>
      <c r="E52" s="21">
        <v>0</v>
      </c>
      <c r="F52" s="20">
        <v>-0.2</v>
      </c>
      <c r="G52" s="16">
        <v>32.799999999999997</v>
      </c>
      <c r="H52" s="18">
        <v>0</v>
      </c>
      <c r="S52" s="18">
        <f>A52</f>
        <v>51</v>
      </c>
      <c r="T52" s="21">
        <f>SUM(U52:AA52)</f>
        <v>2573.6042434703518</v>
      </c>
      <c r="U52" s="21">
        <f>C52*$P$3</f>
        <v>0</v>
      </c>
      <c r="V52" s="21">
        <f>D52*$O$3</f>
        <v>0</v>
      </c>
      <c r="W52" s="21">
        <f>E52*$N$3</f>
        <v>0</v>
      </c>
      <c r="X52" s="20">
        <f>F52*$M$3</f>
        <v>150.38505869796811</v>
      </c>
      <c r="Y52" s="18">
        <f>G52*$L$3</f>
        <v>905.40000909241269</v>
      </c>
      <c r="Z52" s="18">
        <f>H52*$K$3</f>
        <v>0</v>
      </c>
      <c r="AA52" s="18">
        <f>$Q$3</f>
        <v>1517.8191756799711</v>
      </c>
      <c r="AB52" s="21">
        <f>T52-B52</f>
        <v>250.48424347035188</v>
      </c>
      <c r="AC52" s="50">
        <f>AB52/B52</f>
        <v>0.10782234386099379</v>
      </c>
    </row>
    <row r="53" spans="1:29" ht="13">
      <c r="A53" s="18">
        <v>52</v>
      </c>
      <c r="B53" s="17">
        <v>3577.04</v>
      </c>
      <c r="C53" s="21">
        <v>0</v>
      </c>
      <c r="D53" s="21">
        <v>0</v>
      </c>
      <c r="E53" s="21">
        <v>0</v>
      </c>
      <c r="F53" s="20">
        <v>-0.2</v>
      </c>
      <c r="G53" s="16">
        <v>35.9</v>
      </c>
      <c r="H53" s="18">
        <v>1</v>
      </c>
      <c r="S53" s="18">
        <f>A53</f>
        <v>52</v>
      </c>
      <c r="T53" s="21">
        <f>SUM(U53:AA53)</f>
        <v>3463.3855516170288</v>
      </c>
      <c r="U53" s="21">
        <f>C53*$P$3</f>
        <v>0</v>
      </c>
      <c r="V53" s="21">
        <f>D53*$O$3</f>
        <v>0</v>
      </c>
      <c r="W53" s="21">
        <f>E53*$N$3</f>
        <v>0</v>
      </c>
      <c r="X53" s="20">
        <f>F53*$M$3</f>
        <v>150.38505869796811</v>
      </c>
      <c r="Y53" s="18">
        <f>G53*$L$3</f>
        <v>990.97135141517117</v>
      </c>
      <c r="Z53" s="18">
        <f>H53*$K$3</f>
        <v>804.20996582391831</v>
      </c>
      <c r="AA53" s="18">
        <f>$Q$3</f>
        <v>1517.8191756799711</v>
      </c>
      <c r="AB53" s="21">
        <f>T53-B53</f>
        <v>-113.65444838297117</v>
      </c>
      <c r="AC53" s="50">
        <f>AB53/B53</f>
        <v>-3.1773323301660356E-2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545C4-31C9-BA4C-9831-AB411001A0F5}">
  <sheetPr>
    <outlinePr summaryBelow="0" summaryRight="0"/>
  </sheetPr>
  <dimension ref="A1:AF55"/>
  <sheetViews>
    <sheetView topLeftCell="D5" workbookViewId="0">
      <selection activeCell="M20" sqref="M20"/>
    </sheetView>
  </sheetViews>
  <sheetFormatPr baseColWidth="10" defaultColWidth="14.5" defaultRowHeight="15.75" customHeight="1"/>
  <cols>
    <col min="1" max="8" width="16" style="15" customWidth="1"/>
    <col min="9" max="9" width="14.5" style="15"/>
    <col min="10" max="10" width="28.5" style="15" customWidth="1"/>
    <col min="11" max="20" width="14.5" style="15"/>
    <col min="21" max="30" width="16.1640625" style="15" customWidth="1"/>
    <col min="31" max="16384" width="14.5" style="15"/>
  </cols>
  <sheetData>
    <row r="1" spans="1:32" ht="13">
      <c r="A1" s="18"/>
      <c r="B1" s="18" t="s">
        <v>38</v>
      </c>
      <c r="C1" s="45">
        <v>0.3</v>
      </c>
      <c r="D1" s="45">
        <v>0</v>
      </c>
      <c r="E1" s="45">
        <v>0</v>
      </c>
      <c r="F1" s="18"/>
      <c r="G1" s="18"/>
      <c r="H1" s="18"/>
      <c r="I1" s="18"/>
      <c r="T1" s="52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2" spans="1:32" ht="13">
      <c r="A2" s="18"/>
      <c r="B2" s="45" t="s">
        <v>36</v>
      </c>
      <c r="C2" s="45">
        <v>1</v>
      </c>
      <c r="D2" s="45">
        <v>1</v>
      </c>
      <c r="E2" s="45">
        <v>0.5</v>
      </c>
      <c r="F2" s="18"/>
      <c r="G2" s="18"/>
      <c r="H2" s="18"/>
      <c r="I2" s="18"/>
      <c r="T2" s="52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</row>
    <row r="3" spans="1:32" ht="33.75" customHeight="1">
      <c r="A3" s="54" t="str">
        <f>[1]Data!A1</f>
        <v>Week</v>
      </c>
      <c r="B3" s="54" t="str">
        <f>[1]Data!B1</f>
        <v>Revenue</v>
      </c>
      <c r="C3" s="54" t="str">
        <f>[1]Data!C1&amp;" Adstock"</f>
        <v>Newspaper Ads Adstock</v>
      </c>
      <c r="D3" s="54" t="str">
        <f>[1]Data!D1</f>
        <v>Search Ads</v>
      </c>
      <c r="E3" s="54" t="str">
        <f>[1]Data!E1</f>
        <v>Social Ads</v>
      </c>
      <c r="F3" s="54" t="str">
        <f>[1]Data!F1</f>
        <v>Price Change</v>
      </c>
      <c r="G3" s="54" t="str">
        <f>[1]Data!G1</f>
        <v>Temperature</v>
      </c>
      <c r="H3" s="54" t="str">
        <f>[1]Data!H1</f>
        <v>Holiday</v>
      </c>
      <c r="T3" s="52" t="s">
        <v>45</v>
      </c>
      <c r="U3" s="54" t="str">
        <f>C3</f>
        <v>Newspaper Ads Adstock</v>
      </c>
      <c r="V3" s="54" t="str">
        <f>D3</f>
        <v>Search Ads</v>
      </c>
      <c r="W3" s="54" t="str">
        <f>E3</f>
        <v>Social Ads</v>
      </c>
      <c r="X3" s="54" t="str">
        <f>F3</f>
        <v>Price Change</v>
      </c>
      <c r="Y3" s="54" t="str">
        <f>G3</f>
        <v>Temperature</v>
      </c>
      <c r="Z3" s="54" t="str">
        <f>H3</f>
        <v>Holiday</v>
      </c>
      <c r="AA3" s="54" t="str">
        <f>Q5</f>
        <v>Baseline</v>
      </c>
      <c r="AB3" s="54" t="s">
        <v>34</v>
      </c>
      <c r="AC3" s="54" t="s">
        <v>33</v>
      </c>
      <c r="AD3" s="54" t="s">
        <v>44</v>
      </c>
      <c r="AE3" s="18"/>
      <c r="AF3" s="18"/>
    </row>
    <row r="4" spans="1:32" ht="13">
      <c r="A4" s="18">
        <f>[1]Data!A2</f>
        <v>1</v>
      </c>
      <c r="B4" s="21">
        <f>[1]Data!B2</f>
        <v>3302.99</v>
      </c>
      <c r="C4" s="21">
        <f>[1]Data!C2^$C$2</f>
        <v>0</v>
      </c>
      <c r="D4" s="21">
        <f>[1]Data!D2</f>
        <v>0</v>
      </c>
      <c r="E4" s="21">
        <f>[1]Data!E2^$E$2</f>
        <v>0</v>
      </c>
      <c r="F4" s="20">
        <f>[1]Data!F2</f>
        <v>0</v>
      </c>
      <c r="G4" s="16">
        <f>[1]Data!G2</f>
        <v>39.799999999999997</v>
      </c>
      <c r="H4" s="18">
        <f>[1]Data!H2</f>
        <v>1</v>
      </c>
      <c r="U4" s="21">
        <f>$P$6*C4</f>
        <v>0</v>
      </c>
      <c r="V4" s="21">
        <f>$O$6*D4</f>
        <v>0</v>
      </c>
      <c r="W4" s="21">
        <f>$N$6*E4</f>
        <v>0</v>
      </c>
      <c r="X4" s="21">
        <f>$M$6*F4</f>
        <v>0</v>
      </c>
      <c r="Y4" s="21">
        <f>$L$6*G4</f>
        <v>1013.0408056880199</v>
      </c>
      <c r="Z4" s="21">
        <f>$K$6*H4</f>
        <v>822.49706640378611</v>
      </c>
      <c r="AA4" s="21">
        <f>$Q$6</f>
        <v>1611.5752130492151</v>
      </c>
      <c r="AB4" s="21">
        <f>SUM(U4:AA4)</f>
        <v>3447.1130851410212</v>
      </c>
      <c r="AC4" s="21">
        <f>AB4-B4</f>
        <v>144.12308514102142</v>
      </c>
      <c r="AD4" s="50">
        <f>AC4/B4</f>
        <v>4.3634127000390988E-2</v>
      </c>
      <c r="AE4" s="50"/>
      <c r="AF4" s="50"/>
    </row>
    <row r="5" spans="1:32" ht="13">
      <c r="A5" s="18">
        <f>[1]Data!A3</f>
        <v>2</v>
      </c>
      <c r="B5" s="21">
        <f>[1]Data!B3</f>
        <v>2706.27</v>
      </c>
      <c r="C5" s="21">
        <f>([1]Data!C3+C4*$C$1)^$C$2</f>
        <v>0</v>
      </c>
      <c r="D5" s="21">
        <f>[1]Data!D3</f>
        <v>0</v>
      </c>
      <c r="E5" s="21">
        <f>[1]Data!E3^$E$2</f>
        <v>0</v>
      </c>
      <c r="F5" s="20">
        <f>[1]Data!F3</f>
        <v>0</v>
      </c>
      <c r="G5" s="16">
        <f>[1]Data!G3</f>
        <v>37.299999999999997</v>
      </c>
      <c r="H5" s="18">
        <f>[1]Data!H3</f>
        <v>0</v>
      </c>
      <c r="K5" s="18" t="str">
        <f>H3</f>
        <v>Holiday</v>
      </c>
      <c r="L5" s="18" t="str">
        <f>G3</f>
        <v>Temperature</v>
      </c>
      <c r="M5" s="18" t="str">
        <f>F3</f>
        <v>Price Change</v>
      </c>
      <c r="N5" s="18" t="str">
        <f>E3</f>
        <v>Social Ads</v>
      </c>
      <c r="O5" s="18" t="str">
        <f>D3</f>
        <v>Search Ads</v>
      </c>
      <c r="P5" s="18" t="str">
        <f>C3</f>
        <v>Newspaper Ads Adstock</v>
      </c>
      <c r="Q5" s="18" t="s">
        <v>29</v>
      </c>
      <c r="U5" s="21">
        <f>$P$6*C5</f>
        <v>0</v>
      </c>
      <c r="V5" s="21">
        <f>$O$6*D5</f>
        <v>0</v>
      </c>
      <c r="W5" s="21">
        <f>$N$6*E5</f>
        <v>0</v>
      </c>
      <c r="X5" s="21">
        <f>$M$6*F5</f>
        <v>0</v>
      </c>
      <c r="Y5" s="21">
        <f>$L$6*G5</f>
        <v>949.40758925033026</v>
      </c>
      <c r="Z5" s="21">
        <f>$K$6*H5</f>
        <v>0</v>
      </c>
      <c r="AA5" s="21">
        <f>$Q$6</f>
        <v>1611.5752130492151</v>
      </c>
      <c r="AB5" s="21">
        <f>SUM(U5:AA5)</f>
        <v>2560.9828022995453</v>
      </c>
      <c r="AC5" s="21">
        <f>AB5-B5</f>
        <v>-145.28719770045473</v>
      </c>
      <c r="AD5" s="50">
        <f>AC5/B5</f>
        <v>-5.3685403784712808E-2</v>
      </c>
      <c r="AE5" s="50"/>
      <c r="AF5" s="50"/>
    </row>
    <row r="6" spans="1:32" ht="13">
      <c r="A6" s="18">
        <f>[1]Data!A4</f>
        <v>3</v>
      </c>
      <c r="B6" s="21">
        <f>[1]Data!B4</f>
        <v>2330.41</v>
      </c>
      <c r="C6" s="21">
        <f>([1]Data!C4+C5*$C$1)^$C$2</f>
        <v>0</v>
      </c>
      <c r="D6" s="21">
        <f>[1]Data!D4</f>
        <v>0</v>
      </c>
      <c r="E6" s="21">
        <f>[1]Data!E4^$E$2</f>
        <v>0</v>
      </c>
      <c r="F6" s="20">
        <f>[1]Data!F4</f>
        <v>0</v>
      </c>
      <c r="G6" s="16">
        <f>[1]Data!G4</f>
        <v>38.6</v>
      </c>
      <c r="H6" s="18">
        <f>[1]Data!H4</f>
        <v>0</v>
      </c>
      <c r="J6" s="52" t="s">
        <v>41</v>
      </c>
      <c r="K6" s="53">
        <f t="array" ref="K6:Q10">LINEST(B4:B55,C4:H55,1,1)</f>
        <v>822.49706640378611</v>
      </c>
      <c r="L6" s="53">
        <v>25.453286575075879</v>
      </c>
      <c r="M6" s="53">
        <v>-677.30820831535607</v>
      </c>
      <c r="N6" s="53">
        <v>31.358355234067133</v>
      </c>
      <c r="O6" s="53">
        <v>2.1613522635744711</v>
      </c>
      <c r="P6" s="53">
        <v>3.6444829472343545</v>
      </c>
      <c r="Q6" s="53">
        <v>1611.5752130492151</v>
      </c>
      <c r="U6" s="21">
        <f>$P$6*C6</f>
        <v>0</v>
      </c>
      <c r="V6" s="21">
        <f>$O$6*D6</f>
        <v>0</v>
      </c>
      <c r="W6" s="21">
        <f>$N$6*E6</f>
        <v>0</v>
      </c>
      <c r="X6" s="21">
        <f>$M$6*F6</f>
        <v>0</v>
      </c>
      <c r="Y6" s="21">
        <f>$L$6*G6</f>
        <v>982.496861797929</v>
      </c>
      <c r="Z6" s="21">
        <f>$K$6*H6</f>
        <v>0</v>
      </c>
      <c r="AA6" s="21">
        <f>$Q$6</f>
        <v>1611.5752130492151</v>
      </c>
      <c r="AB6" s="21">
        <f>SUM(U6:AA6)</f>
        <v>2594.072074847144</v>
      </c>
      <c r="AC6" s="21">
        <f>AB6-B6</f>
        <v>263.66207484714414</v>
      </c>
      <c r="AD6" s="50">
        <f>AC6/B6</f>
        <v>0.11313978005893562</v>
      </c>
      <c r="AE6" s="50"/>
      <c r="AF6" s="50"/>
    </row>
    <row r="7" spans="1:32" ht="13">
      <c r="A7" s="18">
        <f>[1]Data!A5</f>
        <v>4</v>
      </c>
      <c r="B7" s="21">
        <f>[1]Data!B5</f>
        <v>2351.63</v>
      </c>
      <c r="C7" s="21">
        <f>([1]Data!C5+C6*$C$1)^$C$2</f>
        <v>0</v>
      </c>
      <c r="D7" s="21">
        <f>[1]Data!D5</f>
        <v>0</v>
      </c>
      <c r="E7" s="21">
        <f>[1]Data!E5^$E$2</f>
        <v>0</v>
      </c>
      <c r="F7" s="20">
        <f>[1]Data!F5</f>
        <v>0</v>
      </c>
      <c r="G7" s="16">
        <f>[1]Data!G5</f>
        <v>32.299999999999997</v>
      </c>
      <c r="H7" s="18">
        <f>[1]Data!H5</f>
        <v>0</v>
      </c>
      <c r="J7" s="52"/>
      <c r="K7" s="18">
        <v>52.653042701561965</v>
      </c>
      <c r="L7" s="18">
        <v>3.360832075271504</v>
      </c>
      <c r="M7" s="18">
        <v>91.520699089439148</v>
      </c>
      <c r="N7" s="18">
        <v>11.123780926596622</v>
      </c>
      <c r="O7" s="18">
        <v>5.2225622873843349</v>
      </c>
      <c r="P7" s="18">
        <v>0.52533314653434171</v>
      </c>
      <c r="Q7" s="18">
        <v>127.24348921454362</v>
      </c>
      <c r="U7" s="21">
        <f>$P$6*C7</f>
        <v>0</v>
      </c>
      <c r="V7" s="21">
        <f>$O$6*D7</f>
        <v>0</v>
      </c>
      <c r="W7" s="21">
        <f>$N$6*E7</f>
        <v>0</v>
      </c>
      <c r="X7" s="21">
        <f>$M$6*F7</f>
        <v>0</v>
      </c>
      <c r="Y7" s="21">
        <f>$L$6*G7</f>
        <v>822.14115637495081</v>
      </c>
      <c r="Z7" s="21">
        <f>$K$6*H7</f>
        <v>0</v>
      </c>
      <c r="AA7" s="21">
        <f>$Q$6</f>
        <v>1611.5752130492151</v>
      </c>
      <c r="AB7" s="21">
        <f>SUM(U7:AA7)</f>
        <v>2433.7163694241658</v>
      </c>
      <c r="AC7" s="21">
        <f>AB7-B7</f>
        <v>82.086369424165696</v>
      </c>
      <c r="AD7" s="50">
        <f>AC7/B7</f>
        <v>3.4906158462073407E-2</v>
      </c>
      <c r="AE7" s="50"/>
      <c r="AF7" s="50"/>
    </row>
    <row r="8" spans="1:32" ht="13">
      <c r="A8" s="18">
        <f>[1]Data!A6</f>
        <v>5</v>
      </c>
      <c r="B8" s="21">
        <f>[1]Data!B6</f>
        <v>2398.48</v>
      </c>
      <c r="C8" s="21">
        <f>([1]Data!C6+C7*$C$1)^$C$2</f>
        <v>0</v>
      </c>
      <c r="D8" s="21">
        <f>[1]Data!D6</f>
        <v>10</v>
      </c>
      <c r="E8" s="21">
        <f>[1]Data!E6^$E$2</f>
        <v>0</v>
      </c>
      <c r="F8" s="20">
        <f>[1]Data!F6</f>
        <v>0</v>
      </c>
      <c r="G8" s="16">
        <f>[1]Data!G6</f>
        <v>34.9</v>
      </c>
      <c r="H8" s="18">
        <f>[1]Data!H6</f>
        <v>0</v>
      </c>
      <c r="J8" s="52" t="s">
        <v>14</v>
      </c>
      <c r="K8" s="53">
        <v>0.97578476856116525</v>
      </c>
      <c r="L8" s="18">
        <v>144.26791214655552</v>
      </c>
      <c r="M8" s="18" t="e">
        <v>#N/A</v>
      </c>
      <c r="N8" s="18" t="e">
        <v>#N/A</v>
      </c>
      <c r="O8" s="18" t="e">
        <v>#N/A</v>
      </c>
      <c r="P8" s="18" t="e">
        <v>#N/A</v>
      </c>
      <c r="Q8" s="18" t="e">
        <v>#N/A</v>
      </c>
      <c r="U8" s="21">
        <f>$P$6*C8</f>
        <v>0</v>
      </c>
      <c r="V8" s="21">
        <f>$O$6*D8</f>
        <v>21.613522635744712</v>
      </c>
      <c r="W8" s="21">
        <f>$N$6*E8</f>
        <v>0</v>
      </c>
      <c r="X8" s="21">
        <f>$M$6*F8</f>
        <v>0</v>
      </c>
      <c r="Y8" s="21">
        <f>$L$6*G8</f>
        <v>888.31970147014817</v>
      </c>
      <c r="Z8" s="21">
        <f>$K$6*H8</f>
        <v>0</v>
      </c>
      <c r="AA8" s="21">
        <f>$Q$6</f>
        <v>1611.5752130492151</v>
      </c>
      <c r="AB8" s="21">
        <f>SUM(U8:AA8)</f>
        <v>2521.5084371551079</v>
      </c>
      <c r="AC8" s="21">
        <f>AB8-B8</f>
        <v>123.02843715510789</v>
      </c>
      <c r="AD8" s="50">
        <f>AC8/B8</f>
        <v>5.1294335226938687E-2</v>
      </c>
      <c r="AE8" s="50"/>
      <c r="AF8" s="50"/>
    </row>
    <row r="9" spans="1:32" ht="13">
      <c r="A9" s="18">
        <f>[1]Data!A7</f>
        <v>6</v>
      </c>
      <c r="B9" s="21">
        <f>[1]Data!B7</f>
        <v>2611.66</v>
      </c>
      <c r="C9" s="21">
        <f>([1]Data!C7+C8*$C$1)^$C$2</f>
        <v>0</v>
      </c>
      <c r="D9" s="21">
        <f>[1]Data!D7</f>
        <v>10</v>
      </c>
      <c r="E9" s="21">
        <f>[1]Data!E7^$E$2</f>
        <v>0</v>
      </c>
      <c r="F9" s="20">
        <f>[1]Data!F7</f>
        <v>0</v>
      </c>
      <c r="G9" s="16">
        <f>[1]Data!G7</f>
        <v>38.700000000000003</v>
      </c>
      <c r="H9" s="18">
        <f>[1]Data!H7</f>
        <v>0</v>
      </c>
      <c r="K9" s="18">
        <v>302.22241660973742</v>
      </c>
      <c r="L9" s="18">
        <v>45</v>
      </c>
      <c r="M9" s="18" t="e">
        <v>#N/A</v>
      </c>
      <c r="N9" s="18" t="e">
        <v>#N/A</v>
      </c>
      <c r="O9" s="18" t="e">
        <v>#N/A</v>
      </c>
      <c r="P9" s="18" t="e">
        <v>#N/A</v>
      </c>
      <c r="Q9" s="18" t="e">
        <v>#N/A</v>
      </c>
      <c r="U9" s="21">
        <f>$P$6*C9</f>
        <v>0</v>
      </c>
      <c r="V9" s="21">
        <f>$O$6*D9</f>
        <v>21.613522635744712</v>
      </c>
      <c r="W9" s="21">
        <f>$N$6*E9</f>
        <v>0</v>
      </c>
      <c r="X9" s="21">
        <f>$M$6*F9</f>
        <v>0</v>
      </c>
      <c r="Y9" s="21">
        <f>$L$6*G9</f>
        <v>985.04219045543653</v>
      </c>
      <c r="Z9" s="21">
        <f>$K$6*H9</f>
        <v>0</v>
      </c>
      <c r="AA9" s="21">
        <f>$Q$6</f>
        <v>1611.5752130492151</v>
      </c>
      <c r="AB9" s="21">
        <f>SUM(U9:AA9)</f>
        <v>2618.2309261403962</v>
      </c>
      <c r="AC9" s="21">
        <f>AB9-B9</f>
        <v>6.5709261403962955</v>
      </c>
      <c r="AD9" s="50">
        <f>AC9/B9</f>
        <v>2.5159960103521501E-3</v>
      </c>
      <c r="AE9" s="50"/>
      <c r="AF9" s="50"/>
    </row>
    <row r="10" spans="1:32" ht="13">
      <c r="A10" s="18">
        <f>[1]Data!A8</f>
        <v>7</v>
      </c>
      <c r="B10" s="21">
        <f>[1]Data!B8</f>
        <v>2557.31</v>
      </c>
      <c r="C10" s="21">
        <f>([1]Data!C8+C9*$C$1)^$C$2</f>
        <v>0</v>
      </c>
      <c r="D10" s="21">
        <f>[1]Data!D8</f>
        <v>10</v>
      </c>
      <c r="E10" s="21">
        <f>[1]Data!E8^$E$2</f>
        <v>0</v>
      </c>
      <c r="F10" s="20">
        <f>[1]Data!F8</f>
        <v>0</v>
      </c>
      <c r="G10" s="16">
        <f>[1]Data!G8</f>
        <v>35.1</v>
      </c>
      <c r="H10" s="18">
        <f>[1]Data!H8</f>
        <v>0</v>
      </c>
      <c r="K10" s="18">
        <v>37741348.869888559</v>
      </c>
      <c r="L10" s="18">
        <v>936595.37138068187</v>
      </c>
      <c r="M10" s="18" t="e">
        <v>#N/A</v>
      </c>
      <c r="N10" s="18" t="e">
        <v>#N/A</v>
      </c>
      <c r="O10" s="18" t="e">
        <v>#N/A</v>
      </c>
      <c r="P10" s="18" t="e">
        <v>#N/A</v>
      </c>
      <c r="Q10" s="18" t="e">
        <v>#N/A</v>
      </c>
      <c r="U10" s="21">
        <f>$P$6*C10</f>
        <v>0</v>
      </c>
      <c r="V10" s="21">
        <f>$O$6*D10</f>
        <v>21.613522635744712</v>
      </c>
      <c r="W10" s="21">
        <f>$N$6*E10</f>
        <v>0</v>
      </c>
      <c r="X10" s="21">
        <f>$M$6*F10</f>
        <v>0</v>
      </c>
      <c r="Y10" s="21">
        <f>$L$6*G10</f>
        <v>893.41035878516334</v>
      </c>
      <c r="Z10" s="21">
        <f>$K$6*H10</f>
        <v>0</v>
      </c>
      <c r="AA10" s="21">
        <f>$Q$6</f>
        <v>1611.5752130492151</v>
      </c>
      <c r="AB10" s="21">
        <f>SUM(U10:AA10)</f>
        <v>2526.5990944701234</v>
      </c>
      <c r="AC10" s="21">
        <f>AB10-B10</f>
        <v>-30.710905529876527</v>
      </c>
      <c r="AD10" s="50">
        <f>AC10/B10</f>
        <v>-1.2009066374384227E-2</v>
      </c>
      <c r="AE10" s="50"/>
      <c r="AF10" s="50"/>
    </row>
    <row r="11" spans="1:32" ht="13">
      <c r="A11" s="18">
        <f>[1]Data!A9</f>
        <v>8</v>
      </c>
      <c r="B11" s="21">
        <f>[1]Data!B9</f>
        <v>3250.96</v>
      </c>
      <c r="C11" s="21">
        <f>([1]Data!C9+C10*$C$1)^$C$2</f>
        <v>0</v>
      </c>
      <c r="D11" s="21">
        <f>[1]Data!D9</f>
        <v>10</v>
      </c>
      <c r="E11" s="21">
        <f>[1]Data!E9^$E$2</f>
        <v>0</v>
      </c>
      <c r="F11" s="20">
        <f>[1]Data!F9</f>
        <v>0</v>
      </c>
      <c r="G11" s="16">
        <f>[1]Data!G9</f>
        <v>34.4</v>
      </c>
      <c r="H11" s="18">
        <f>[1]Data!H9</f>
        <v>1</v>
      </c>
      <c r="U11" s="21">
        <f>$P$6*C11</f>
        <v>0</v>
      </c>
      <c r="V11" s="21">
        <f>$O$6*D11</f>
        <v>21.613522635744712</v>
      </c>
      <c r="W11" s="21">
        <f>$N$6*E11</f>
        <v>0</v>
      </c>
      <c r="X11" s="21">
        <f>$M$6*F11</f>
        <v>0</v>
      </c>
      <c r="Y11" s="21">
        <f>$L$6*G11</f>
        <v>875.59305818261021</v>
      </c>
      <c r="Z11" s="21">
        <f>$K$6*H11</f>
        <v>822.49706640378611</v>
      </c>
      <c r="AA11" s="21">
        <f>$Q$6</f>
        <v>1611.5752130492151</v>
      </c>
      <c r="AB11" s="21">
        <f>SUM(U11:AA11)</f>
        <v>3331.2788602713563</v>
      </c>
      <c r="AC11" s="21">
        <f>AB11-B11</f>
        <v>80.318860271356243</v>
      </c>
      <c r="AD11" s="50">
        <f>AC11/B11</f>
        <v>2.4706197637422867E-2</v>
      </c>
      <c r="AE11" s="50"/>
      <c r="AF11" s="50"/>
    </row>
    <row r="12" spans="1:32" ht="13">
      <c r="A12" s="18">
        <f>[1]Data!A10</f>
        <v>9</v>
      </c>
      <c r="B12" s="21">
        <f>[1]Data!B10</f>
        <v>2802.04</v>
      </c>
      <c r="C12" s="21">
        <f>([1]Data!C10+C11*$C$1)^$C$2</f>
        <v>0</v>
      </c>
      <c r="D12" s="21">
        <f>[1]Data!D10</f>
        <v>10</v>
      </c>
      <c r="E12" s="21">
        <f>[1]Data!E10^$E$2</f>
        <v>0</v>
      </c>
      <c r="F12" s="20">
        <f>[1]Data!F10</f>
        <v>0</v>
      </c>
      <c r="G12" s="16">
        <f>[1]Data!G10</f>
        <v>37.9</v>
      </c>
      <c r="H12" s="18">
        <f>[1]Data!H10</f>
        <v>0</v>
      </c>
      <c r="U12" s="21">
        <f>$P$6*C12</f>
        <v>0</v>
      </c>
      <c r="V12" s="21">
        <f>$O$6*D12</f>
        <v>21.613522635744712</v>
      </c>
      <c r="W12" s="21">
        <f>$N$6*E12</f>
        <v>0</v>
      </c>
      <c r="X12" s="21">
        <f>$M$6*F12</f>
        <v>0</v>
      </c>
      <c r="Y12" s="21">
        <f>$L$6*G12</f>
        <v>964.67956119537575</v>
      </c>
      <c r="Z12" s="21">
        <f>$K$6*H12</f>
        <v>0</v>
      </c>
      <c r="AA12" s="21">
        <f>$Q$6</f>
        <v>1611.5752130492151</v>
      </c>
      <c r="AB12" s="21">
        <f>SUM(U12:AA12)</f>
        <v>2597.8682968803355</v>
      </c>
      <c r="AC12" s="21">
        <f>AB12-B12</f>
        <v>-204.17170311966447</v>
      </c>
      <c r="AD12" s="50">
        <f>AC12/B12</f>
        <v>-7.2865377767506706E-2</v>
      </c>
      <c r="AE12" s="50"/>
      <c r="AF12" s="50"/>
    </row>
    <row r="13" spans="1:32" ht="13">
      <c r="A13" s="18">
        <f>[1]Data!A11</f>
        <v>10</v>
      </c>
      <c r="B13" s="21">
        <f>[1]Data!B11</f>
        <v>2881.28</v>
      </c>
      <c r="C13" s="21">
        <f>([1]Data!C11+C12*$C$1)^$C$2</f>
        <v>0</v>
      </c>
      <c r="D13" s="21">
        <f>[1]Data!D11</f>
        <v>15</v>
      </c>
      <c r="E13" s="21">
        <f>[1]Data!E11^$E$2</f>
        <v>0</v>
      </c>
      <c r="F13" s="20">
        <f>[1]Data!F11</f>
        <v>0</v>
      </c>
      <c r="G13" s="16">
        <f>[1]Data!G11</f>
        <v>40.6</v>
      </c>
      <c r="H13" s="18">
        <f>[1]Data!H11</f>
        <v>0</v>
      </c>
      <c r="U13" s="21">
        <f>$P$6*C13</f>
        <v>0</v>
      </c>
      <c r="V13" s="21">
        <f>$O$6*D13</f>
        <v>32.420283953617066</v>
      </c>
      <c r="W13" s="21">
        <f>$N$6*E13</f>
        <v>0</v>
      </c>
      <c r="X13" s="21">
        <f>$M$6*F13</f>
        <v>0</v>
      </c>
      <c r="Y13" s="21">
        <f>$L$6*G13</f>
        <v>1033.4034349480808</v>
      </c>
      <c r="Z13" s="21">
        <f>$K$6*H13</f>
        <v>0</v>
      </c>
      <c r="AA13" s="21">
        <f>$Q$6</f>
        <v>1611.5752130492151</v>
      </c>
      <c r="AB13" s="21">
        <f>SUM(U13:AA13)</f>
        <v>2677.3989319509128</v>
      </c>
      <c r="AC13" s="21">
        <f>AB13-B13</f>
        <v>-203.88106804908739</v>
      </c>
      <c r="AD13" s="50">
        <f>AC13/B13</f>
        <v>-7.076058836665905E-2</v>
      </c>
      <c r="AE13" s="50"/>
      <c r="AF13" s="50"/>
    </row>
    <row r="14" spans="1:32" ht="13">
      <c r="A14" s="18">
        <f>[1]Data!A12</f>
        <v>11</v>
      </c>
      <c r="B14" s="21">
        <f>[1]Data!B12</f>
        <v>2734.97</v>
      </c>
      <c r="C14" s="21">
        <f>([1]Data!C12+C13*$C$1)^$C$2</f>
        <v>0</v>
      </c>
      <c r="D14" s="21">
        <f>[1]Data!D12</f>
        <v>15</v>
      </c>
      <c r="E14" s="21">
        <f>[1]Data!E12^$E$2</f>
        <v>0</v>
      </c>
      <c r="F14" s="20">
        <f>[1]Data!F12</f>
        <v>0</v>
      </c>
      <c r="G14" s="16">
        <f>[1]Data!G12</f>
        <v>46.1</v>
      </c>
      <c r="H14" s="18">
        <f>[1]Data!H12</f>
        <v>0</v>
      </c>
      <c r="J14" s="52"/>
      <c r="K14" s="19"/>
      <c r="L14" s="19"/>
      <c r="M14" s="19"/>
      <c r="N14" s="19"/>
      <c r="O14" s="19"/>
      <c r="P14" s="19"/>
      <c r="Q14" s="19"/>
      <c r="U14" s="21">
        <f>$P$6*C14</f>
        <v>0</v>
      </c>
      <c r="V14" s="21">
        <f>$O$6*D14</f>
        <v>32.420283953617066</v>
      </c>
      <c r="W14" s="21">
        <f>$N$6*E14</f>
        <v>0</v>
      </c>
      <c r="X14" s="21">
        <f>$M$6*F14</f>
        <v>0</v>
      </c>
      <c r="Y14" s="21">
        <f>$L$6*G14</f>
        <v>1173.3965111109981</v>
      </c>
      <c r="Z14" s="21">
        <f>$K$6*H14</f>
        <v>0</v>
      </c>
      <c r="AA14" s="21">
        <f>$Q$6</f>
        <v>1611.5752130492151</v>
      </c>
      <c r="AB14" s="21">
        <f>SUM(U14:AA14)</f>
        <v>2817.3920081138303</v>
      </c>
      <c r="AC14" s="21">
        <f>AB14-B14</f>
        <v>82.422008113830543</v>
      </c>
      <c r="AD14" s="50">
        <f>AC14/B14</f>
        <v>3.0136348155128046E-2</v>
      </c>
      <c r="AE14" s="50"/>
      <c r="AF14" s="50"/>
    </row>
    <row r="15" spans="1:32" ht="13">
      <c r="A15" s="18">
        <f>[1]Data!A13</f>
        <v>12</v>
      </c>
      <c r="B15" s="21">
        <f>[1]Data!B13</f>
        <v>3580.57</v>
      </c>
      <c r="C15" s="21">
        <f>([1]Data!C13+C14*$C$1)^$C$2</f>
        <v>0</v>
      </c>
      <c r="D15" s="21">
        <f>[1]Data!D13</f>
        <v>15</v>
      </c>
      <c r="E15" s="21">
        <f>[1]Data!E13^$E$2</f>
        <v>0</v>
      </c>
      <c r="F15" s="20">
        <f>[1]Data!F13</f>
        <v>0</v>
      </c>
      <c r="G15" s="16">
        <f>[1]Data!G13</f>
        <v>43.6</v>
      </c>
      <c r="H15" s="18">
        <f>[1]Data!H13</f>
        <v>1</v>
      </c>
      <c r="U15" s="21">
        <f>$P$6*C15</f>
        <v>0</v>
      </c>
      <c r="V15" s="21">
        <f>$O$6*D15</f>
        <v>32.420283953617066</v>
      </c>
      <c r="W15" s="21">
        <f>$N$6*E15</f>
        <v>0</v>
      </c>
      <c r="X15" s="21">
        <f>$M$6*F15</f>
        <v>0</v>
      </c>
      <c r="Y15" s="21">
        <f>$L$6*G15</f>
        <v>1109.7632946733083</v>
      </c>
      <c r="Z15" s="21">
        <f>$K$6*H15</f>
        <v>822.49706640378611</v>
      </c>
      <c r="AA15" s="21">
        <f>$Q$6</f>
        <v>1611.5752130492151</v>
      </c>
      <c r="AB15" s="21">
        <f>SUM(U15:AA15)</f>
        <v>3576.2558580799268</v>
      </c>
      <c r="AC15" s="21">
        <f>AB15-B15</f>
        <v>-4.3141419200733253</v>
      </c>
      <c r="AD15" s="50">
        <f>AC15/B15</f>
        <v>-1.2048757376823592E-3</v>
      </c>
      <c r="AE15" s="50"/>
      <c r="AF15" s="50"/>
    </row>
    <row r="16" spans="1:32" ht="13">
      <c r="A16" s="18">
        <f>[1]Data!A14</f>
        <v>13</v>
      </c>
      <c r="B16" s="21">
        <f>[1]Data!B14</f>
        <v>3581.54</v>
      </c>
      <c r="C16" s="21">
        <f>([1]Data!C14+C15*$C$1)^$C$2</f>
        <v>0</v>
      </c>
      <c r="D16" s="21">
        <f>[1]Data!D14</f>
        <v>15</v>
      </c>
      <c r="E16" s="21">
        <f>[1]Data!E14^$E$2</f>
        <v>0</v>
      </c>
      <c r="F16" s="20">
        <f>[1]Data!F14</f>
        <v>0</v>
      </c>
      <c r="G16" s="16">
        <f>[1]Data!G14</f>
        <v>41.9</v>
      </c>
      <c r="H16" s="18">
        <f>[1]Data!H14</f>
        <v>1</v>
      </c>
      <c r="U16" s="21">
        <f>$P$6*C16</f>
        <v>0</v>
      </c>
      <c r="V16" s="21">
        <f>$O$6*D16</f>
        <v>32.420283953617066</v>
      </c>
      <c r="W16" s="21">
        <f>$N$6*E16</f>
        <v>0</v>
      </c>
      <c r="X16" s="21">
        <f>$M$6*F16</f>
        <v>0</v>
      </c>
      <c r="Y16" s="21">
        <f>$L$6*G16</f>
        <v>1066.4927074956793</v>
      </c>
      <c r="Z16" s="21">
        <f>$K$6*H16</f>
        <v>822.49706640378611</v>
      </c>
      <c r="AA16" s="21">
        <f>$Q$6</f>
        <v>1611.5752130492151</v>
      </c>
      <c r="AB16" s="21">
        <f>SUM(U16:AA16)</f>
        <v>3532.9852709022975</v>
      </c>
      <c r="AC16" s="21">
        <f>AB16-B16</f>
        <v>-48.55472909770242</v>
      </c>
      <c r="AD16" s="50">
        <f>AC16/B16</f>
        <v>-1.3556941733919605E-2</v>
      </c>
      <c r="AE16" s="50"/>
      <c r="AF16" s="50"/>
    </row>
    <row r="17" spans="1:32" ht="13">
      <c r="A17" s="18">
        <f>[1]Data!A15</f>
        <v>14</v>
      </c>
      <c r="B17" s="21">
        <f>[1]Data!B15</f>
        <v>2962.99</v>
      </c>
      <c r="C17" s="21">
        <f>([1]Data!C15+C16*$C$1)^$C$2</f>
        <v>0</v>
      </c>
      <c r="D17" s="21">
        <f>[1]Data!D15</f>
        <v>15</v>
      </c>
      <c r="E17" s="21">
        <f>[1]Data!E15^$E$2</f>
        <v>0</v>
      </c>
      <c r="F17" s="20">
        <f>[1]Data!F15</f>
        <v>0</v>
      </c>
      <c r="G17" s="16">
        <f>[1]Data!G15</f>
        <v>45.1</v>
      </c>
      <c r="H17" s="18">
        <f>[1]Data!H15</f>
        <v>0</v>
      </c>
      <c r="U17" s="21">
        <f>$P$6*C17</f>
        <v>0</v>
      </c>
      <c r="V17" s="21">
        <f>$O$6*D17</f>
        <v>32.420283953617066</v>
      </c>
      <c r="W17" s="21">
        <f>$N$6*E17</f>
        <v>0</v>
      </c>
      <c r="X17" s="21">
        <f>$M$6*F17</f>
        <v>0</v>
      </c>
      <c r="Y17" s="21">
        <f>$L$6*G17</f>
        <v>1147.9432245359221</v>
      </c>
      <c r="Z17" s="21">
        <f>$K$6*H17</f>
        <v>0</v>
      </c>
      <c r="AA17" s="21">
        <f>$Q$6</f>
        <v>1611.5752130492151</v>
      </c>
      <c r="AB17" s="21">
        <f>SUM(U17:AA17)</f>
        <v>2791.9387215387542</v>
      </c>
      <c r="AC17" s="21">
        <f>AB17-B17</f>
        <v>-171.0512784612456</v>
      </c>
      <c r="AD17" s="50">
        <f>AC17/B17</f>
        <v>-5.7729279700993126E-2</v>
      </c>
      <c r="AE17" s="50"/>
      <c r="AF17" s="50"/>
    </row>
    <row r="18" spans="1:32" ht="13">
      <c r="A18" s="18">
        <f>[1]Data!A16</f>
        <v>15</v>
      </c>
      <c r="B18" s="21">
        <f>[1]Data!B16</f>
        <v>2510.8200000000002</v>
      </c>
      <c r="C18" s="21">
        <f>([1]Data!C16+C17*$C$1)^$C$2</f>
        <v>0</v>
      </c>
      <c r="D18" s="21">
        <f>[1]Data!D16</f>
        <v>15</v>
      </c>
      <c r="E18" s="21">
        <f>[1]Data!E16^$E$2</f>
        <v>0</v>
      </c>
      <c r="F18" s="20">
        <f>[1]Data!F16</f>
        <v>0</v>
      </c>
      <c r="G18" s="16">
        <f>[1]Data!G16</f>
        <v>48</v>
      </c>
      <c r="H18" s="18">
        <f>[1]Data!H16</f>
        <v>0</v>
      </c>
      <c r="U18" s="21">
        <f>$P$6*C18</f>
        <v>0</v>
      </c>
      <c r="V18" s="21">
        <f>$O$6*D18</f>
        <v>32.420283953617066</v>
      </c>
      <c r="W18" s="21">
        <f>$N$6*E18</f>
        <v>0</v>
      </c>
      <c r="X18" s="21">
        <f>$M$6*F18</f>
        <v>0</v>
      </c>
      <c r="Y18" s="21">
        <f>$L$6*G18</f>
        <v>1221.7577556036422</v>
      </c>
      <c r="Z18" s="21">
        <f>$K$6*H18</f>
        <v>0</v>
      </c>
      <c r="AA18" s="21">
        <f>$Q$6</f>
        <v>1611.5752130492151</v>
      </c>
      <c r="AB18" s="21">
        <f>SUM(U18:AA18)</f>
        <v>2865.7532526064742</v>
      </c>
      <c r="AC18" s="21">
        <f>AB18-B18</f>
        <v>354.93325260647407</v>
      </c>
      <c r="AD18" s="50">
        <f>AC18/B18</f>
        <v>0.14136148852027389</v>
      </c>
      <c r="AE18" s="50"/>
      <c r="AF18" s="50"/>
    </row>
    <row r="19" spans="1:32" ht="13">
      <c r="A19" s="18">
        <f>[1]Data!A17</f>
        <v>16</v>
      </c>
      <c r="B19" s="21">
        <f>[1]Data!B17</f>
        <v>2523.34</v>
      </c>
      <c r="C19" s="21">
        <f>([1]Data!C17+C18*$C$1)^$C$2</f>
        <v>0</v>
      </c>
      <c r="D19" s="21">
        <f>[1]Data!D17</f>
        <v>15</v>
      </c>
      <c r="E19" s="21">
        <f>[1]Data!E17^$E$2</f>
        <v>0</v>
      </c>
      <c r="F19" s="20">
        <f>[1]Data!F17</f>
        <v>0.5</v>
      </c>
      <c r="G19" s="16">
        <f>[1]Data!G17</f>
        <v>45.7</v>
      </c>
      <c r="H19" s="18">
        <f>[1]Data!H17</f>
        <v>0</v>
      </c>
      <c r="U19" s="21">
        <f>$P$6*C19</f>
        <v>0</v>
      </c>
      <c r="V19" s="21">
        <f>$O$6*D19</f>
        <v>32.420283953617066</v>
      </c>
      <c r="W19" s="21">
        <f>$N$6*E19</f>
        <v>0</v>
      </c>
      <c r="X19" s="21">
        <f>$M$6*F19</f>
        <v>-338.65410415767803</v>
      </c>
      <c r="Y19" s="21">
        <f>$L$6*G19</f>
        <v>1163.2151964809677</v>
      </c>
      <c r="Z19" s="21">
        <f>$K$6*H19</f>
        <v>0</v>
      </c>
      <c r="AA19" s="21">
        <f>$Q$6</f>
        <v>1611.5752130492151</v>
      </c>
      <c r="AB19" s="21">
        <f>SUM(U19:AA19)</f>
        <v>2468.5565893261219</v>
      </c>
      <c r="AC19" s="21">
        <f>AB19-B19</f>
        <v>-54.783410673878279</v>
      </c>
      <c r="AD19" s="50">
        <f>AC19/B19</f>
        <v>-2.1710673422479045E-2</v>
      </c>
      <c r="AE19" s="50"/>
      <c r="AF19" s="50"/>
    </row>
    <row r="20" spans="1:32" ht="13">
      <c r="A20" s="18">
        <f>[1]Data!A18</f>
        <v>17</v>
      </c>
      <c r="B20" s="21">
        <f>[1]Data!B18</f>
        <v>2708.6</v>
      </c>
      <c r="C20" s="21">
        <f>([1]Data!C18+C19*$C$1)^$C$2</f>
        <v>0</v>
      </c>
      <c r="D20" s="21">
        <f>[1]Data!D18</f>
        <v>15</v>
      </c>
      <c r="E20" s="21">
        <f>[1]Data!E18^$E$2</f>
        <v>0</v>
      </c>
      <c r="F20" s="20">
        <f>[1]Data!F18</f>
        <v>0.5</v>
      </c>
      <c r="G20" s="16">
        <f>[1]Data!G18</f>
        <v>45</v>
      </c>
      <c r="H20" s="18">
        <f>[1]Data!H18</f>
        <v>0</v>
      </c>
      <c r="U20" s="21">
        <f>$P$6*C20</f>
        <v>0</v>
      </c>
      <c r="V20" s="21">
        <f>$O$6*D20</f>
        <v>32.420283953617066</v>
      </c>
      <c r="W20" s="21">
        <f>$N$6*E20</f>
        <v>0</v>
      </c>
      <c r="X20" s="21">
        <f>$M$6*F20</f>
        <v>-338.65410415767803</v>
      </c>
      <c r="Y20" s="21">
        <f>$L$6*G20</f>
        <v>1145.3978958784146</v>
      </c>
      <c r="Z20" s="21">
        <f>$K$6*H20</f>
        <v>0</v>
      </c>
      <c r="AA20" s="21">
        <f>$Q$6</f>
        <v>1611.5752130492151</v>
      </c>
      <c r="AB20" s="21">
        <f>SUM(U20:AA20)</f>
        <v>2450.7392887235687</v>
      </c>
      <c r="AC20" s="21">
        <f>AB20-B20</f>
        <v>-257.86071127643118</v>
      </c>
      <c r="AD20" s="50">
        <f>AC20/B20</f>
        <v>-9.5200735168142647E-2</v>
      </c>
      <c r="AE20" s="50"/>
      <c r="AF20" s="50"/>
    </row>
    <row r="21" spans="1:32" ht="13">
      <c r="A21" s="18">
        <f>[1]Data!A19</f>
        <v>18</v>
      </c>
      <c r="B21" s="21">
        <f>[1]Data!B19</f>
        <v>2459.0300000000002</v>
      </c>
      <c r="C21" s="21">
        <f>([1]Data!C19+C20*$C$1)^$C$2</f>
        <v>0</v>
      </c>
      <c r="D21" s="21">
        <f>[1]Data!D19</f>
        <v>20</v>
      </c>
      <c r="E21" s="21">
        <f>[1]Data!E19^$E$2</f>
        <v>0</v>
      </c>
      <c r="F21" s="20">
        <f>[1]Data!F19</f>
        <v>0.5</v>
      </c>
      <c r="G21" s="16">
        <f>[1]Data!G19</f>
        <v>50.2</v>
      </c>
      <c r="H21" s="18">
        <f>[1]Data!H19</f>
        <v>0</v>
      </c>
      <c r="K21" s="19"/>
      <c r="U21" s="21">
        <f>$P$6*C21</f>
        <v>0</v>
      </c>
      <c r="V21" s="21">
        <f>$O$6*D21</f>
        <v>43.227045271489423</v>
      </c>
      <c r="W21" s="21">
        <f>$N$6*E21</f>
        <v>0</v>
      </c>
      <c r="X21" s="21">
        <f>$M$6*F21</f>
        <v>-338.65410415767803</v>
      </c>
      <c r="Y21" s="21">
        <f>$L$6*G21</f>
        <v>1277.7549860688091</v>
      </c>
      <c r="Z21" s="21">
        <f>$K$6*H21</f>
        <v>0</v>
      </c>
      <c r="AA21" s="21">
        <f>$Q$6</f>
        <v>1611.5752130492151</v>
      </c>
      <c r="AB21" s="21">
        <f>SUM(U21:AA21)</f>
        <v>2593.9031402318356</v>
      </c>
      <c r="AC21" s="21">
        <f>AB21-B21</f>
        <v>134.87314023183535</v>
      </c>
      <c r="AD21" s="50">
        <f>AC21/B21</f>
        <v>5.4848106868088366E-2</v>
      </c>
      <c r="AE21" s="50"/>
      <c r="AF21" s="50"/>
    </row>
    <row r="22" spans="1:32" ht="13">
      <c r="A22" s="18">
        <f>[1]Data!A20</f>
        <v>19</v>
      </c>
      <c r="B22" s="21">
        <f>[1]Data!B20</f>
        <v>3429.26</v>
      </c>
      <c r="C22" s="21">
        <f>([1]Data!C20+C21*$C$1)^$C$2</f>
        <v>0</v>
      </c>
      <c r="D22" s="21">
        <f>[1]Data!D20</f>
        <v>20</v>
      </c>
      <c r="E22" s="21">
        <f>[1]Data!E20^$E$2</f>
        <v>0</v>
      </c>
      <c r="F22" s="20">
        <f>[1]Data!F20</f>
        <v>0.5</v>
      </c>
      <c r="G22" s="16">
        <f>[1]Data!G20</f>
        <v>50.2</v>
      </c>
      <c r="H22" s="18">
        <f>[1]Data!H20</f>
        <v>1</v>
      </c>
      <c r="U22" s="21">
        <f>$P$6*C22</f>
        <v>0</v>
      </c>
      <c r="V22" s="21">
        <f>$O$6*D22</f>
        <v>43.227045271489423</v>
      </c>
      <c r="W22" s="21">
        <f>$N$6*E22</f>
        <v>0</v>
      </c>
      <c r="X22" s="21">
        <f>$M$6*F22</f>
        <v>-338.65410415767803</v>
      </c>
      <c r="Y22" s="21">
        <f>$L$6*G22</f>
        <v>1277.7549860688091</v>
      </c>
      <c r="Z22" s="21">
        <f>$K$6*H22</f>
        <v>822.49706640378611</v>
      </c>
      <c r="AA22" s="21">
        <f>$Q$6</f>
        <v>1611.5752130492151</v>
      </c>
      <c r="AB22" s="21">
        <f>SUM(U22:AA22)</f>
        <v>3416.4002066356215</v>
      </c>
      <c r="AC22" s="21">
        <f>AB22-B22</f>
        <v>-12.859793364378675</v>
      </c>
      <c r="AD22" s="50">
        <f>AC22/B22</f>
        <v>-3.7500199356067122E-3</v>
      </c>
      <c r="AE22" s="50"/>
      <c r="AF22" s="50"/>
    </row>
    <row r="23" spans="1:32" ht="13">
      <c r="A23" s="18">
        <f>[1]Data!A21</f>
        <v>20</v>
      </c>
      <c r="B23" s="21">
        <f>[1]Data!B21</f>
        <v>2707.15</v>
      </c>
      <c r="C23" s="21">
        <f>([1]Data!C21+C22*$C$1)^$C$2</f>
        <v>0</v>
      </c>
      <c r="D23" s="21">
        <f>[1]Data!D21</f>
        <v>20</v>
      </c>
      <c r="E23" s="21">
        <f>[1]Data!E21^$E$2</f>
        <v>0</v>
      </c>
      <c r="F23" s="20">
        <f>[1]Data!F21</f>
        <v>0.5</v>
      </c>
      <c r="G23" s="16">
        <f>[1]Data!G21</f>
        <v>52.8</v>
      </c>
      <c r="H23" s="18">
        <f>[1]Data!H21</f>
        <v>0</v>
      </c>
      <c r="U23" s="21">
        <f>$P$6*C23</f>
        <v>0</v>
      </c>
      <c r="V23" s="21">
        <f>$O$6*D23</f>
        <v>43.227045271489423</v>
      </c>
      <c r="W23" s="21">
        <f>$N$6*E23</f>
        <v>0</v>
      </c>
      <c r="X23" s="21">
        <f>$M$6*F23</f>
        <v>-338.65410415767803</v>
      </c>
      <c r="Y23" s="21">
        <f>$L$6*G23</f>
        <v>1343.9335311640064</v>
      </c>
      <c r="Z23" s="21">
        <f>$K$6*H23</f>
        <v>0</v>
      </c>
      <c r="AA23" s="21">
        <f>$Q$6</f>
        <v>1611.5752130492151</v>
      </c>
      <c r="AB23" s="21">
        <f>SUM(U23:AA23)</f>
        <v>2660.0816853270326</v>
      </c>
      <c r="AC23" s="21">
        <f>AB23-B23</f>
        <v>-47.068314672967517</v>
      </c>
      <c r="AD23" s="50">
        <f>AC23/B23</f>
        <v>-1.738666666899415E-2</v>
      </c>
      <c r="AE23" s="50"/>
      <c r="AF23" s="50"/>
    </row>
    <row r="24" spans="1:32" ht="13">
      <c r="A24" s="18">
        <f>[1]Data!A22</f>
        <v>21</v>
      </c>
      <c r="B24" s="21">
        <f>[1]Data!B22</f>
        <v>2658.95</v>
      </c>
      <c r="C24" s="21">
        <f>([1]Data!C22+C23*$C$1)^$C$2</f>
        <v>0</v>
      </c>
      <c r="D24" s="21">
        <f>[1]Data!D22</f>
        <v>20</v>
      </c>
      <c r="E24" s="21">
        <f>[1]Data!E22^$E$2</f>
        <v>0</v>
      </c>
      <c r="F24" s="20">
        <f>[1]Data!F22</f>
        <v>0.5</v>
      </c>
      <c r="G24" s="16">
        <f>[1]Data!G22</f>
        <v>55.4</v>
      </c>
      <c r="H24" s="18">
        <f>[1]Data!H22</f>
        <v>0</v>
      </c>
      <c r="U24" s="21">
        <f>$P$6*C24</f>
        <v>0</v>
      </c>
      <c r="V24" s="21">
        <f>$O$6*D24</f>
        <v>43.227045271489423</v>
      </c>
      <c r="W24" s="21">
        <f>$N$6*E24</f>
        <v>0</v>
      </c>
      <c r="X24" s="21">
        <f>$M$6*F24</f>
        <v>-338.65410415767803</v>
      </c>
      <c r="Y24" s="21">
        <f>$L$6*G24</f>
        <v>1410.1120762592036</v>
      </c>
      <c r="Z24" s="21">
        <f>$K$6*H24</f>
        <v>0</v>
      </c>
      <c r="AA24" s="21">
        <f>$Q$6</f>
        <v>1611.5752130492151</v>
      </c>
      <c r="AB24" s="21">
        <f>SUM(U24:AA24)</f>
        <v>2726.2602304222301</v>
      </c>
      <c r="AC24" s="21">
        <f>AB24-B24</f>
        <v>67.310230422230234</v>
      </c>
      <c r="AD24" s="50">
        <f>AC24/B24</f>
        <v>2.531459050460905E-2</v>
      </c>
      <c r="AE24" s="50"/>
      <c r="AF24" s="50"/>
    </row>
    <row r="25" spans="1:32" ht="13">
      <c r="A25" s="18">
        <f>[1]Data!A23</f>
        <v>22</v>
      </c>
      <c r="B25" s="21">
        <f>[1]Data!B23</f>
        <v>2848.53</v>
      </c>
      <c r="C25" s="21">
        <f>([1]Data!C23+C24*$C$1)^$C$2</f>
        <v>0</v>
      </c>
      <c r="D25" s="21">
        <f>[1]Data!D23</f>
        <v>20</v>
      </c>
      <c r="E25" s="21">
        <f>[1]Data!E23^$E$2</f>
        <v>0</v>
      </c>
      <c r="F25" s="20">
        <f>[1]Data!F23</f>
        <v>0.5</v>
      </c>
      <c r="G25" s="16">
        <f>[1]Data!G23</f>
        <v>61.7</v>
      </c>
      <c r="H25" s="18">
        <f>[1]Data!H23</f>
        <v>0</v>
      </c>
      <c r="U25" s="21">
        <f>$P$6*C25</f>
        <v>0</v>
      </c>
      <c r="V25" s="21">
        <f>$O$6*D25</f>
        <v>43.227045271489423</v>
      </c>
      <c r="W25" s="21">
        <f>$N$6*E25</f>
        <v>0</v>
      </c>
      <c r="X25" s="21">
        <f>$M$6*F25</f>
        <v>-338.65410415767803</v>
      </c>
      <c r="Y25" s="21">
        <f>$L$6*G25</f>
        <v>1570.4677816821818</v>
      </c>
      <c r="Z25" s="21">
        <f>$K$6*H25</f>
        <v>0</v>
      </c>
      <c r="AA25" s="21">
        <f>$Q$6</f>
        <v>1611.5752130492151</v>
      </c>
      <c r="AB25" s="21">
        <f>SUM(U25:AA25)</f>
        <v>2886.6159358452082</v>
      </c>
      <c r="AC25" s="21">
        <f>AB25-B25</f>
        <v>38.085935845208041</v>
      </c>
      <c r="AD25" s="50">
        <f>AC25/B25</f>
        <v>1.3370382564062179E-2</v>
      </c>
      <c r="AE25" s="50"/>
      <c r="AF25" s="50"/>
    </row>
    <row r="26" spans="1:32" ht="13">
      <c r="A26" s="18">
        <f>[1]Data!A24</f>
        <v>23</v>
      </c>
      <c r="B26" s="21">
        <f>[1]Data!B24</f>
        <v>2801.63</v>
      </c>
      <c r="C26" s="21">
        <f>([1]Data!C24+C25*$C$1)^$C$2</f>
        <v>0</v>
      </c>
      <c r="D26" s="21">
        <f>[1]Data!D24</f>
        <v>20</v>
      </c>
      <c r="E26" s="21">
        <f>[1]Data!E24^$E$2</f>
        <v>0</v>
      </c>
      <c r="F26" s="20">
        <f>[1]Data!F24</f>
        <v>0.5</v>
      </c>
      <c r="G26" s="16">
        <f>[1]Data!G24</f>
        <v>64.7</v>
      </c>
      <c r="H26" s="18">
        <f>[1]Data!H24</f>
        <v>0</v>
      </c>
      <c r="U26" s="21">
        <f>$P$6*C26</f>
        <v>0</v>
      </c>
      <c r="V26" s="21">
        <f>$O$6*D26</f>
        <v>43.227045271489423</v>
      </c>
      <c r="W26" s="21">
        <f>$N$6*E26</f>
        <v>0</v>
      </c>
      <c r="X26" s="21">
        <f>$M$6*F26</f>
        <v>-338.65410415767803</v>
      </c>
      <c r="Y26" s="21">
        <f>$L$6*G26</f>
        <v>1646.8276414074094</v>
      </c>
      <c r="Z26" s="21">
        <f>$K$6*H26</f>
        <v>0</v>
      </c>
      <c r="AA26" s="21">
        <f>$Q$6</f>
        <v>1611.5752130492151</v>
      </c>
      <c r="AB26" s="21">
        <f>SUM(U26:AA26)</f>
        <v>2962.9757955704358</v>
      </c>
      <c r="AC26" s="21">
        <f>AB26-B26</f>
        <v>161.34579557043571</v>
      </c>
      <c r="AD26" s="50">
        <f>AC26/B26</f>
        <v>5.7589972826688644E-2</v>
      </c>
      <c r="AE26" s="50"/>
      <c r="AF26" s="50"/>
    </row>
    <row r="27" spans="1:32" ht="13">
      <c r="A27" s="18">
        <f>[1]Data!A25</f>
        <v>24</v>
      </c>
      <c r="B27" s="21">
        <f>[1]Data!B25</f>
        <v>4645.67</v>
      </c>
      <c r="C27" s="21">
        <f>([1]Data!C25+C26*$C$1)^$C$2</f>
        <v>200</v>
      </c>
      <c r="D27" s="21">
        <f>[1]Data!D25</f>
        <v>40</v>
      </c>
      <c r="E27" s="21">
        <f>[1]Data!E25^$E$2</f>
        <v>0</v>
      </c>
      <c r="F27" s="20">
        <f>[1]Data!F25</f>
        <v>0.5</v>
      </c>
      <c r="G27" s="16">
        <f>[1]Data!G25</f>
        <v>67.599999999999994</v>
      </c>
      <c r="H27" s="18">
        <f>[1]Data!H25</f>
        <v>1</v>
      </c>
      <c r="U27" s="21">
        <f>$P$6*C27</f>
        <v>728.89658944687085</v>
      </c>
      <c r="V27" s="21">
        <f>$O$6*D27</f>
        <v>86.454090542978847</v>
      </c>
      <c r="W27" s="21">
        <f>$N$6*E27</f>
        <v>0</v>
      </c>
      <c r="X27" s="21">
        <f>$M$6*F27</f>
        <v>-338.65410415767803</v>
      </c>
      <c r="Y27" s="21">
        <f>$L$6*G27</f>
        <v>1720.6421724751292</v>
      </c>
      <c r="Z27" s="21">
        <f>$K$6*H27</f>
        <v>822.49706640378611</v>
      </c>
      <c r="AA27" s="21">
        <f>$Q$6</f>
        <v>1611.5752130492151</v>
      </c>
      <c r="AB27" s="21">
        <f>SUM(U27:AA27)</f>
        <v>4631.4110277603022</v>
      </c>
      <c r="AC27" s="21">
        <f>AB27-B27</f>
        <v>-14.258972239697869</v>
      </c>
      <c r="AD27" s="50">
        <f>AC27/B27</f>
        <v>-3.0693037257699899E-3</v>
      </c>
      <c r="AE27" s="50"/>
      <c r="AF27" s="50"/>
    </row>
    <row r="28" spans="1:32" ht="13">
      <c r="A28" s="18">
        <f>[1]Data!A26</f>
        <v>25</v>
      </c>
      <c r="B28" s="21">
        <f>[1]Data!B26</f>
        <v>4034.12</v>
      </c>
      <c r="C28" s="21">
        <f>([1]Data!C26+C27*$C$1)^$C$2</f>
        <v>260</v>
      </c>
      <c r="D28" s="21">
        <f>[1]Data!D26</f>
        <v>40</v>
      </c>
      <c r="E28" s="21">
        <f>[1]Data!E26^$E$2</f>
        <v>0</v>
      </c>
      <c r="F28" s="20">
        <f>[1]Data!F26</f>
        <v>0.5</v>
      </c>
      <c r="G28" s="16">
        <f>[1]Data!G26</f>
        <v>66.3</v>
      </c>
      <c r="H28" s="18">
        <f>[1]Data!H26</f>
        <v>0</v>
      </c>
      <c r="U28" s="21">
        <f>$P$6*C28</f>
        <v>947.56556628093222</v>
      </c>
      <c r="V28" s="21">
        <f>$O$6*D28</f>
        <v>86.454090542978847</v>
      </c>
      <c r="W28" s="21">
        <f>$N$6*E28</f>
        <v>0</v>
      </c>
      <c r="X28" s="21">
        <f>$M$6*F28</f>
        <v>-338.65410415767803</v>
      </c>
      <c r="Y28" s="21">
        <f>$L$6*G28</f>
        <v>1687.5528999275307</v>
      </c>
      <c r="Z28" s="21">
        <f>$K$6*H28</f>
        <v>0</v>
      </c>
      <c r="AA28" s="21">
        <f>$Q$6</f>
        <v>1611.5752130492151</v>
      </c>
      <c r="AB28" s="21">
        <f>SUM(U28:AA28)</f>
        <v>3994.4936656429786</v>
      </c>
      <c r="AC28" s="21">
        <f>AB28-B28</f>
        <v>-39.626334357021278</v>
      </c>
      <c r="AD28" s="50">
        <f>AC28/B28</f>
        <v>-9.8227951466543575E-3</v>
      </c>
      <c r="AE28" s="50"/>
      <c r="AF28" s="50"/>
    </row>
    <row r="29" spans="1:32" ht="13">
      <c r="A29" s="18">
        <f>[1]Data!A27</f>
        <v>26</v>
      </c>
      <c r="B29" s="21">
        <f>[1]Data!B27</f>
        <v>4510.32</v>
      </c>
      <c r="C29" s="21">
        <f>([1]Data!C27+C28*$C$1)^$C$2</f>
        <v>278</v>
      </c>
      <c r="D29" s="21">
        <f>[1]Data!D27</f>
        <v>40</v>
      </c>
      <c r="E29" s="21">
        <f>[1]Data!E27^$E$2</f>
        <v>8.3666002653407556</v>
      </c>
      <c r="F29" s="20">
        <f>[1]Data!F27</f>
        <v>0.5</v>
      </c>
      <c r="G29" s="16">
        <f>[1]Data!G27</f>
        <v>74.400000000000006</v>
      </c>
      <c r="H29" s="18">
        <f>[1]Data!H27</f>
        <v>0</v>
      </c>
      <c r="U29" s="21">
        <f>$P$6*C29</f>
        <v>1013.1662593311505</v>
      </c>
      <c r="V29" s="21">
        <f>$O$6*D29</f>
        <v>86.454090542978847</v>
      </c>
      <c r="W29" s="21">
        <f>$N$6*E29</f>
        <v>262.36282322199577</v>
      </c>
      <c r="X29" s="21">
        <f>$M$6*F29</f>
        <v>-338.65410415767803</v>
      </c>
      <c r="Y29" s="21">
        <f>$L$6*G29</f>
        <v>1893.7245211856455</v>
      </c>
      <c r="Z29" s="21">
        <f>$K$6*H29</f>
        <v>0</v>
      </c>
      <c r="AA29" s="21">
        <f>$Q$6</f>
        <v>1611.5752130492151</v>
      </c>
      <c r="AB29" s="21">
        <f>SUM(U29:AA29)</f>
        <v>4528.6288031733075</v>
      </c>
      <c r="AC29" s="21">
        <f>AB29-B29</f>
        <v>18.308803173307751</v>
      </c>
      <c r="AD29" s="50">
        <f>AC29/B29</f>
        <v>4.0593135682851222E-3</v>
      </c>
      <c r="AE29" s="50"/>
      <c r="AF29" s="50"/>
    </row>
    <row r="30" spans="1:32" ht="13">
      <c r="A30" s="18">
        <f>[1]Data!A28</f>
        <v>27</v>
      </c>
      <c r="B30" s="21">
        <f>[1]Data!B28</f>
        <v>4436.8999999999996</v>
      </c>
      <c r="C30" s="21">
        <f>([1]Data!C28+C29*$C$1)^$C$2</f>
        <v>283.39999999999998</v>
      </c>
      <c r="D30" s="21">
        <f>[1]Data!D28</f>
        <v>50</v>
      </c>
      <c r="E30" s="21">
        <f>[1]Data!E28^$E$2</f>
        <v>8.3666002653407556</v>
      </c>
      <c r="F30" s="20">
        <f>[1]Data!F28</f>
        <v>0.5</v>
      </c>
      <c r="G30" s="16">
        <f>[1]Data!G28</f>
        <v>75.400000000000006</v>
      </c>
      <c r="H30" s="18">
        <f>[1]Data!H28</f>
        <v>0</v>
      </c>
      <c r="U30" s="21">
        <f>$P$6*C30</f>
        <v>1032.846467246216</v>
      </c>
      <c r="V30" s="21">
        <f>$O$6*D30</f>
        <v>108.06761317872355</v>
      </c>
      <c r="W30" s="21">
        <f>$N$6*E30</f>
        <v>262.36282322199577</v>
      </c>
      <c r="X30" s="21">
        <f>$M$6*F30</f>
        <v>-338.65410415767803</v>
      </c>
      <c r="Y30" s="21">
        <f>$L$6*G30</f>
        <v>1919.1778077607214</v>
      </c>
      <c r="Z30" s="21">
        <f>$K$6*H30</f>
        <v>0</v>
      </c>
      <c r="AA30" s="21">
        <f>$Q$6</f>
        <v>1611.5752130492151</v>
      </c>
      <c r="AB30" s="21">
        <f>SUM(U30:AA30)</f>
        <v>4595.3758202991939</v>
      </c>
      <c r="AC30" s="21">
        <f>AB30-B30</f>
        <v>158.47582029919431</v>
      </c>
      <c r="AD30" s="50">
        <f>AC30/B30</f>
        <v>3.5717690346682214E-2</v>
      </c>
      <c r="AE30" s="50"/>
      <c r="AF30" s="50"/>
    </row>
    <row r="31" spans="1:32" ht="13">
      <c r="A31" s="18">
        <f>[1]Data!A29</f>
        <v>28</v>
      </c>
      <c r="B31" s="21">
        <f>[1]Data!B29</f>
        <v>5427.97</v>
      </c>
      <c r="C31" s="21">
        <f>([1]Data!C29+C30*$C$1)^$C$2</f>
        <v>285.02</v>
      </c>
      <c r="D31" s="21">
        <f>[1]Data!D29</f>
        <v>50</v>
      </c>
      <c r="E31" s="21">
        <f>[1]Data!E29^$E$2</f>
        <v>8.3666002653407556</v>
      </c>
      <c r="F31" s="20">
        <f>[1]Data!F29</f>
        <v>0.5</v>
      </c>
      <c r="G31" s="16">
        <f>[1]Data!G29</f>
        <v>77.099999999999994</v>
      </c>
      <c r="H31" s="18">
        <f>[1]Data!H29</f>
        <v>1</v>
      </c>
      <c r="U31" s="21">
        <f>$P$6*C31</f>
        <v>1038.7505296207357</v>
      </c>
      <c r="V31" s="21">
        <f>$O$6*D31</f>
        <v>108.06761317872355</v>
      </c>
      <c r="W31" s="21">
        <f>$N$6*E31</f>
        <v>262.36282322199577</v>
      </c>
      <c r="X31" s="21">
        <f>$M$6*F31</f>
        <v>-338.65410415767803</v>
      </c>
      <c r="Y31" s="21">
        <f>$L$6*G31</f>
        <v>1962.44839493835</v>
      </c>
      <c r="Z31" s="21">
        <f>$K$6*H31</f>
        <v>822.49706640378611</v>
      </c>
      <c r="AA31" s="21">
        <f>$Q$6</f>
        <v>1611.5752130492151</v>
      </c>
      <c r="AB31" s="21">
        <f>SUM(U31:AA31)</f>
        <v>5467.0475362551279</v>
      </c>
      <c r="AC31" s="21">
        <f>AB31-B31</f>
        <v>39.077536255127598</v>
      </c>
      <c r="AD31" s="50">
        <f>AC31/B31</f>
        <v>7.1992911263561877E-3</v>
      </c>
      <c r="AE31" s="50"/>
      <c r="AF31" s="50"/>
    </row>
    <row r="32" spans="1:32" ht="13">
      <c r="A32" s="18">
        <f>[1]Data!A30</f>
        <v>29</v>
      </c>
      <c r="B32" s="21">
        <f>[1]Data!B30</f>
        <v>4758.76</v>
      </c>
      <c r="C32" s="21">
        <f>([1]Data!C30+C31*$C$1)^$C$2</f>
        <v>285.50599999999997</v>
      </c>
      <c r="D32" s="21">
        <f>[1]Data!D30</f>
        <v>50</v>
      </c>
      <c r="E32" s="21">
        <f>[1]Data!E30^$E$2</f>
        <v>8.3666002653407556</v>
      </c>
      <c r="F32" s="20">
        <f>[1]Data!F30</f>
        <v>0.5</v>
      </c>
      <c r="G32" s="16">
        <f>[1]Data!G30</f>
        <v>75.400000000000006</v>
      </c>
      <c r="H32" s="18">
        <f>[1]Data!H30</f>
        <v>0</v>
      </c>
      <c r="J32" s="18" t="str">
        <f>U3</f>
        <v>Newspaper Ads Adstock</v>
      </c>
      <c r="K32" s="18" t="str">
        <f>V3</f>
        <v>Search Ads</v>
      </c>
      <c r="L32" s="18" t="str">
        <f>W3</f>
        <v>Social Ads</v>
      </c>
      <c r="M32" s="18" t="str">
        <f>X3</f>
        <v>Price Change</v>
      </c>
      <c r="N32" s="18" t="str">
        <f>Y3</f>
        <v>Temperature</v>
      </c>
      <c r="O32" s="18" t="str">
        <f>Z3</f>
        <v>Holiday</v>
      </c>
      <c r="P32" s="18" t="str">
        <f>AA3</f>
        <v>Baseline</v>
      </c>
      <c r="U32" s="21">
        <f>$P$6*C32</f>
        <v>1040.5217483330914</v>
      </c>
      <c r="V32" s="21">
        <f>$O$6*D32</f>
        <v>108.06761317872355</v>
      </c>
      <c r="W32" s="21">
        <f>$N$6*E32</f>
        <v>262.36282322199577</v>
      </c>
      <c r="X32" s="21">
        <f>$M$6*F32</f>
        <v>-338.65410415767803</v>
      </c>
      <c r="Y32" s="21">
        <f>$L$6*G32</f>
        <v>1919.1778077607214</v>
      </c>
      <c r="Z32" s="21">
        <f>$K$6*H32</f>
        <v>0</v>
      </c>
      <c r="AA32" s="21">
        <f>$Q$6</f>
        <v>1611.5752130492151</v>
      </c>
      <c r="AB32" s="21">
        <f>SUM(U32:AA32)</f>
        <v>4603.0511013860687</v>
      </c>
      <c r="AC32" s="21">
        <f>AB32-B32</f>
        <v>-155.70889861393152</v>
      </c>
      <c r="AD32" s="50">
        <f>AC32/B32</f>
        <v>-3.272047731214256E-2</v>
      </c>
      <c r="AE32" s="50"/>
      <c r="AF32" s="50"/>
    </row>
    <row r="33" spans="1:32" ht="13">
      <c r="A33" s="18">
        <f>[1]Data!A31</f>
        <v>30</v>
      </c>
      <c r="B33" s="21">
        <f>[1]Data!B31</f>
        <v>4773.62</v>
      </c>
      <c r="C33" s="21">
        <f>([1]Data!C31+C32*$C$1)^$C$2</f>
        <v>285.65179999999998</v>
      </c>
      <c r="D33" s="21">
        <f>[1]Data!D31</f>
        <v>50</v>
      </c>
      <c r="E33" s="21">
        <f>[1]Data!E31^$E$2</f>
        <v>11.832159566199232</v>
      </c>
      <c r="F33" s="20">
        <f>[1]Data!F31</f>
        <v>0.5</v>
      </c>
      <c r="G33" s="16">
        <f>[1]Data!G31</f>
        <v>79.599999999999994</v>
      </c>
      <c r="H33" s="18">
        <f>[1]Data!H31</f>
        <v>0</v>
      </c>
      <c r="J33" s="21">
        <f>SUM(U4:U55)</f>
        <v>12495.370104227193</v>
      </c>
      <c r="K33" s="21">
        <f>SUM(V4:V55)</f>
        <v>2204.57930884596</v>
      </c>
      <c r="L33" s="21">
        <f>SUM(W4:W55)</f>
        <v>3275.6736700662295</v>
      </c>
      <c r="M33" s="21">
        <f>SUM(X4:X55)</f>
        <v>-3047.8869374190999</v>
      </c>
      <c r="N33" s="21">
        <f>SUM(Y4:Y55)</f>
        <v>72157.5221116826</v>
      </c>
      <c r="O33" s="21">
        <f>SUM(Z4:Z55)</f>
        <v>8224.9706640378627</v>
      </c>
      <c r="P33" s="21">
        <f>SUM(AA4:AA55)</f>
        <v>83801.911078559278</v>
      </c>
      <c r="U33" s="21">
        <f>$P$6*C33</f>
        <v>1041.0531139467982</v>
      </c>
      <c r="V33" s="21">
        <f>$O$6*D33</f>
        <v>108.06761317872355</v>
      </c>
      <c r="W33" s="21">
        <f>$N$6*E33</f>
        <v>371.03706286304117</v>
      </c>
      <c r="X33" s="21">
        <f>$M$6*F33</f>
        <v>-338.65410415767803</v>
      </c>
      <c r="Y33" s="21">
        <f>$L$6*G33</f>
        <v>2026.0816113760397</v>
      </c>
      <c r="Z33" s="21">
        <f>$K$6*H33</f>
        <v>0</v>
      </c>
      <c r="AA33" s="21">
        <f>$Q$6</f>
        <v>1611.5752130492151</v>
      </c>
      <c r="AB33" s="21">
        <f>SUM(U33:AA33)</f>
        <v>4819.1605102561398</v>
      </c>
      <c r="AC33" s="21">
        <f>AB33-B33</f>
        <v>45.540510256139896</v>
      </c>
      <c r="AD33" s="50">
        <f>AC33/B33</f>
        <v>9.5400367553638322E-3</v>
      </c>
      <c r="AE33" s="50"/>
      <c r="AF33" s="50"/>
    </row>
    <row r="34" spans="1:32" ht="13">
      <c r="A34" s="18">
        <f>[1]Data!A32</f>
        <v>31</v>
      </c>
      <c r="B34" s="21">
        <f>[1]Data!B32</f>
        <v>4866.54</v>
      </c>
      <c r="C34" s="21">
        <f>([1]Data!C32+C33*$C$1)^$C$2</f>
        <v>285.69553999999999</v>
      </c>
      <c r="D34" s="21">
        <f>[1]Data!D32</f>
        <v>50</v>
      </c>
      <c r="E34" s="21">
        <f>[1]Data!E32^$E$2</f>
        <v>11.832159566199232</v>
      </c>
      <c r="F34" s="20">
        <f>[1]Data!F32</f>
        <v>0.5</v>
      </c>
      <c r="G34" s="16">
        <f>[1]Data!G32</f>
        <v>80.2</v>
      </c>
      <c r="H34" s="18">
        <f>[1]Data!H32</f>
        <v>0</v>
      </c>
      <c r="U34" s="21">
        <f>$P$6*C34</f>
        <v>1041.2125236309105</v>
      </c>
      <c r="V34" s="21">
        <f>$O$6*D34</f>
        <v>108.06761317872355</v>
      </c>
      <c r="W34" s="21">
        <f>$N$6*E34</f>
        <v>371.03706286304117</v>
      </c>
      <c r="X34" s="21">
        <f>$M$6*F34</f>
        <v>-338.65410415767803</v>
      </c>
      <c r="Y34" s="21">
        <f>$L$6*G34</f>
        <v>2041.3535833210856</v>
      </c>
      <c r="Z34" s="21">
        <f>$K$6*H34</f>
        <v>0</v>
      </c>
      <c r="AA34" s="21">
        <f>$Q$6</f>
        <v>1611.5752130492151</v>
      </c>
      <c r="AB34" s="21">
        <f>SUM(U34:AA34)</f>
        <v>4834.5918918852985</v>
      </c>
      <c r="AC34" s="21">
        <f>AB34-B34</f>
        <v>-31.948108114701427</v>
      </c>
      <c r="AD34" s="50">
        <f>AC34/B34</f>
        <v>-6.5648506155711094E-3</v>
      </c>
      <c r="AE34" s="50"/>
      <c r="AF34" s="50"/>
    </row>
    <row r="35" spans="1:32" ht="13">
      <c r="A35" s="18">
        <f>[1]Data!A33</f>
        <v>32</v>
      </c>
      <c r="B35" s="21">
        <f>[1]Data!B33</f>
        <v>4846.53</v>
      </c>
      <c r="C35" s="21">
        <f>([1]Data!C33+C34*$C$1)^$C$2</f>
        <v>285.708662</v>
      </c>
      <c r="D35" s="21">
        <f>[1]Data!D33</f>
        <v>40</v>
      </c>
      <c r="E35" s="21">
        <f>[1]Data!E33^$E$2</f>
        <v>11.832159566199232</v>
      </c>
      <c r="F35" s="20">
        <f>[1]Data!F33</f>
        <v>0.5</v>
      </c>
      <c r="G35" s="16">
        <f>[1]Data!G33</f>
        <v>75.900000000000006</v>
      </c>
      <c r="H35" s="18">
        <f>[1]Data!H33</f>
        <v>0</v>
      </c>
      <c r="J35" s="18" t="str">
        <f t="array" ref="J35:K41">TRANSPOSE(J32:P33)</f>
        <v>Newspaper Ads Adstock</v>
      </c>
      <c r="K35" s="21">
        <v>12495.370104227193</v>
      </c>
      <c r="L35" s="50">
        <f>K35/SUM($K$35:$K$41)</f>
        <v>6.9762831845050777E-2</v>
      </c>
      <c r="U35" s="21">
        <f>$P$6*C35</f>
        <v>1041.260346536144</v>
      </c>
      <c r="V35" s="21">
        <f>$O$6*D35</f>
        <v>86.454090542978847</v>
      </c>
      <c r="W35" s="21">
        <f>$N$6*E35</f>
        <v>371.03706286304117</v>
      </c>
      <c r="X35" s="21">
        <f>$M$6*F35</f>
        <v>-338.65410415767803</v>
      </c>
      <c r="Y35" s="21">
        <f>$L$6*G35</f>
        <v>1931.9044510482593</v>
      </c>
      <c r="Z35" s="21">
        <f>$K$6*H35</f>
        <v>0</v>
      </c>
      <c r="AA35" s="21">
        <f>$Q$6</f>
        <v>1611.5752130492151</v>
      </c>
      <c r="AB35" s="21">
        <f>SUM(U35:AA35)</f>
        <v>4703.5770598819599</v>
      </c>
      <c r="AC35" s="21">
        <f>AB35-B35</f>
        <v>-142.95294011803981</v>
      </c>
      <c r="AD35" s="50">
        <f>AC35/B35</f>
        <v>-2.9495936292159505E-2</v>
      </c>
      <c r="AE35" s="50"/>
      <c r="AF35" s="50"/>
    </row>
    <row r="36" spans="1:32" ht="13">
      <c r="A36" s="18">
        <f>[1]Data!A34</f>
        <v>33</v>
      </c>
      <c r="B36" s="21">
        <f>[1]Data!B34</f>
        <v>5209.8999999999996</v>
      </c>
      <c r="C36" s="21">
        <f>([1]Data!C34+C35*$C$1)^$C$2</f>
        <v>285.71259859999998</v>
      </c>
      <c r="D36" s="21">
        <f>[1]Data!D34</f>
        <v>40</v>
      </c>
      <c r="E36" s="21">
        <f>[1]Data!E34^$E$2</f>
        <v>11.832159566199232</v>
      </c>
      <c r="F36" s="20">
        <f>[1]Data!F34</f>
        <v>-0.2</v>
      </c>
      <c r="G36" s="16">
        <f>[1]Data!G34</f>
        <v>77.3</v>
      </c>
      <c r="H36" s="18">
        <f>[1]Data!H34</f>
        <v>0</v>
      </c>
      <c r="J36" s="18" t="str">
        <v>Search Ads</v>
      </c>
      <c r="K36" s="21">
        <v>2204.57930884596</v>
      </c>
      <c r="L36" s="50">
        <f>K36/SUM($K$35:$K$41)</f>
        <v>1.2308374568278621E-2</v>
      </c>
      <c r="U36" s="21">
        <f>$P$6*C36</f>
        <v>1041.274693407714</v>
      </c>
      <c r="V36" s="21">
        <f>$O$6*D36</f>
        <v>86.454090542978847</v>
      </c>
      <c r="W36" s="21">
        <f>$N$6*E36</f>
        <v>371.03706286304117</v>
      </c>
      <c r="X36" s="21">
        <f>$M$6*F36</f>
        <v>135.46164166307122</v>
      </c>
      <c r="Y36" s="21">
        <f>$L$6*G36</f>
        <v>1967.5390522533653</v>
      </c>
      <c r="Z36" s="21">
        <f>$K$6*H36</f>
        <v>0</v>
      </c>
      <c r="AA36" s="21">
        <f>$Q$6</f>
        <v>1611.5752130492151</v>
      </c>
      <c r="AB36" s="21">
        <f>SUM(U36:AA36)</f>
        <v>5213.3417537793857</v>
      </c>
      <c r="AC36" s="21">
        <f>AB36-B36</f>
        <v>3.4417537793860902</v>
      </c>
      <c r="AD36" s="50">
        <f>AC36/B36</f>
        <v>6.6061801174419673E-4</v>
      </c>
      <c r="AE36" s="50"/>
      <c r="AF36" s="50"/>
    </row>
    <row r="37" spans="1:32" ht="13">
      <c r="A37" s="18">
        <f>[1]Data!A35</f>
        <v>34</v>
      </c>
      <c r="B37" s="21">
        <f>[1]Data!B35</f>
        <v>4831.16</v>
      </c>
      <c r="C37" s="21">
        <f>([1]Data!C35+C36*$C$1)^$C$2</f>
        <v>285.71377957999999</v>
      </c>
      <c r="D37" s="21">
        <f>[1]Data!D35</f>
        <v>40</v>
      </c>
      <c r="E37" s="21">
        <f>[1]Data!E35^$E$2</f>
        <v>5.9160797830996161</v>
      </c>
      <c r="F37" s="20">
        <f>[1]Data!F35</f>
        <v>-0.2</v>
      </c>
      <c r="G37" s="16">
        <f>[1]Data!G35</f>
        <v>72.7</v>
      </c>
      <c r="H37" s="18">
        <f>[1]Data!H35</f>
        <v>0</v>
      </c>
      <c r="J37" s="18" t="str">
        <v>Social Ads</v>
      </c>
      <c r="K37" s="21">
        <v>3275.6736700662295</v>
      </c>
      <c r="L37" s="50">
        <f>K37/SUM($K$35:$K$41)</f>
        <v>1.8288395583159405E-2</v>
      </c>
      <c r="U37" s="21">
        <f>$P$6*C37</f>
        <v>1041.278997469185</v>
      </c>
      <c r="V37" s="21">
        <f>$O$6*D37</f>
        <v>86.454090542978847</v>
      </c>
      <c r="W37" s="21">
        <f>$N$6*E37</f>
        <v>185.51853143152059</v>
      </c>
      <c r="X37" s="21">
        <f>$M$6*F37</f>
        <v>135.46164166307122</v>
      </c>
      <c r="Y37" s="21">
        <f>$L$6*G37</f>
        <v>1850.4539340080164</v>
      </c>
      <c r="Z37" s="21">
        <f>$K$6*H37</f>
        <v>0</v>
      </c>
      <c r="AA37" s="21">
        <f>$Q$6</f>
        <v>1611.5752130492151</v>
      </c>
      <c r="AB37" s="21">
        <f>SUM(U37:AA37)</f>
        <v>4910.7424081639874</v>
      </c>
      <c r="AC37" s="21">
        <f>AB37-B37</f>
        <v>79.582408163987566</v>
      </c>
      <c r="AD37" s="50">
        <f>AC37/B37</f>
        <v>1.6472732876573654E-2</v>
      </c>
      <c r="AE37" s="50"/>
      <c r="AF37" s="50"/>
    </row>
    <row r="38" spans="1:32" ht="13">
      <c r="A38" s="18">
        <f>[1]Data!A36</f>
        <v>35</v>
      </c>
      <c r="B38" s="21">
        <f>[1]Data!B36</f>
        <v>4999.6400000000003</v>
      </c>
      <c r="C38" s="21">
        <f>([1]Data!C36+C37*$C$1)^$C$2</f>
        <v>285.71413387400003</v>
      </c>
      <c r="D38" s="21">
        <f>[1]Data!D36</f>
        <v>40</v>
      </c>
      <c r="E38" s="21">
        <f>[1]Data!E36^$E$2</f>
        <v>5.9160797830996161</v>
      </c>
      <c r="F38" s="20">
        <f>[1]Data!F36</f>
        <v>-0.2</v>
      </c>
      <c r="G38" s="16">
        <f>[1]Data!G36</f>
        <v>76.7</v>
      </c>
      <c r="H38" s="18">
        <f>[1]Data!H36</f>
        <v>0</v>
      </c>
      <c r="J38" s="18" t="str">
        <v>Price Change</v>
      </c>
      <c r="K38" s="21">
        <v>-3047.8869374190999</v>
      </c>
      <c r="L38" s="50">
        <f>K38/SUM($K$35:$K$41)</f>
        <v>-1.7016640733671651E-2</v>
      </c>
      <c r="U38" s="21">
        <f>$P$6*C38</f>
        <v>1041.2802886876266</v>
      </c>
      <c r="V38" s="21">
        <f>$O$6*D38</f>
        <v>86.454090542978847</v>
      </c>
      <c r="W38" s="21">
        <f>$N$6*E38</f>
        <v>185.51853143152059</v>
      </c>
      <c r="X38" s="21">
        <f>$M$6*F38</f>
        <v>135.46164166307122</v>
      </c>
      <c r="Y38" s="21">
        <f>$L$6*G38</f>
        <v>1952.2670803083199</v>
      </c>
      <c r="Z38" s="21">
        <f>$K$6*H38</f>
        <v>0</v>
      </c>
      <c r="AA38" s="21">
        <f>$Q$6</f>
        <v>1611.5752130492151</v>
      </c>
      <c r="AB38" s="21">
        <f>SUM(U38:AA38)</f>
        <v>5012.5568456827323</v>
      </c>
      <c r="AC38" s="21">
        <f>AB38-B38</f>
        <v>12.916845682731946</v>
      </c>
      <c r="AD38" s="50">
        <f>AC38/B38</f>
        <v>2.5835551525173702E-3</v>
      </c>
      <c r="AE38" s="50"/>
      <c r="AF38" s="50"/>
    </row>
    <row r="39" spans="1:32" ht="13">
      <c r="A39" s="18">
        <f>[1]Data!A37</f>
        <v>36</v>
      </c>
      <c r="B39" s="21">
        <f>[1]Data!B37</f>
        <v>4073.66</v>
      </c>
      <c r="C39" s="21">
        <f>([1]Data!C37+C38*$C$1)^$C$2</f>
        <v>85.714240162199999</v>
      </c>
      <c r="D39" s="21">
        <f>[1]Data!D37</f>
        <v>20</v>
      </c>
      <c r="E39" s="21">
        <f>[1]Data!E37^$E$2</f>
        <v>5.9160797830996161</v>
      </c>
      <c r="F39" s="20">
        <f>[1]Data!F37</f>
        <v>-0.2</v>
      </c>
      <c r="G39" s="16">
        <f>[1]Data!G37</f>
        <v>72.7</v>
      </c>
      <c r="H39" s="18">
        <f>[1]Data!H37</f>
        <v>0</v>
      </c>
      <c r="J39" s="18" t="str">
        <v>Temperature</v>
      </c>
      <c r="K39" s="21">
        <v>72157.5221116826</v>
      </c>
      <c r="L39" s="50">
        <f>K39/SUM($K$35:$K$41)</f>
        <v>0.40286226333783176</v>
      </c>
      <c r="U39" s="21">
        <f>$P$6*C39</f>
        <v>312.38408660628795</v>
      </c>
      <c r="V39" s="21">
        <f>$O$6*D39</f>
        <v>43.227045271489423</v>
      </c>
      <c r="W39" s="21">
        <f>$N$6*E39</f>
        <v>185.51853143152059</v>
      </c>
      <c r="X39" s="21">
        <f>$M$6*F39</f>
        <v>135.46164166307122</v>
      </c>
      <c r="Y39" s="21">
        <f>$L$6*G39</f>
        <v>1850.4539340080164</v>
      </c>
      <c r="Z39" s="21">
        <f>$K$6*H39</f>
        <v>0</v>
      </c>
      <c r="AA39" s="21">
        <f>$Q$6</f>
        <v>1611.5752130492151</v>
      </c>
      <c r="AB39" s="21">
        <f>SUM(U39:AA39)</f>
        <v>4138.6204520296005</v>
      </c>
      <c r="AC39" s="21">
        <f>AB39-B39</f>
        <v>64.960452029600674</v>
      </c>
      <c r="AD39" s="50">
        <f>AC39/B39</f>
        <v>1.5946458965549574E-2</v>
      </c>
      <c r="AE39" s="50"/>
      <c r="AF39" s="50"/>
    </row>
    <row r="40" spans="1:32" ht="13">
      <c r="A40" s="18">
        <f>[1]Data!A38</f>
        <v>37</v>
      </c>
      <c r="B40" s="21">
        <f>[1]Data!B38</f>
        <v>3885.19</v>
      </c>
      <c r="C40" s="21">
        <f>([1]Data!C38+C39*$C$1)^$C$2</f>
        <v>25.71427204866</v>
      </c>
      <c r="D40" s="21">
        <f>[1]Data!D38</f>
        <v>20</v>
      </c>
      <c r="E40" s="21">
        <f>[1]Data!E38^$E$2</f>
        <v>5.9160797830996161</v>
      </c>
      <c r="F40" s="20">
        <f>[1]Data!F38</f>
        <v>-0.2</v>
      </c>
      <c r="G40" s="16">
        <f>[1]Data!G38</f>
        <v>71.7</v>
      </c>
      <c r="H40" s="18">
        <f>[1]Data!H38</f>
        <v>0</v>
      </c>
      <c r="J40" s="18" t="str">
        <v>Holiday</v>
      </c>
      <c r="K40" s="21">
        <v>8224.9706640378627</v>
      </c>
      <c r="L40" s="50">
        <f>K40/SUM($K$35:$K$41)</f>
        <v>4.5920788306353003E-2</v>
      </c>
      <c r="U40" s="21">
        <f>$P$6*C40</f>
        <v>93.715225981886377</v>
      </c>
      <c r="V40" s="21">
        <f>$O$6*D40</f>
        <v>43.227045271489423</v>
      </c>
      <c r="W40" s="21">
        <f>$N$6*E40</f>
        <v>185.51853143152059</v>
      </c>
      <c r="X40" s="21">
        <f>$M$6*F40</f>
        <v>135.46164166307122</v>
      </c>
      <c r="Y40" s="21">
        <f>$L$6*G40</f>
        <v>1825.0006474329405</v>
      </c>
      <c r="Z40" s="21">
        <f>$K$6*H40</f>
        <v>0</v>
      </c>
      <c r="AA40" s="21">
        <f>$Q$6</f>
        <v>1611.5752130492151</v>
      </c>
      <c r="AB40" s="21">
        <f>SUM(U40:AA40)</f>
        <v>3894.4983048301233</v>
      </c>
      <c r="AC40" s="21">
        <f>AB40-B40</f>
        <v>9.3083048301232338</v>
      </c>
      <c r="AD40" s="50">
        <f>AC40/B40</f>
        <v>2.3958428880243268E-3</v>
      </c>
      <c r="AE40" s="50"/>
      <c r="AF40" s="50"/>
    </row>
    <row r="41" spans="1:32" ht="13">
      <c r="A41" s="18">
        <f>[1]Data!A39</f>
        <v>38</v>
      </c>
      <c r="B41" s="21">
        <f>[1]Data!B39</f>
        <v>3395.17</v>
      </c>
      <c r="C41" s="21">
        <f>([1]Data!C39+C40*$C$1)^$C$2</f>
        <v>7.7142816145979998</v>
      </c>
      <c r="D41" s="21">
        <f>[1]Data!D39</f>
        <v>20</v>
      </c>
      <c r="E41" s="21">
        <f>[1]Data!E39^$E$2</f>
        <v>0</v>
      </c>
      <c r="F41" s="20">
        <f>[1]Data!F39</f>
        <v>-0.2</v>
      </c>
      <c r="G41" s="16">
        <f>[1]Data!G39</f>
        <v>64.5</v>
      </c>
      <c r="H41" s="18">
        <f>[1]Data!H39</f>
        <v>0</v>
      </c>
      <c r="J41" s="18" t="str">
        <v>Baseline</v>
      </c>
      <c r="K41" s="21">
        <v>83801.911078559278</v>
      </c>
      <c r="L41" s="50">
        <f>K41/SUM($K$35:$K$41)</f>
        <v>0.4678739870929981</v>
      </c>
      <c r="U41" s="21">
        <f>$P$6*C41</f>
        <v>28.114567794565914</v>
      </c>
      <c r="V41" s="21">
        <f>$O$6*D41</f>
        <v>43.227045271489423</v>
      </c>
      <c r="W41" s="21">
        <f>$N$6*E41</f>
        <v>0</v>
      </c>
      <c r="X41" s="21">
        <f>$M$6*F41</f>
        <v>135.46164166307122</v>
      </c>
      <c r="Y41" s="21">
        <f>$L$6*G41</f>
        <v>1641.7369840923941</v>
      </c>
      <c r="Z41" s="21">
        <f>$K$6*H41</f>
        <v>0</v>
      </c>
      <c r="AA41" s="21">
        <f>$Q$6</f>
        <v>1611.5752130492151</v>
      </c>
      <c r="AB41" s="21">
        <f>SUM(U41:AA41)</f>
        <v>3460.1154518707358</v>
      </c>
      <c r="AC41" s="21">
        <f>AB41-B41</f>
        <v>64.945451870735724</v>
      </c>
      <c r="AD41" s="50">
        <f>AC41/B41</f>
        <v>1.9128777607818084E-2</v>
      </c>
      <c r="AE41" s="50"/>
      <c r="AF41" s="50"/>
    </row>
    <row r="42" spans="1:32" ht="13">
      <c r="A42" s="18">
        <f>[1]Data!A40</f>
        <v>39</v>
      </c>
      <c r="B42" s="21">
        <f>[1]Data!B40</f>
        <v>3543.52</v>
      </c>
      <c r="C42" s="21">
        <f>([1]Data!C40+C41*$C$1)^$C$2</f>
        <v>2.3142844843793999</v>
      </c>
      <c r="D42" s="21">
        <f>[1]Data!D40</f>
        <v>20</v>
      </c>
      <c r="E42" s="21">
        <f>[1]Data!E40^$E$2</f>
        <v>0</v>
      </c>
      <c r="F42" s="20">
        <f>[1]Data!F40</f>
        <v>-0.2</v>
      </c>
      <c r="G42" s="16">
        <f>[1]Data!G40</f>
        <v>62.5</v>
      </c>
      <c r="H42" s="18">
        <f>[1]Data!H40</f>
        <v>0</v>
      </c>
      <c r="U42" s="21">
        <f>$P$6*C42</f>
        <v>8.4343703383697743</v>
      </c>
      <c r="V42" s="21">
        <f>$O$6*D42</f>
        <v>43.227045271489423</v>
      </c>
      <c r="W42" s="21">
        <f>$N$6*E42</f>
        <v>0</v>
      </c>
      <c r="X42" s="21">
        <f>$M$6*F42</f>
        <v>135.46164166307122</v>
      </c>
      <c r="Y42" s="21">
        <f>$L$6*G42</f>
        <v>1590.8304109422425</v>
      </c>
      <c r="Z42" s="21">
        <f>$K$6*H42</f>
        <v>0</v>
      </c>
      <c r="AA42" s="21">
        <f>$Q$6</f>
        <v>1611.5752130492151</v>
      </c>
      <c r="AB42" s="21">
        <f>SUM(U42:AA42)</f>
        <v>3389.5286812643881</v>
      </c>
      <c r="AC42" s="21">
        <f>AB42-B42</f>
        <v>-153.99131873561191</v>
      </c>
      <c r="AD42" s="50">
        <f>AC42/B42</f>
        <v>-4.3457160883983131E-2</v>
      </c>
      <c r="AE42" s="50"/>
      <c r="AF42" s="50"/>
    </row>
    <row r="43" spans="1:32" ht="13">
      <c r="A43" s="18">
        <f>[1]Data!A41</f>
        <v>40</v>
      </c>
      <c r="B43" s="21">
        <f>[1]Data!B41</f>
        <v>3318.82</v>
      </c>
      <c r="C43" s="21">
        <f>([1]Data!C41+C42*$C$1)^$C$2</f>
        <v>0.69428534531381991</v>
      </c>
      <c r="D43" s="21">
        <f>[1]Data!D41</f>
        <v>20</v>
      </c>
      <c r="E43" s="21">
        <f>[1]Data!E41^$E$2</f>
        <v>0</v>
      </c>
      <c r="F43" s="20">
        <f>[1]Data!F41</f>
        <v>-0.2</v>
      </c>
      <c r="G43" s="16">
        <f>[1]Data!G41</f>
        <v>65.5</v>
      </c>
      <c r="H43" s="18">
        <f>[1]Data!H41</f>
        <v>0</v>
      </c>
      <c r="U43" s="21">
        <f>$P$6*C43</f>
        <v>2.5303111015109319</v>
      </c>
      <c r="V43" s="21">
        <f>$O$6*D43</f>
        <v>43.227045271489423</v>
      </c>
      <c r="W43" s="21">
        <f>$N$6*E43</f>
        <v>0</v>
      </c>
      <c r="X43" s="21">
        <f>$M$6*F43</f>
        <v>135.46164166307122</v>
      </c>
      <c r="Y43" s="21">
        <f>$L$6*G43</f>
        <v>1667.19027066747</v>
      </c>
      <c r="Z43" s="21">
        <f>$K$6*H43</f>
        <v>0</v>
      </c>
      <c r="AA43" s="21">
        <f>$Q$6</f>
        <v>1611.5752130492151</v>
      </c>
      <c r="AB43" s="21">
        <f>SUM(U43:AA43)</f>
        <v>3459.9844817527564</v>
      </c>
      <c r="AC43" s="21">
        <f>AB43-B43</f>
        <v>141.16448175275627</v>
      </c>
      <c r="AD43" s="50">
        <f>AC43/B43</f>
        <v>4.2534539912606369E-2</v>
      </c>
      <c r="AE43" s="50"/>
      <c r="AF43" s="50"/>
    </row>
    <row r="44" spans="1:32" ht="13">
      <c r="A44" s="18">
        <f>[1]Data!A42</f>
        <v>41</v>
      </c>
      <c r="B44" s="21">
        <f>[1]Data!B42</f>
        <v>3439.85</v>
      </c>
      <c r="C44" s="21">
        <f>([1]Data!C42+C43*$C$1)^$C$2</f>
        <v>0.20828560359414597</v>
      </c>
      <c r="D44" s="21">
        <f>[1]Data!D42</f>
        <v>15</v>
      </c>
      <c r="E44" s="21">
        <f>[1]Data!E42^$E$2</f>
        <v>0</v>
      </c>
      <c r="F44" s="20">
        <f>[1]Data!F42</f>
        <v>-0.2</v>
      </c>
      <c r="G44" s="16">
        <f>[1]Data!G42</f>
        <v>60.9</v>
      </c>
      <c r="H44" s="18">
        <f>[1]Data!H42</f>
        <v>0</v>
      </c>
      <c r="U44" s="21">
        <f>$P$6*C44</f>
        <v>0.75909333045327954</v>
      </c>
      <c r="V44" s="21">
        <f>$O$6*D44</f>
        <v>32.420283953617066</v>
      </c>
      <c r="W44" s="21">
        <f>$N$6*E44</f>
        <v>0</v>
      </c>
      <c r="X44" s="21">
        <f>$M$6*F44</f>
        <v>135.46164166307122</v>
      </c>
      <c r="Y44" s="21">
        <f>$L$6*G44</f>
        <v>1550.1051524221209</v>
      </c>
      <c r="Z44" s="21">
        <f>$K$6*H44</f>
        <v>0</v>
      </c>
      <c r="AA44" s="21">
        <f>$Q$6</f>
        <v>1611.5752130492151</v>
      </c>
      <c r="AB44" s="21">
        <f>SUM(U44:AA44)</f>
        <v>3330.3213844184775</v>
      </c>
      <c r="AC44" s="21">
        <f>AB44-B44</f>
        <v>-109.52861558152244</v>
      </c>
      <c r="AD44" s="50">
        <f>AC44/B44</f>
        <v>-3.1841102251994255E-2</v>
      </c>
      <c r="AE44" s="50"/>
      <c r="AF44" s="50"/>
    </row>
    <row r="45" spans="1:32" ht="13">
      <c r="A45" s="18">
        <f>[1]Data!A43</f>
        <v>42</v>
      </c>
      <c r="B45" s="21">
        <f>[1]Data!B43</f>
        <v>3396.71</v>
      </c>
      <c r="C45" s="21">
        <f>([1]Data!C43+C44*$C$1)^$C$2</f>
        <v>6.2485681078243788E-2</v>
      </c>
      <c r="D45" s="21">
        <f>[1]Data!D43</f>
        <v>15</v>
      </c>
      <c r="E45" s="21">
        <f>[1]Data!E43^$E$2</f>
        <v>0</v>
      </c>
      <c r="F45" s="20">
        <f>[1]Data!F43</f>
        <v>-0.2</v>
      </c>
      <c r="G45" s="16">
        <f>[1]Data!G43</f>
        <v>58.1</v>
      </c>
      <c r="H45" s="18">
        <f>[1]Data!H43</f>
        <v>0</v>
      </c>
      <c r="U45" s="21">
        <f>$P$6*C45</f>
        <v>0.22772799913598385</v>
      </c>
      <c r="V45" s="21">
        <f>$O$6*D45</f>
        <v>32.420283953617066</v>
      </c>
      <c r="W45" s="21">
        <f>$N$6*E45</f>
        <v>0</v>
      </c>
      <c r="X45" s="21">
        <f>$M$6*F45</f>
        <v>135.46164166307122</v>
      </c>
      <c r="Y45" s="21">
        <f>$L$6*G45</f>
        <v>1478.8359500119086</v>
      </c>
      <c r="Z45" s="21">
        <f>$K$6*H45</f>
        <v>0</v>
      </c>
      <c r="AA45" s="21">
        <f>$Q$6</f>
        <v>1611.5752130492151</v>
      </c>
      <c r="AB45" s="21">
        <f>SUM(U45:AA45)</f>
        <v>3258.520816676948</v>
      </c>
      <c r="AC45" s="21">
        <f>AB45-B45</f>
        <v>-138.18918332305202</v>
      </c>
      <c r="AD45" s="50">
        <f>AC45/B45</f>
        <v>-4.0683244469811086E-2</v>
      </c>
      <c r="AE45" s="50"/>
      <c r="AF45" s="50"/>
    </row>
    <row r="46" spans="1:32" ht="13">
      <c r="A46" s="18">
        <f>[1]Data!A44</f>
        <v>43</v>
      </c>
      <c r="B46" s="21">
        <f>[1]Data!B44</f>
        <v>3249.66</v>
      </c>
      <c r="C46" s="21">
        <f>([1]Data!C44+C45*$C$1)^$C$2</f>
        <v>1.8745704323473136E-2</v>
      </c>
      <c r="D46" s="21">
        <f>[1]Data!D44</f>
        <v>15</v>
      </c>
      <c r="E46" s="21">
        <f>[1]Data!E44^$E$2</f>
        <v>0</v>
      </c>
      <c r="F46" s="20">
        <f>[1]Data!F44</f>
        <v>-0.2</v>
      </c>
      <c r="G46" s="16">
        <f>[1]Data!G44</f>
        <v>61.1</v>
      </c>
      <c r="H46" s="18">
        <f>[1]Data!H44</f>
        <v>0</v>
      </c>
      <c r="U46" s="21">
        <f>$P$6*C46</f>
        <v>6.8318399740795149E-2</v>
      </c>
      <c r="V46" s="21">
        <f>$O$6*D46</f>
        <v>32.420283953617066</v>
      </c>
      <c r="W46" s="21">
        <f>$N$6*E46</f>
        <v>0</v>
      </c>
      <c r="X46" s="21">
        <f>$M$6*F46</f>
        <v>135.46164166307122</v>
      </c>
      <c r="Y46" s="21">
        <f>$L$6*G46</f>
        <v>1555.1958097371362</v>
      </c>
      <c r="Z46" s="21">
        <f>$K$6*H46</f>
        <v>0</v>
      </c>
      <c r="AA46" s="21">
        <f>$Q$6</f>
        <v>1611.5752130492151</v>
      </c>
      <c r="AB46" s="21">
        <f>SUM(U46:AA46)</f>
        <v>3334.7212668027805</v>
      </c>
      <c r="AC46" s="21">
        <f>AB46-B46</f>
        <v>85.061266802780665</v>
      </c>
      <c r="AD46" s="50">
        <f>AC46/B46</f>
        <v>2.6175435831065609E-2</v>
      </c>
      <c r="AE46" s="50"/>
      <c r="AF46" s="50"/>
    </row>
    <row r="47" spans="1:32" ht="13">
      <c r="A47" s="18">
        <f>[1]Data!A45</f>
        <v>44</v>
      </c>
      <c r="B47" s="21">
        <f>[1]Data!B45</f>
        <v>2931.35</v>
      </c>
      <c r="C47" s="21">
        <f>([1]Data!C45+C46*$C$1)^$C$2</f>
        <v>5.6237112970419405E-3</v>
      </c>
      <c r="D47" s="21">
        <f>[1]Data!D45</f>
        <v>15</v>
      </c>
      <c r="E47" s="21">
        <f>[1]Data!E45^$E$2</f>
        <v>0</v>
      </c>
      <c r="F47" s="20">
        <f>[1]Data!F45</f>
        <v>-0.2</v>
      </c>
      <c r="G47" s="16">
        <f>[1]Data!G45</f>
        <v>50.2</v>
      </c>
      <c r="H47" s="18">
        <f>[1]Data!H45</f>
        <v>0</v>
      </c>
      <c r="U47" s="21">
        <f>$P$6*C47</f>
        <v>2.0495519922238546E-2</v>
      </c>
      <c r="V47" s="21">
        <f>$O$6*D47</f>
        <v>32.420283953617066</v>
      </c>
      <c r="W47" s="21">
        <f>$N$6*E47</f>
        <v>0</v>
      </c>
      <c r="X47" s="21">
        <f>$M$6*F47</f>
        <v>135.46164166307122</v>
      </c>
      <c r="Y47" s="21">
        <f>$L$6*G47</f>
        <v>1277.7549860688091</v>
      </c>
      <c r="Z47" s="21">
        <f>$K$6*H47</f>
        <v>0</v>
      </c>
      <c r="AA47" s="21">
        <f>$Q$6</f>
        <v>1611.5752130492151</v>
      </c>
      <c r="AB47" s="21">
        <f>SUM(U47:AA47)</f>
        <v>3057.2326202546346</v>
      </c>
      <c r="AC47" s="21">
        <f>AB47-B47</f>
        <v>125.88262025463473</v>
      </c>
      <c r="AD47" s="50">
        <f>AC47/B47</f>
        <v>4.2943565338371306E-2</v>
      </c>
      <c r="AE47" s="50"/>
      <c r="AF47" s="50"/>
    </row>
    <row r="48" spans="1:32" ht="13">
      <c r="A48" s="18">
        <f>[1]Data!A46</f>
        <v>45</v>
      </c>
      <c r="B48" s="21">
        <f>[1]Data!B46</f>
        <v>3933.05</v>
      </c>
      <c r="C48" s="21">
        <f>([1]Data!C46+C47*$C$1)^$C$2</f>
        <v>1.6871133891125821E-3</v>
      </c>
      <c r="D48" s="21">
        <f>[1]Data!D46</f>
        <v>10</v>
      </c>
      <c r="E48" s="21">
        <f>[1]Data!E46^$E$2</f>
        <v>0</v>
      </c>
      <c r="F48" s="20">
        <f>[1]Data!F46</f>
        <v>-0.2</v>
      </c>
      <c r="G48" s="16">
        <f>[1]Data!G46</f>
        <v>50.4</v>
      </c>
      <c r="H48" s="18">
        <f>[1]Data!H46</f>
        <v>1</v>
      </c>
      <c r="U48" s="21">
        <f>$P$6*C48</f>
        <v>6.1486559766715633E-3</v>
      </c>
      <c r="V48" s="21">
        <f>$O$6*D48</f>
        <v>21.613522635744712</v>
      </c>
      <c r="W48" s="21">
        <f>$N$6*E48</f>
        <v>0</v>
      </c>
      <c r="X48" s="21">
        <f>$M$6*F48</f>
        <v>135.46164166307122</v>
      </c>
      <c r="Y48" s="21">
        <f>$L$6*G48</f>
        <v>1282.8456433838242</v>
      </c>
      <c r="Z48" s="21">
        <f>$K$6*H48</f>
        <v>822.49706640378611</v>
      </c>
      <c r="AA48" s="21">
        <f>$Q$6</f>
        <v>1611.5752130492151</v>
      </c>
      <c r="AB48" s="21">
        <f>SUM(U48:AA48)</f>
        <v>3873.999235791618</v>
      </c>
      <c r="AC48" s="21">
        <f>AB48-B48</f>
        <v>-59.050764208382134</v>
      </c>
      <c r="AD48" s="50">
        <f>AC48/B48</f>
        <v>-1.501398767073445E-2</v>
      </c>
      <c r="AE48" s="50"/>
      <c r="AF48" s="50"/>
    </row>
    <row r="49" spans="1:32" ht="13">
      <c r="A49" s="18">
        <f>[1]Data!A47</f>
        <v>46</v>
      </c>
      <c r="B49" s="21">
        <f>[1]Data!B47</f>
        <v>3506.81</v>
      </c>
      <c r="C49" s="21">
        <f>([1]Data!C47+C48*$C$1)^$C$2</f>
        <v>5.0613401673377462E-4</v>
      </c>
      <c r="D49" s="21">
        <f>[1]Data!D47</f>
        <v>10</v>
      </c>
      <c r="E49" s="21">
        <f>[1]Data!E47^$E$2</f>
        <v>0</v>
      </c>
      <c r="F49" s="20">
        <f>[1]Data!F47</f>
        <v>-0.2</v>
      </c>
      <c r="G49" s="16">
        <f>[1]Data!G47</f>
        <v>55</v>
      </c>
      <c r="H49" s="18">
        <f>[1]Data!H47</f>
        <v>0</v>
      </c>
      <c r="J49" s="52" t="s">
        <v>43</v>
      </c>
      <c r="U49" s="21">
        <f>$P$6*C49</f>
        <v>1.844596793001469E-3</v>
      </c>
      <c r="V49" s="21">
        <f>$O$6*D49</f>
        <v>21.613522635744712</v>
      </c>
      <c r="W49" s="21">
        <f>$N$6*E49</f>
        <v>0</v>
      </c>
      <c r="X49" s="21">
        <f>$M$6*F49</f>
        <v>135.46164166307122</v>
      </c>
      <c r="Y49" s="21">
        <f>$L$6*G49</f>
        <v>1399.9307616291733</v>
      </c>
      <c r="Z49" s="21">
        <f>$K$6*H49</f>
        <v>0</v>
      </c>
      <c r="AA49" s="21">
        <f>$Q$6</f>
        <v>1611.5752130492151</v>
      </c>
      <c r="AB49" s="21">
        <f>SUM(U49:AA49)</f>
        <v>3168.5829835739974</v>
      </c>
      <c r="AC49" s="21">
        <f>AB49-B49</f>
        <v>-338.22701642600259</v>
      </c>
      <c r="AD49" s="50">
        <f>AC49/B49</f>
        <v>-9.6448628932278221E-2</v>
      </c>
      <c r="AE49" s="50"/>
      <c r="AF49" s="50"/>
    </row>
    <row r="50" spans="1:32" ht="13">
      <c r="A50" s="18">
        <f>[1]Data!A48</f>
        <v>47</v>
      </c>
      <c r="B50" s="21">
        <f>[1]Data!B48</f>
        <v>2818.97</v>
      </c>
      <c r="C50" s="21">
        <f>([1]Data!C48+C49*$C$1)^$C$2</f>
        <v>1.5184020502013239E-4</v>
      </c>
      <c r="D50" s="21">
        <f>[1]Data!D48</f>
        <v>10</v>
      </c>
      <c r="E50" s="21">
        <f>[1]Data!E48^$E$2</f>
        <v>0</v>
      </c>
      <c r="F50" s="20">
        <f>[1]Data!F48</f>
        <v>-0.2</v>
      </c>
      <c r="G50" s="16">
        <f>[1]Data!G48</f>
        <v>44.4</v>
      </c>
      <c r="H50" s="18">
        <f>[1]Data!H48</f>
        <v>0</v>
      </c>
      <c r="J50" s="18" t="s">
        <v>29</v>
      </c>
      <c r="K50" s="18" t="s">
        <v>42</v>
      </c>
      <c r="U50" s="21">
        <f>$P$6*C50</f>
        <v>5.5337903790044071E-4</v>
      </c>
      <c r="V50" s="21">
        <f>$O$6*D50</f>
        <v>21.613522635744712</v>
      </c>
      <c r="W50" s="21">
        <f>$N$6*E50</f>
        <v>0</v>
      </c>
      <c r="X50" s="21">
        <f>$M$6*F50</f>
        <v>135.46164166307122</v>
      </c>
      <c r="Y50" s="21">
        <f>$L$6*G50</f>
        <v>1130.125923933369</v>
      </c>
      <c r="Z50" s="21">
        <f>$K$6*H50</f>
        <v>0</v>
      </c>
      <c r="AA50" s="21">
        <f>$Q$6</f>
        <v>1611.5752130492151</v>
      </c>
      <c r="AB50" s="21">
        <f>SUM(U50:AA50)</f>
        <v>2898.7768546604379</v>
      </c>
      <c r="AC50" s="21">
        <f>AB50-B50</f>
        <v>79.806854660438148</v>
      </c>
      <c r="AD50" s="50">
        <f>AC50/B50</f>
        <v>2.83106434834135E-2</v>
      </c>
      <c r="AE50" s="50"/>
      <c r="AF50" s="50"/>
    </row>
    <row r="51" spans="1:32" ht="13">
      <c r="A51" s="18">
        <f>[1]Data!A49</f>
        <v>48</v>
      </c>
      <c r="B51" s="21">
        <f>[1]Data!B49</f>
        <v>3856.38</v>
      </c>
      <c r="C51" s="21">
        <f>([1]Data!C49+C50*$C$1)^$C$2</f>
        <v>4.5552061506039716E-5</v>
      </c>
      <c r="D51" s="21">
        <f>[1]Data!D49</f>
        <v>10</v>
      </c>
      <c r="E51" s="21">
        <f>[1]Data!E49^$E$2</f>
        <v>0</v>
      </c>
      <c r="F51" s="20">
        <f>[1]Data!F49</f>
        <v>-0.2</v>
      </c>
      <c r="G51" s="16">
        <f>[1]Data!G49</f>
        <v>48.5</v>
      </c>
      <c r="H51" s="18">
        <f>[1]Data!H49</f>
        <v>1</v>
      </c>
      <c r="J51" s="18" t="s">
        <v>41</v>
      </c>
      <c r="K51" s="18" t="s">
        <v>40</v>
      </c>
      <c r="U51" s="21">
        <f>$P$6*C51</f>
        <v>1.6601371137013222E-4</v>
      </c>
      <c r="V51" s="21">
        <f>$O$6*D51</f>
        <v>21.613522635744712</v>
      </c>
      <c r="W51" s="21">
        <f>$N$6*E51</f>
        <v>0</v>
      </c>
      <c r="X51" s="21">
        <f>$M$6*F51</f>
        <v>135.46164166307122</v>
      </c>
      <c r="Y51" s="21">
        <f>$L$6*G51</f>
        <v>1234.48439889118</v>
      </c>
      <c r="Z51" s="21">
        <f>$K$6*H51</f>
        <v>822.49706640378611</v>
      </c>
      <c r="AA51" s="21">
        <f>$Q$6</f>
        <v>1611.5752130492151</v>
      </c>
      <c r="AB51" s="21">
        <f>SUM(U51:AA51)</f>
        <v>3825.6320086567084</v>
      </c>
      <c r="AC51" s="21">
        <f>AB51-B51</f>
        <v>-30.747991343291687</v>
      </c>
      <c r="AD51" s="50">
        <f>AC51/B51</f>
        <v>-7.9732783966548135E-3</v>
      </c>
      <c r="AE51" s="50"/>
      <c r="AF51" s="50"/>
    </row>
    <row r="52" spans="1:32" ht="13">
      <c r="A52" s="18">
        <f>[1]Data!A50</f>
        <v>49</v>
      </c>
      <c r="B52" s="21">
        <f>[1]Data!B50</f>
        <v>3060.15</v>
      </c>
      <c r="C52" s="21">
        <f>([1]Data!C50+C51*$C$1)^$C$2</f>
        <v>1.3665618451811915E-5</v>
      </c>
      <c r="D52" s="21">
        <f>[1]Data!D50</f>
        <v>0</v>
      </c>
      <c r="E52" s="21">
        <f>[1]Data!E50^$E$2</f>
        <v>0</v>
      </c>
      <c r="F52" s="20">
        <f>[1]Data!F50</f>
        <v>-0.2</v>
      </c>
      <c r="G52" s="16">
        <f>[1]Data!G50</f>
        <v>44.5</v>
      </c>
      <c r="H52" s="18">
        <f>[1]Data!H50</f>
        <v>0</v>
      </c>
      <c r="J52" s="18" t="s">
        <v>14</v>
      </c>
      <c r="K52" s="18" t="s">
        <v>39</v>
      </c>
      <c r="U52" s="21">
        <f>$P$6*C52</f>
        <v>4.9804113411039667E-5</v>
      </c>
      <c r="V52" s="21">
        <f>$O$6*D52</f>
        <v>0</v>
      </c>
      <c r="W52" s="21">
        <f>$N$6*E52</f>
        <v>0</v>
      </c>
      <c r="X52" s="21">
        <f>$M$6*F52</f>
        <v>135.46164166307122</v>
      </c>
      <c r="Y52" s="21">
        <f>$L$6*G52</f>
        <v>1132.6712525908765</v>
      </c>
      <c r="Z52" s="21">
        <f>$K$6*H52</f>
        <v>0</v>
      </c>
      <c r="AA52" s="21">
        <f>$Q$6</f>
        <v>1611.5752130492151</v>
      </c>
      <c r="AB52" s="21">
        <f>SUM(U52:AA52)</f>
        <v>2879.7081571072763</v>
      </c>
      <c r="AC52" s="21">
        <f>AB52-B52</f>
        <v>-180.4418428927238</v>
      </c>
      <c r="AD52" s="50">
        <f>AC52/B52</f>
        <v>-5.8965032071213432E-2</v>
      </c>
      <c r="AE52" s="50"/>
      <c r="AF52" s="50"/>
    </row>
    <row r="53" spans="1:32" ht="13">
      <c r="A53" s="18">
        <f>[1]Data!A51</f>
        <v>50</v>
      </c>
      <c r="B53" s="21">
        <f>[1]Data!B51</f>
        <v>2761.15</v>
      </c>
      <c r="C53" s="21">
        <f>([1]Data!C51+C52*$C$1)^$C$2</f>
        <v>4.0996855355435745E-6</v>
      </c>
      <c r="D53" s="21">
        <f>[1]Data!D51</f>
        <v>0</v>
      </c>
      <c r="E53" s="21">
        <f>[1]Data!E51^$E$2</f>
        <v>0</v>
      </c>
      <c r="F53" s="20">
        <f>[1]Data!F51</f>
        <v>-0.2</v>
      </c>
      <c r="G53" s="16">
        <f>[1]Data!G51</f>
        <v>37.6</v>
      </c>
      <c r="H53" s="18">
        <f>[1]Data!H51</f>
        <v>0</v>
      </c>
      <c r="J53" s="18" t="s">
        <v>38</v>
      </c>
      <c r="K53" s="18" t="s">
        <v>37</v>
      </c>
      <c r="U53" s="21">
        <f>$P$6*C53</f>
        <v>1.49412340233119E-5</v>
      </c>
      <c r="V53" s="21">
        <f>$O$6*D53</f>
        <v>0</v>
      </c>
      <c r="W53" s="21">
        <f>$N$6*E53</f>
        <v>0</v>
      </c>
      <c r="X53" s="21">
        <f>$M$6*F53</f>
        <v>135.46164166307122</v>
      </c>
      <c r="Y53" s="21">
        <f>$L$6*G53</f>
        <v>957.04357522285306</v>
      </c>
      <c r="Z53" s="21">
        <f>$K$6*H53</f>
        <v>0</v>
      </c>
      <c r="AA53" s="21">
        <f>$Q$6</f>
        <v>1611.5752130492151</v>
      </c>
      <c r="AB53" s="21">
        <f>SUM(U53:AA53)</f>
        <v>2704.0804448763733</v>
      </c>
      <c r="AC53" s="21">
        <f>AB53-B53</f>
        <v>-57.069555123626742</v>
      </c>
      <c r="AD53" s="50">
        <f>AC53/B53</f>
        <v>-2.0668763060183889E-2</v>
      </c>
      <c r="AE53" s="50"/>
      <c r="AF53" s="50"/>
    </row>
    <row r="54" spans="1:32" ht="13">
      <c r="A54" s="18">
        <f>[1]Data!A52</f>
        <v>51</v>
      </c>
      <c r="B54" s="21">
        <f>[1]Data!B52</f>
        <v>2323.12</v>
      </c>
      <c r="C54" s="21">
        <f>([1]Data!C52+C53*$C$1)^$C$2</f>
        <v>1.2299056606630723E-6</v>
      </c>
      <c r="D54" s="21">
        <f>[1]Data!D52</f>
        <v>0</v>
      </c>
      <c r="E54" s="21">
        <f>[1]Data!E52^$E$2</f>
        <v>0</v>
      </c>
      <c r="F54" s="20">
        <f>[1]Data!F52</f>
        <v>-0.2</v>
      </c>
      <c r="G54" s="16">
        <f>[1]Data!G52</f>
        <v>32.799999999999997</v>
      </c>
      <c r="H54" s="18">
        <f>[1]Data!H52</f>
        <v>0</v>
      </c>
      <c r="J54" s="18" t="s">
        <v>36</v>
      </c>
      <c r="K54" s="18" t="s">
        <v>35</v>
      </c>
      <c r="U54" s="21">
        <f>$P$6*C54</f>
        <v>4.4823702069935698E-6</v>
      </c>
      <c r="V54" s="21">
        <f>$O$6*D54</f>
        <v>0</v>
      </c>
      <c r="W54" s="21">
        <f>$N$6*E54</f>
        <v>0</v>
      </c>
      <c r="X54" s="21">
        <f>$M$6*F54</f>
        <v>135.46164166307122</v>
      </c>
      <c r="Y54" s="21">
        <f>$L$6*G54</f>
        <v>834.86779966248878</v>
      </c>
      <c r="Z54" s="21">
        <f>$K$6*H54</f>
        <v>0</v>
      </c>
      <c r="AA54" s="21">
        <f>$Q$6</f>
        <v>1611.5752130492151</v>
      </c>
      <c r="AB54" s="21">
        <f>SUM(U54:AA54)</f>
        <v>2581.9046588571455</v>
      </c>
      <c r="AC54" s="21">
        <f>AB54-B54</f>
        <v>258.78465885714559</v>
      </c>
      <c r="AD54" s="50">
        <f>AC54/B54</f>
        <v>0.11139530409843039</v>
      </c>
      <c r="AE54" s="50"/>
      <c r="AF54" s="50"/>
    </row>
    <row r="55" spans="1:32" ht="13">
      <c r="A55" s="18">
        <f>[1]Data!A53</f>
        <v>52</v>
      </c>
      <c r="B55" s="21">
        <f>[1]Data!B53</f>
        <v>3577.04</v>
      </c>
      <c r="C55" s="21">
        <f>([1]Data!C53+C54*$C$1)^$C$2</f>
        <v>3.6897169819892168E-7</v>
      </c>
      <c r="D55" s="21">
        <f>[1]Data!D53</f>
        <v>0</v>
      </c>
      <c r="E55" s="21">
        <f>[1]Data!E53^$E$2</f>
        <v>0</v>
      </c>
      <c r="F55" s="20">
        <f>[1]Data!F53</f>
        <v>-0.2</v>
      </c>
      <c r="G55" s="16">
        <f>[1]Data!G53</f>
        <v>35.9</v>
      </c>
      <c r="H55" s="18">
        <f>[1]Data!H53</f>
        <v>1</v>
      </c>
      <c r="U55" s="21">
        <f>$P$6*C55</f>
        <v>1.3447110620980709E-6</v>
      </c>
      <c r="V55" s="21">
        <f>$O$6*D55</f>
        <v>0</v>
      </c>
      <c r="W55" s="21">
        <f>$N$6*E55</f>
        <v>0</v>
      </c>
      <c r="X55" s="21">
        <f>$M$6*F55</f>
        <v>135.46164166307122</v>
      </c>
      <c r="Y55" s="21">
        <f>$L$6*G55</f>
        <v>913.772988045224</v>
      </c>
      <c r="Z55" s="21">
        <f>$K$6*H55</f>
        <v>822.49706640378611</v>
      </c>
      <c r="AA55" s="21">
        <f>$Q$6</f>
        <v>1611.5752130492151</v>
      </c>
      <c r="AB55" s="21">
        <f>SUM(U55:AA55)</f>
        <v>3483.3069105060076</v>
      </c>
      <c r="AC55" s="21">
        <f>AB55-B55</f>
        <v>-93.733089493992338</v>
      </c>
      <c r="AD55" s="50">
        <f>AC55/B55</f>
        <v>-2.6204093187102279E-2</v>
      </c>
      <c r="AE55" s="50"/>
      <c r="AF55" s="50"/>
    </row>
  </sheetData>
  <conditionalFormatting sqref="K15:Q15 K22">
    <cfRule type="containsText" dxfId="4" priority="1" operator="containsText" text="FALSE">
      <formula>NOT(ISERROR(SEARCH(("FALSE"),(K15))))</formula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12D3C-71B1-7A4C-B0A0-977BC52F2F69}">
  <sheetPr>
    <outlinePr summaryBelow="0" summaryRight="0"/>
  </sheetPr>
  <dimension ref="C3:E21"/>
  <sheetViews>
    <sheetView topLeftCell="A16" workbookViewId="0">
      <selection activeCell="K48" sqref="K48"/>
    </sheetView>
  </sheetViews>
  <sheetFormatPr baseColWidth="10" defaultColWidth="14.5" defaultRowHeight="15.75" customHeight="1"/>
  <cols>
    <col min="1" max="16384" width="14.5" style="15"/>
  </cols>
  <sheetData>
    <row r="3" spans="3:5" ht="15.75" customHeight="1">
      <c r="C3" s="18" t="s">
        <v>48</v>
      </c>
      <c r="D3" s="18" t="s">
        <v>47</v>
      </c>
      <c r="E3" s="18" t="s">
        <v>46</v>
      </c>
    </row>
    <row r="4" spans="3:5" ht="15.75" customHeight="1">
      <c r="C4" s="55">
        <v>30</v>
      </c>
      <c r="D4" s="18">
        <f>C4^Model!$E$2*Model!$N$6</f>
        <v>171.75678527958763</v>
      </c>
      <c r="E4" s="20">
        <f>D4/C4</f>
        <v>5.7252261759862542</v>
      </c>
    </row>
    <row r="5" spans="3:5" ht="15.75" customHeight="1">
      <c r="C5" s="20">
        <f>C4+10</f>
        <v>40</v>
      </c>
      <c r="D5" s="18">
        <f>C5^Model!$E$2*Model!$N$6</f>
        <v>198.32765243262935</v>
      </c>
      <c r="E5" s="20">
        <f>D5/C5</f>
        <v>4.9581913108157334</v>
      </c>
    </row>
    <row r="6" spans="3:5" ht="15.75" customHeight="1">
      <c r="C6" s="20">
        <f>C5+10</f>
        <v>50</v>
      </c>
      <c r="D6" s="18">
        <f>C6^Model!$E$2*Model!$N$6</f>
        <v>221.73705632865537</v>
      </c>
      <c r="E6" s="20">
        <f>D6/C6</f>
        <v>4.4347411265731074</v>
      </c>
    </row>
    <row r="7" spans="3:5" ht="15.75" customHeight="1">
      <c r="C7" s="20">
        <f>C6+10</f>
        <v>60</v>
      </c>
      <c r="D7" s="18">
        <f>C7^Model!$E$2*Model!$N$6</f>
        <v>242.9007751719964</v>
      </c>
      <c r="E7" s="20">
        <f>D7/C7</f>
        <v>4.0483462528666063</v>
      </c>
    </row>
    <row r="8" spans="3:5" ht="15.75" customHeight="1">
      <c r="C8" s="20">
        <f>C7+10</f>
        <v>70</v>
      </c>
      <c r="D8" s="18">
        <f>C8^Model!$E$2*Model!$N$6</f>
        <v>262.36282322199577</v>
      </c>
      <c r="E8" s="20">
        <f>D8/C8</f>
        <v>3.7480403317427968</v>
      </c>
    </row>
    <row r="9" spans="3:5" ht="15.75" customHeight="1">
      <c r="C9" s="20">
        <f>C8+10</f>
        <v>80</v>
      </c>
      <c r="D9" s="18">
        <f>C9^Model!$E$2*Model!$N$6</f>
        <v>280.47765586384179</v>
      </c>
      <c r="E9" s="20">
        <f>D9/C9</f>
        <v>3.5059706982980225</v>
      </c>
    </row>
    <row r="10" spans="3:5" ht="15.75" customHeight="1">
      <c r="C10" s="20">
        <f>C9+10</f>
        <v>90</v>
      </c>
      <c r="D10" s="18">
        <f>C10^Model!$E$2*Model!$N$6</f>
        <v>297.491478648944</v>
      </c>
      <c r="E10" s="20">
        <f>D10/C10</f>
        <v>3.3054608738771556</v>
      </c>
    </row>
    <row r="11" spans="3:5" ht="15.75" customHeight="1">
      <c r="C11" s="20">
        <f>C10+10</f>
        <v>100</v>
      </c>
      <c r="D11" s="18">
        <f>C11^Model!$E$2*Model!$N$6</f>
        <v>313.5835523406713</v>
      </c>
      <c r="E11" s="20">
        <f>D11/C11</f>
        <v>3.1358355234067132</v>
      </c>
    </row>
    <row r="12" spans="3:5" ht="15.75" customHeight="1">
      <c r="C12" s="20">
        <f>C11+10</f>
        <v>110</v>
      </c>
      <c r="D12" s="18">
        <f>C12^Model!$E$2*Model!$N$6</f>
        <v>328.88920433552391</v>
      </c>
      <c r="E12" s="20">
        <f>D12/C12</f>
        <v>2.989901857595672</v>
      </c>
    </row>
    <row r="13" spans="3:5" ht="15.75" customHeight="1">
      <c r="C13" s="20">
        <f>C12+10</f>
        <v>120</v>
      </c>
      <c r="D13" s="18">
        <f>C13^Model!$E$2*Model!$N$6</f>
        <v>343.51357055917526</v>
      </c>
      <c r="E13" s="20">
        <f>D13/C13</f>
        <v>2.8626130879931271</v>
      </c>
    </row>
    <row r="14" spans="3:5" ht="15.75" customHeight="1">
      <c r="C14" s="20">
        <f>C13+10</f>
        <v>130</v>
      </c>
      <c r="D14" s="18">
        <f>C14^Model!$E$2*Model!$N$6</f>
        <v>357.54026009412269</v>
      </c>
      <c r="E14" s="20">
        <f>D14/C14</f>
        <v>2.750309693031713</v>
      </c>
    </row>
    <row r="15" spans="3:5" ht="15.75" customHeight="1">
      <c r="C15" s="20">
        <f>C14+10</f>
        <v>140</v>
      </c>
      <c r="D15" s="18">
        <f>C15^Model!$E$2*Model!$N$6</f>
        <v>371.03706286304117</v>
      </c>
      <c r="E15" s="20">
        <f>D15/C15</f>
        <v>2.6502647347360084</v>
      </c>
    </row>
    <row r="16" spans="3:5" ht="15.75" customHeight="1">
      <c r="C16" s="20">
        <f>C15+10</f>
        <v>150</v>
      </c>
      <c r="D16" s="18">
        <f>C16^Model!$E$2*Model!$N$6</f>
        <v>384.05984748199313</v>
      </c>
      <c r="E16" s="20">
        <f>D16/C16</f>
        <v>2.5603989832132874</v>
      </c>
    </row>
    <row r="17" spans="3:5" ht="15.75" customHeight="1">
      <c r="C17" s="20">
        <f>C16+10</f>
        <v>160</v>
      </c>
      <c r="D17" s="18">
        <f>C17^Model!$E$2*Model!$N$6</f>
        <v>396.6553048652587</v>
      </c>
      <c r="E17" s="20">
        <f>D17/C17</f>
        <v>2.4790956554078667</v>
      </c>
    </row>
    <row r="18" spans="3:5" ht="15.75" customHeight="1">
      <c r="C18" s="20">
        <f>C17+10</f>
        <v>170</v>
      </c>
      <c r="D18" s="18">
        <f>C18^Model!$E$2*Model!$N$6</f>
        <v>408.86292973025905</v>
      </c>
      <c r="E18" s="20">
        <f>D18/C18</f>
        <v>2.4050760572368182</v>
      </c>
    </row>
    <row r="19" spans="3:5" ht="15.75" customHeight="1">
      <c r="C19" s="20">
        <f>C18+10</f>
        <v>180</v>
      </c>
      <c r="D19" s="18">
        <f>C19^Model!$E$2*Model!$N$6</f>
        <v>420.71648379576266</v>
      </c>
      <c r="E19" s="20">
        <f>D19/C19</f>
        <v>2.3373137988653481</v>
      </c>
    </row>
    <row r="20" spans="3:5" ht="15.75" customHeight="1">
      <c r="C20" s="20">
        <f>C19+10</f>
        <v>190</v>
      </c>
      <c r="D20" s="18">
        <f>C20^Model!$E$2*Model!$N$6</f>
        <v>432.24509733174494</v>
      </c>
      <c r="E20" s="20">
        <f>D20/C20</f>
        <v>2.274974196482868</v>
      </c>
    </row>
    <row r="21" spans="3:5" ht="15.75" customHeight="1">
      <c r="C21" s="20">
        <f>C20+10</f>
        <v>200</v>
      </c>
      <c r="D21" s="18">
        <f>C21^Model!$E$2*Model!$N$6</f>
        <v>443.47411265731074</v>
      </c>
      <c r="E21" s="20">
        <f>D21/C21</f>
        <v>2.2173705632865537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BEA3-2AFC-734F-B7CE-AC40C541B617}">
  <sheetPr>
    <outlinePr summaryBelow="0" summaryRight="0"/>
  </sheetPr>
  <dimension ref="A1:AI95"/>
  <sheetViews>
    <sheetView tabSelected="1" topLeftCell="J1" workbookViewId="0">
      <selection activeCell="P31" sqref="P31"/>
    </sheetView>
  </sheetViews>
  <sheetFormatPr baseColWidth="10" defaultColWidth="14.5" defaultRowHeight="15.75" customHeight="1"/>
  <cols>
    <col min="1" max="8" width="14.5" style="15"/>
    <col min="9" max="11" width="16.5" style="15" customWidth="1"/>
    <col min="12" max="12" width="14.5" style="15"/>
    <col min="13" max="13" width="33.1640625" style="15" customWidth="1"/>
    <col min="14" max="16384" width="14.5" style="15"/>
  </cols>
  <sheetData>
    <row r="1" spans="1:35" ht="13">
      <c r="A1" s="18"/>
      <c r="B1" s="18"/>
      <c r="C1" s="18"/>
      <c r="D1" s="18"/>
      <c r="E1" s="18"/>
      <c r="F1" s="18"/>
      <c r="G1" s="18"/>
      <c r="H1" s="18"/>
      <c r="I1" s="60">
        <v>0.3</v>
      </c>
      <c r="J1" s="60">
        <v>0</v>
      </c>
      <c r="K1" s="60">
        <v>0</v>
      </c>
      <c r="L1" s="52" t="s">
        <v>88</v>
      </c>
      <c r="W1" s="52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</row>
    <row r="2" spans="1:35" ht="13">
      <c r="A2" s="18"/>
      <c r="B2" s="18"/>
      <c r="C2" s="18"/>
      <c r="D2" s="18"/>
      <c r="E2" s="18"/>
      <c r="F2" s="18"/>
      <c r="G2" s="18"/>
      <c r="H2" s="18"/>
      <c r="I2" s="60">
        <v>1</v>
      </c>
      <c r="J2" s="60">
        <v>1</v>
      </c>
      <c r="K2" s="60">
        <v>0.6</v>
      </c>
      <c r="L2" s="52" t="s">
        <v>36</v>
      </c>
      <c r="W2" s="52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</row>
    <row r="3" spans="1:35" ht="33.75" customHeight="1">
      <c r="A3" s="59" t="s">
        <v>0</v>
      </c>
      <c r="B3" s="59" t="s">
        <v>1</v>
      </c>
      <c r="C3" s="59" t="s">
        <v>2</v>
      </c>
      <c r="D3" s="59" t="s">
        <v>3</v>
      </c>
      <c r="E3" s="59" t="s">
        <v>4</v>
      </c>
      <c r="F3" s="59" t="s">
        <v>5</v>
      </c>
      <c r="G3" s="59" t="s">
        <v>6</v>
      </c>
      <c r="H3" s="59" t="s">
        <v>7</v>
      </c>
      <c r="I3" s="54" t="str">
        <f>C3&amp;", AR="&amp;I1&amp;", DR="&amp;I2</f>
        <v>Newspaper Ads, AR=0.3, DR=1</v>
      </c>
      <c r="J3" s="54" t="str">
        <f>D3&amp;", AR="&amp;J1&amp;", DR="&amp;J2</f>
        <v>Search Ads, AR=0, DR=1</v>
      </c>
      <c r="K3" s="54" t="str">
        <f>E3&amp;", AR="&amp;K1&amp;", DR="&amp;K2</f>
        <v>Social Ads, AR=0, DR=0.6</v>
      </c>
      <c r="W3" s="52" t="s">
        <v>45</v>
      </c>
      <c r="X3" s="59" t="str">
        <f>N41</f>
        <v>Social Ads, AR=0, DR=0.6</v>
      </c>
      <c r="Y3" s="59" t="str">
        <f>O41</f>
        <v>Search Ads, AR=0, DR=1</v>
      </c>
      <c r="Z3" s="59" t="str">
        <f>P41</f>
        <v>Newspaper Ads, AR=0.3, DR=1</v>
      </c>
      <c r="AA3" s="59" t="str">
        <f>Q41</f>
        <v>Holiday</v>
      </c>
      <c r="AB3" s="59" t="str">
        <f>R41</f>
        <v>Temperature</v>
      </c>
      <c r="AC3" s="59" t="str">
        <f>S41</f>
        <v>Price Change</v>
      </c>
      <c r="AD3" s="59" t="str">
        <f>T41</f>
        <v>Baseline</v>
      </c>
      <c r="AE3" s="59" t="s">
        <v>34</v>
      </c>
      <c r="AF3" s="59" t="s">
        <v>33</v>
      </c>
      <c r="AG3" s="59" t="s">
        <v>44</v>
      </c>
      <c r="AH3" s="59" t="s">
        <v>87</v>
      </c>
      <c r="AI3" s="18"/>
    </row>
    <row r="4" spans="1:35" ht="13">
      <c r="A4" s="18">
        <v>1</v>
      </c>
      <c r="B4" s="21">
        <v>3302.99</v>
      </c>
      <c r="C4" s="21">
        <v>0</v>
      </c>
      <c r="D4" s="21">
        <v>0</v>
      </c>
      <c r="E4" s="21">
        <v>0</v>
      </c>
      <c r="F4" s="20">
        <v>0</v>
      </c>
      <c r="G4" s="16">
        <v>39.799999999999997</v>
      </c>
      <c r="H4" s="18">
        <v>1</v>
      </c>
      <c r="I4" s="57">
        <f>C4^$I$2</f>
        <v>0</v>
      </c>
      <c r="J4" s="57">
        <f>D4^$J$2</f>
        <v>0</v>
      </c>
      <c r="K4" s="57">
        <f>E4^$K$2</f>
        <v>0</v>
      </c>
      <c r="X4" s="21">
        <f>$N$42*K4</f>
        <v>0</v>
      </c>
      <c r="Y4" s="21">
        <f>$O$42*J4</f>
        <v>0</v>
      </c>
      <c r="Z4" s="21">
        <f>$P$42*I4</f>
        <v>0</v>
      </c>
      <c r="AA4" s="21">
        <f>$Q$42*H4</f>
        <v>822.96782381786284</v>
      </c>
      <c r="AB4" s="21">
        <f>$R$42*G4</f>
        <v>1019.1366380201298</v>
      </c>
      <c r="AC4" s="21">
        <f>$S$42*F4</f>
        <v>0</v>
      </c>
      <c r="AD4" s="21">
        <f>$T$42</f>
        <v>1605.4931803061395</v>
      </c>
      <c r="AE4" s="21">
        <f>SUM(X4:AD4)</f>
        <v>3447.5976421441319</v>
      </c>
      <c r="AF4" s="21">
        <f>AE4-B4</f>
        <v>144.60764214413211</v>
      </c>
      <c r="AG4" s="50">
        <f>AF4/B4</f>
        <v>4.3780829534492118E-2</v>
      </c>
      <c r="AH4" s="51">
        <f>AF4^2</f>
        <v>20911.370166485376</v>
      </c>
      <c r="AI4" s="50"/>
    </row>
    <row r="5" spans="1:35" ht="13">
      <c r="A5" s="18">
        <v>2</v>
      </c>
      <c r="B5" s="21">
        <v>2706.27</v>
      </c>
      <c r="C5" s="21">
        <v>0</v>
      </c>
      <c r="D5" s="21">
        <v>0</v>
      </c>
      <c r="E5" s="21">
        <v>0</v>
      </c>
      <c r="F5" s="20">
        <v>0</v>
      </c>
      <c r="G5" s="16">
        <v>37.299999999999997</v>
      </c>
      <c r="H5" s="18">
        <v>0</v>
      </c>
      <c r="I5" s="57">
        <f>(I4*$I$1+C5)^$I$2</f>
        <v>0</v>
      </c>
      <c r="J5" s="57">
        <f>(J4*$J$1+D5)^$J$2</f>
        <v>0</v>
      </c>
      <c r="K5" s="57">
        <f>(K4*$K$1+E5)^$K$2</f>
        <v>0</v>
      </c>
      <c r="X5" s="21">
        <f>$N$42*K5</f>
        <v>0</v>
      </c>
      <c r="Y5" s="21">
        <f>$O$42*J5</f>
        <v>0</v>
      </c>
      <c r="Z5" s="21">
        <f>$P$42*I5</f>
        <v>0</v>
      </c>
      <c r="AA5" s="21">
        <f>$Q$42*H5</f>
        <v>0</v>
      </c>
      <c r="AB5" s="21">
        <f>$R$42*G5</f>
        <v>955.12051754147842</v>
      </c>
      <c r="AC5" s="21">
        <f>$S$42*F5</f>
        <v>0</v>
      </c>
      <c r="AD5" s="21">
        <f>$T$42</f>
        <v>1605.4931803061395</v>
      </c>
      <c r="AE5" s="21">
        <f>SUM(X5:AD5)</f>
        <v>2560.6136978476179</v>
      </c>
      <c r="AF5" s="21">
        <f>AE5-B5</f>
        <v>-145.65630215238207</v>
      </c>
      <c r="AG5" s="50">
        <f>AF5/B5</f>
        <v>-5.3821792412576008E-2</v>
      </c>
      <c r="AH5" s="51">
        <f>AF5^2</f>
        <v>21215.758356706021</v>
      </c>
      <c r="AI5" s="50"/>
    </row>
    <row r="6" spans="1:35" ht="13">
      <c r="A6" s="18">
        <v>3</v>
      </c>
      <c r="B6" s="21">
        <v>2330.41</v>
      </c>
      <c r="C6" s="21">
        <v>0</v>
      </c>
      <c r="D6" s="21">
        <v>0</v>
      </c>
      <c r="E6" s="21">
        <v>0</v>
      </c>
      <c r="F6" s="20">
        <v>0</v>
      </c>
      <c r="G6" s="16">
        <v>38.6</v>
      </c>
      <c r="H6" s="18">
        <v>0</v>
      </c>
      <c r="I6" s="57">
        <f>(I5*$I$1+C6)^$I$2</f>
        <v>0</v>
      </c>
      <c r="J6" s="57">
        <f>(J5*$J$1+D6)^$J$2</f>
        <v>0</v>
      </c>
      <c r="K6" s="57">
        <f>(K5*$K$1+E6)^$K$2</f>
        <v>0</v>
      </c>
      <c r="X6" s="21">
        <f>$N$42*K6</f>
        <v>0</v>
      </c>
      <c r="Y6" s="21">
        <f>$O$42*J6</f>
        <v>0</v>
      </c>
      <c r="Z6" s="21">
        <f>$P$42*I6</f>
        <v>0</v>
      </c>
      <c r="AA6" s="21">
        <f>$Q$42*H6</f>
        <v>0</v>
      </c>
      <c r="AB6" s="21">
        <f>$R$42*G6</f>
        <v>988.40890019037727</v>
      </c>
      <c r="AC6" s="21">
        <f>$S$42*F6</f>
        <v>0</v>
      </c>
      <c r="AD6" s="21">
        <f>$T$42</f>
        <v>1605.4931803061395</v>
      </c>
      <c r="AE6" s="21">
        <f>SUM(X6:AD6)</f>
        <v>2593.9020804965166</v>
      </c>
      <c r="AF6" s="21">
        <f>AE6-B6</f>
        <v>263.49208049651679</v>
      </c>
      <c r="AG6" s="50">
        <f>AF6/B6</f>
        <v>0.11306683394617978</v>
      </c>
      <c r="AH6" s="51">
        <f>AF6^2</f>
        <v>69428.07648438288</v>
      </c>
      <c r="AI6" s="50"/>
    </row>
    <row r="7" spans="1:35" ht="13">
      <c r="A7" s="18">
        <v>4</v>
      </c>
      <c r="B7" s="21">
        <v>2351.63</v>
      </c>
      <c r="C7" s="21">
        <v>0</v>
      </c>
      <c r="D7" s="21">
        <v>0</v>
      </c>
      <c r="E7" s="21">
        <v>0</v>
      </c>
      <c r="F7" s="20">
        <v>0</v>
      </c>
      <c r="G7" s="16">
        <v>32.299999999999997</v>
      </c>
      <c r="H7" s="18">
        <v>0</v>
      </c>
      <c r="I7" s="57">
        <f>(I6*$I$1+C7)^$I$2</f>
        <v>0</v>
      </c>
      <c r="J7" s="57">
        <f>(J6*$J$1+D7)^$J$2</f>
        <v>0</v>
      </c>
      <c r="K7" s="57">
        <f>(K6*$K$1+E7)^$K$2</f>
        <v>0</v>
      </c>
      <c r="X7" s="21">
        <f>$N$42*K7</f>
        <v>0</v>
      </c>
      <c r="Y7" s="21">
        <f>$O$42*J7</f>
        <v>0</v>
      </c>
      <c r="Z7" s="21">
        <f>$P$42*I7</f>
        <v>0</v>
      </c>
      <c r="AA7" s="21">
        <f>$Q$42*H7</f>
        <v>0</v>
      </c>
      <c r="AB7" s="21">
        <f>$R$42*G7</f>
        <v>827.08827658417567</v>
      </c>
      <c r="AC7" s="21">
        <f>$S$42*F7</f>
        <v>0</v>
      </c>
      <c r="AD7" s="21">
        <f>$T$42</f>
        <v>1605.4931803061395</v>
      </c>
      <c r="AE7" s="21">
        <f>SUM(X7:AD7)</f>
        <v>2432.5814568903152</v>
      </c>
      <c r="AF7" s="21">
        <f>AE7-B7</f>
        <v>80.951456890315058</v>
      </c>
      <c r="AG7" s="50">
        <f>AF7/B7</f>
        <v>3.4423551702570158E-2</v>
      </c>
      <c r="AH7" s="51">
        <f>AF7^2</f>
        <v>6553.1383726645372</v>
      </c>
      <c r="AI7" s="50"/>
    </row>
    <row r="8" spans="1:35" ht="13">
      <c r="A8" s="18">
        <v>5</v>
      </c>
      <c r="B8" s="21">
        <v>2398.48</v>
      </c>
      <c r="C8" s="21">
        <v>0</v>
      </c>
      <c r="D8" s="21">
        <v>10</v>
      </c>
      <c r="E8" s="21">
        <v>0</v>
      </c>
      <c r="F8" s="20">
        <v>0</v>
      </c>
      <c r="G8" s="16">
        <v>34.9</v>
      </c>
      <c r="H8" s="18">
        <v>0</v>
      </c>
      <c r="I8" s="57">
        <f>(I7*$I$1+C8)^$I$2</f>
        <v>0</v>
      </c>
      <c r="J8" s="57">
        <f>(J7*$J$1+D8)^$J$2</f>
        <v>10</v>
      </c>
      <c r="K8" s="57">
        <f>(K7*$K$1+E8)^$K$2</f>
        <v>0</v>
      </c>
      <c r="X8" s="21">
        <f>$N$42*K8</f>
        <v>0</v>
      </c>
      <c r="Y8" s="21">
        <f>$O$42*J8</f>
        <v>21.188725054429007</v>
      </c>
      <c r="Z8" s="21">
        <f>$P$42*I8</f>
        <v>0</v>
      </c>
      <c r="AA8" s="21">
        <f>$Q$42*H8</f>
        <v>0</v>
      </c>
      <c r="AB8" s="21">
        <f>$R$42*G8</f>
        <v>893.66504188197314</v>
      </c>
      <c r="AC8" s="21">
        <f>$S$42*F8</f>
        <v>0</v>
      </c>
      <c r="AD8" s="21">
        <f>$T$42</f>
        <v>1605.4931803061395</v>
      </c>
      <c r="AE8" s="21">
        <f>SUM(X8:AD8)</f>
        <v>2520.3469472425418</v>
      </c>
      <c r="AF8" s="21">
        <f>AE8-B8</f>
        <v>121.86694724254176</v>
      </c>
      <c r="AG8" s="50">
        <f>AF8/B8</f>
        <v>5.0810074398177911E-2</v>
      </c>
      <c r="AH8" s="51">
        <f>AF8^2</f>
        <v>14851.552830216455</v>
      </c>
      <c r="AI8" s="50"/>
    </row>
    <row r="9" spans="1:35" ht="13">
      <c r="A9" s="18">
        <v>6</v>
      </c>
      <c r="B9" s="21">
        <v>2611.66</v>
      </c>
      <c r="C9" s="21">
        <v>0</v>
      </c>
      <c r="D9" s="21">
        <v>10</v>
      </c>
      <c r="E9" s="21">
        <v>0</v>
      </c>
      <c r="F9" s="20">
        <v>0</v>
      </c>
      <c r="G9" s="16">
        <v>38.700000000000003</v>
      </c>
      <c r="H9" s="18">
        <v>0</v>
      </c>
      <c r="I9" s="57">
        <f>(I8*$I$1+C9)^$I$2</f>
        <v>0</v>
      </c>
      <c r="J9" s="57">
        <f>(J8*$J$1+D9)^$J$2</f>
        <v>10</v>
      </c>
      <c r="K9" s="57">
        <f>(K8*$K$1+E9)^$K$2</f>
        <v>0</v>
      </c>
      <c r="X9" s="21">
        <f>$N$42*K9</f>
        <v>0</v>
      </c>
      <c r="Y9" s="21">
        <f>$O$42*J9</f>
        <v>21.188725054429007</v>
      </c>
      <c r="Z9" s="21">
        <f>$P$42*I9</f>
        <v>0</v>
      </c>
      <c r="AA9" s="21">
        <f>$Q$42*H9</f>
        <v>0</v>
      </c>
      <c r="AB9" s="21">
        <f>$R$42*G9</f>
        <v>990.96954500952336</v>
      </c>
      <c r="AC9" s="21">
        <f>$S$42*F9</f>
        <v>0</v>
      </c>
      <c r="AD9" s="21">
        <f>$T$42</f>
        <v>1605.4931803061395</v>
      </c>
      <c r="AE9" s="21">
        <f>SUM(X9:AD9)</f>
        <v>2617.6514503700919</v>
      </c>
      <c r="AF9" s="21">
        <f>AE9-B9</f>
        <v>5.991450370092025</v>
      </c>
      <c r="AG9" s="50">
        <f>AF9/B9</f>
        <v>2.2941157616581122E-3</v>
      </c>
      <c r="AH9" s="51">
        <f>AF9^2</f>
        <v>35.897477537275861</v>
      </c>
      <c r="AI9" s="50"/>
    </row>
    <row r="10" spans="1:35" ht="13">
      <c r="A10" s="18">
        <v>7</v>
      </c>
      <c r="B10" s="21">
        <v>2557.31</v>
      </c>
      <c r="C10" s="21">
        <v>0</v>
      </c>
      <c r="D10" s="21">
        <v>10</v>
      </c>
      <c r="E10" s="21">
        <v>0</v>
      </c>
      <c r="F10" s="20">
        <v>0</v>
      </c>
      <c r="G10" s="16">
        <v>35.1</v>
      </c>
      <c r="H10" s="18">
        <v>0</v>
      </c>
      <c r="I10" s="57">
        <f>(I9*$I$1+C10)^$I$2</f>
        <v>0</v>
      </c>
      <c r="J10" s="57">
        <f>(J9*$J$1+D10)^$J$2</f>
        <v>10</v>
      </c>
      <c r="K10" s="57">
        <f>(K9*$K$1+E10)^$K$2</f>
        <v>0</v>
      </c>
      <c r="X10" s="21">
        <f>$N$42*K10</f>
        <v>0</v>
      </c>
      <c r="Y10" s="21">
        <f>$O$42*J10</f>
        <v>21.188725054429007</v>
      </c>
      <c r="Z10" s="21">
        <f>$P$42*I10</f>
        <v>0</v>
      </c>
      <c r="AA10" s="21">
        <f>$Q$42*H10</f>
        <v>0</v>
      </c>
      <c r="AB10" s="21">
        <f>$R$42*G10</f>
        <v>898.78633152026532</v>
      </c>
      <c r="AC10" s="21">
        <f>$S$42*F10</f>
        <v>0</v>
      </c>
      <c r="AD10" s="21">
        <f>$T$42</f>
        <v>1605.4931803061395</v>
      </c>
      <c r="AE10" s="21">
        <f>SUM(X10:AD10)</f>
        <v>2525.468236880834</v>
      </c>
      <c r="AF10" s="21">
        <f>AE10-B10</f>
        <v>-31.841763119165989</v>
      </c>
      <c r="AG10" s="50">
        <f>AF10/B10</f>
        <v>-1.2451272281876655E-2</v>
      </c>
      <c r="AH10" s="51">
        <f>AF10^2</f>
        <v>1013.8978785370794</v>
      </c>
      <c r="AI10" s="50"/>
    </row>
    <row r="11" spans="1:35" ht="13">
      <c r="A11" s="18">
        <v>8</v>
      </c>
      <c r="B11" s="21">
        <v>3250.96</v>
      </c>
      <c r="C11" s="21">
        <v>0</v>
      </c>
      <c r="D11" s="21">
        <v>10</v>
      </c>
      <c r="E11" s="21">
        <v>0</v>
      </c>
      <c r="F11" s="20">
        <v>0</v>
      </c>
      <c r="G11" s="16">
        <v>34.4</v>
      </c>
      <c r="H11" s="18">
        <v>1</v>
      </c>
      <c r="I11" s="57">
        <f>(I10*$I$1+C11)^$I$2</f>
        <v>0</v>
      </c>
      <c r="J11" s="57">
        <f>(J10*$J$1+D11)^$J$2</f>
        <v>10</v>
      </c>
      <c r="K11" s="57">
        <f>(K10*$K$1+E11)^$K$2</f>
        <v>0</v>
      </c>
      <c r="X11" s="21">
        <f>$N$42*K11</f>
        <v>0</v>
      </c>
      <c r="Y11" s="21">
        <f>$O$42*J11</f>
        <v>21.188725054429007</v>
      </c>
      <c r="Z11" s="21">
        <f>$P$42*I11</f>
        <v>0</v>
      </c>
      <c r="AA11" s="21">
        <f>$Q$42*H11</f>
        <v>822.96782381786284</v>
      </c>
      <c r="AB11" s="21">
        <f>$R$42*G11</f>
        <v>880.86181778624291</v>
      </c>
      <c r="AC11" s="21">
        <f>$S$42*F11</f>
        <v>0</v>
      </c>
      <c r="AD11" s="21">
        <f>$T$42</f>
        <v>1605.4931803061395</v>
      </c>
      <c r="AE11" s="21">
        <f>SUM(X11:AD11)</f>
        <v>3330.5115469646744</v>
      </c>
      <c r="AF11" s="21">
        <f>AE11-B11</f>
        <v>79.551546964674344</v>
      </c>
      <c r="AG11" s="50">
        <f>AF11/B11</f>
        <v>2.4470170954017996E-2</v>
      </c>
      <c r="AH11" s="51">
        <f>AF11^2</f>
        <v>6328.4486244727877</v>
      </c>
      <c r="AI11" s="50"/>
    </row>
    <row r="12" spans="1:35" ht="13">
      <c r="A12" s="18">
        <v>9</v>
      </c>
      <c r="B12" s="21">
        <v>2802.04</v>
      </c>
      <c r="C12" s="21">
        <v>0</v>
      </c>
      <c r="D12" s="21">
        <v>10</v>
      </c>
      <c r="E12" s="21">
        <v>0</v>
      </c>
      <c r="F12" s="20">
        <v>0</v>
      </c>
      <c r="G12" s="16">
        <v>37.9</v>
      </c>
      <c r="H12" s="18">
        <v>0</v>
      </c>
      <c r="I12" s="57">
        <f>(I11*$I$1+C12)^$I$2</f>
        <v>0</v>
      </c>
      <c r="J12" s="57">
        <f>(J11*$J$1+D12)^$J$2</f>
        <v>10</v>
      </c>
      <c r="K12" s="57">
        <f>(K11*$K$1+E12)^$K$2</f>
        <v>0</v>
      </c>
      <c r="X12" s="21">
        <f>$N$42*K12</f>
        <v>0</v>
      </c>
      <c r="Y12" s="21">
        <f>$O$42*J12</f>
        <v>21.188725054429007</v>
      </c>
      <c r="Z12" s="21">
        <f>$P$42*I12</f>
        <v>0</v>
      </c>
      <c r="AA12" s="21">
        <f>$Q$42*H12</f>
        <v>0</v>
      </c>
      <c r="AB12" s="21">
        <f>$R$42*G12</f>
        <v>970.48438645635485</v>
      </c>
      <c r="AC12" s="21">
        <f>$S$42*F12</f>
        <v>0</v>
      </c>
      <c r="AD12" s="21">
        <f>$T$42</f>
        <v>1605.4931803061395</v>
      </c>
      <c r="AE12" s="21">
        <f>SUM(X12:AD12)</f>
        <v>2597.1662918169231</v>
      </c>
      <c r="AF12" s="21">
        <f>AE12-B12</f>
        <v>-204.87370818307681</v>
      </c>
      <c r="AG12" s="50">
        <f>AF12/B12</f>
        <v>-7.3115911329987016E-2</v>
      </c>
      <c r="AH12" s="51">
        <f>AF12^2</f>
        <v>41973.236304684513</v>
      </c>
      <c r="AI12" s="50"/>
    </row>
    <row r="13" spans="1:35" ht="13">
      <c r="A13" s="18">
        <v>10</v>
      </c>
      <c r="B13" s="21">
        <v>2881.28</v>
      </c>
      <c r="C13" s="21">
        <v>0</v>
      </c>
      <c r="D13" s="21">
        <v>15</v>
      </c>
      <c r="E13" s="21">
        <v>0</v>
      </c>
      <c r="F13" s="20">
        <v>0</v>
      </c>
      <c r="G13" s="16">
        <v>40.6</v>
      </c>
      <c r="H13" s="18">
        <v>0</v>
      </c>
      <c r="I13" s="57">
        <f>(I12*$I$1+C13)^$I$2</f>
        <v>0</v>
      </c>
      <c r="J13" s="57">
        <f>(J12*$J$1+D13)^$J$2</f>
        <v>15</v>
      </c>
      <c r="K13" s="57">
        <f>(K12*$K$1+E13)^$K$2</f>
        <v>0</v>
      </c>
      <c r="X13" s="21">
        <f>$N$42*K13</f>
        <v>0</v>
      </c>
      <c r="Y13" s="21">
        <f>$O$42*J13</f>
        <v>31.783087581643507</v>
      </c>
      <c r="Z13" s="21">
        <f>$P$42*I13</f>
        <v>0</v>
      </c>
      <c r="AA13" s="21">
        <f>$Q$42*H13</f>
        <v>0</v>
      </c>
      <c r="AB13" s="21">
        <f>$R$42*G13</f>
        <v>1039.6217965732983</v>
      </c>
      <c r="AC13" s="21">
        <f>$S$42*F13</f>
        <v>0</v>
      </c>
      <c r="AD13" s="21">
        <f>$T$42</f>
        <v>1605.4931803061395</v>
      </c>
      <c r="AE13" s="21">
        <f>SUM(X13:AD13)</f>
        <v>2676.898064461081</v>
      </c>
      <c r="AF13" s="21">
        <f>AE13-B13</f>
        <v>-204.38193553891915</v>
      </c>
      <c r="AG13" s="50">
        <f>AF13/B13</f>
        <v>-7.0934423429489371E-2</v>
      </c>
      <c r="AH13" s="51">
        <f>AF13^2</f>
        <v>41771.975574634904</v>
      </c>
      <c r="AI13" s="50"/>
    </row>
    <row r="14" spans="1:35" ht="13">
      <c r="A14" s="18">
        <v>11</v>
      </c>
      <c r="B14" s="21">
        <v>2734.97</v>
      </c>
      <c r="C14" s="21">
        <v>0</v>
      </c>
      <c r="D14" s="21">
        <v>15</v>
      </c>
      <c r="E14" s="21">
        <v>0</v>
      </c>
      <c r="F14" s="20">
        <v>0</v>
      </c>
      <c r="G14" s="16">
        <v>46.1</v>
      </c>
      <c r="H14" s="18">
        <v>0</v>
      </c>
      <c r="I14" s="57">
        <f>(I13*$I$1+C14)^$I$2</f>
        <v>0</v>
      </c>
      <c r="J14" s="57">
        <f>(J13*$J$1+D14)^$J$2</f>
        <v>15</v>
      </c>
      <c r="K14" s="57">
        <f>(K13*$K$1+E14)^$K$2</f>
        <v>0</v>
      </c>
      <c r="X14" s="21">
        <f>$N$42*K14</f>
        <v>0</v>
      </c>
      <c r="Y14" s="21">
        <f>$O$42*J14</f>
        <v>31.783087581643507</v>
      </c>
      <c r="Z14" s="21">
        <f>$P$42*I14</f>
        <v>0</v>
      </c>
      <c r="AA14" s="21">
        <f>$Q$42*H14</f>
        <v>0</v>
      </c>
      <c r="AB14" s="21">
        <f>$R$42*G14</f>
        <v>1180.4572616263315</v>
      </c>
      <c r="AC14" s="21">
        <f>$S$42*F14</f>
        <v>0</v>
      </c>
      <c r="AD14" s="21">
        <f>$T$42</f>
        <v>1605.4931803061395</v>
      </c>
      <c r="AE14" s="21">
        <f>SUM(X14:AD14)</f>
        <v>2817.7335295141147</v>
      </c>
      <c r="AF14" s="21">
        <f>AE14-B14</f>
        <v>82.763529514114907</v>
      </c>
      <c r="AG14" s="50">
        <f>AF14/B14</f>
        <v>3.0261220237923967E-2</v>
      </c>
      <c r="AH14" s="51">
        <f>AF14^2</f>
        <v>6849.8018176337691</v>
      </c>
      <c r="AI14" s="50"/>
    </row>
    <row r="15" spans="1:35" ht="13">
      <c r="A15" s="18">
        <v>12</v>
      </c>
      <c r="B15" s="21">
        <v>3580.57</v>
      </c>
      <c r="C15" s="21">
        <v>0</v>
      </c>
      <c r="D15" s="21">
        <v>15</v>
      </c>
      <c r="E15" s="21">
        <v>0</v>
      </c>
      <c r="F15" s="20">
        <v>0</v>
      </c>
      <c r="G15" s="16">
        <v>43.6</v>
      </c>
      <c r="H15" s="18">
        <v>1</v>
      </c>
      <c r="I15" s="57">
        <f>(I14*$I$1+C15)^$I$2</f>
        <v>0</v>
      </c>
      <c r="J15" s="57">
        <f>(J14*$J$1+D15)^$J$2</f>
        <v>15</v>
      </c>
      <c r="K15" s="57">
        <f>(K14*$K$1+E15)^$K$2</f>
        <v>0</v>
      </c>
      <c r="X15" s="21">
        <f>$N$42*K15</f>
        <v>0</v>
      </c>
      <c r="Y15" s="21">
        <f>$O$42*J15</f>
        <v>31.783087581643507</v>
      </c>
      <c r="Z15" s="21">
        <f>$P$42*I15</f>
        <v>0</v>
      </c>
      <c r="AA15" s="21">
        <f>$Q$42*H15</f>
        <v>822.96782381786284</v>
      </c>
      <c r="AB15" s="21">
        <f>$R$42*G15</f>
        <v>1116.4411411476801</v>
      </c>
      <c r="AC15" s="21">
        <f>$S$42*F15</f>
        <v>0</v>
      </c>
      <c r="AD15" s="21">
        <f>$T$42</f>
        <v>1605.4931803061395</v>
      </c>
      <c r="AE15" s="21">
        <f>SUM(X15:AD15)</f>
        <v>3576.6852328533259</v>
      </c>
      <c r="AF15" s="21">
        <f>AE15-B15</f>
        <v>-3.8847671466742213</v>
      </c>
      <c r="AG15" s="50">
        <f>AF15/B15</f>
        <v>-1.0849577432292124E-3</v>
      </c>
      <c r="AH15" s="51">
        <f>AF15^2</f>
        <v>15.091415783879372</v>
      </c>
      <c r="AI15" s="50"/>
    </row>
    <row r="16" spans="1:35" ht="13">
      <c r="A16" s="18">
        <v>13</v>
      </c>
      <c r="B16" s="21">
        <v>3581.54</v>
      </c>
      <c r="C16" s="21">
        <v>0</v>
      </c>
      <c r="D16" s="21">
        <v>15</v>
      </c>
      <c r="E16" s="21">
        <v>0</v>
      </c>
      <c r="F16" s="20">
        <v>0</v>
      </c>
      <c r="G16" s="16">
        <v>41.9</v>
      </c>
      <c r="H16" s="18">
        <v>1</v>
      </c>
      <c r="I16" s="57">
        <f>(I15*$I$1+C16)^$I$2</f>
        <v>0</v>
      </c>
      <c r="J16" s="57">
        <f>(J15*$J$1+D16)^$J$2</f>
        <v>15</v>
      </c>
      <c r="K16" s="57">
        <f>(K15*$K$1+E16)^$K$2</f>
        <v>0</v>
      </c>
      <c r="X16" s="21">
        <f>$N$42*K16</f>
        <v>0</v>
      </c>
      <c r="Y16" s="21">
        <f>$O$42*J16</f>
        <v>31.783087581643507</v>
      </c>
      <c r="Z16" s="21">
        <f>$P$42*I16</f>
        <v>0</v>
      </c>
      <c r="AA16" s="21">
        <f>$Q$42*H16</f>
        <v>822.96782381786284</v>
      </c>
      <c r="AB16" s="21">
        <f>$R$42*G16</f>
        <v>1072.910179222197</v>
      </c>
      <c r="AC16" s="21">
        <f>$S$42*F16</f>
        <v>0</v>
      </c>
      <c r="AD16" s="21">
        <f>$T$42</f>
        <v>1605.4931803061395</v>
      </c>
      <c r="AE16" s="21">
        <f>SUM(X16:AD16)</f>
        <v>3533.1542709278428</v>
      </c>
      <c r="AF16" s="21">
        <f>AE16-B16</f>
        <v>-48.385729072157119</v>
      </c>
      <c r="AG16" s="50">
        <f>AF16/B16</f>
        <v>-1.350975532093935E-2</v>
      </c>
      <c r="AH16" s="51">
        <f>AF16^2</f>
        <v>2341.1787778441908</v>
      </c>
      <c r="AI16" s="50"/>
    </row>
    <row r="17" spans="1:35" ht="13">
      <c r="A17" s="18">
        <v>14</v>
      </c>
      <c r="B17" s="21">
        <v>2962.99</v>
      </c>
      <c r="C17" s="21">
        <v>0</v>
      </c>
      <c r="D17" s="21">
        <v>15</v>
      </c>
      <c r="E17" s="21">
        <v>0</v>
      </c>
      <c r="F17" s="20">
        <v>0</v>
      </c>
      <c r="G17" s="16">
        <v>45.1</v>
      </c>
      <c r="H17" s="18">
        <v>0</v>
      </c>
      <c r="I17" s="57">
        <f>(I16*$I$1+C17)^$I$2</f>
        <v>0</v>
      </c>
      <c r="J17" s="57">
        <f>(J16*$J$1+D17)^$J$2</f>
        <v>15</v>
      </c>
      <c r="K17" s="57">
        <f>(K16*$K$1+E17)^$K$2</f>
        <v>0</v>
      </c>
      <c r="X17" s="21">
        <f>$N$42*K17</f>
        <v>0</v>
      </c>
      <c r="Y17" s="21">
        <f>$O$42*J17</f>
        <v>31.783087581643507</v>
      </c>
      <c r="Z17" s="21">
        <f>$P$42*I17</f>
        <v>0</v>
      </c>
      <c r="AA17" s="21">
        <f>$Q$42*H17</f>
        <v>0</v>
      </c>
      <c r="AB17" s="21">
        <f>$R$42*G17</f>
        <v>1154.8508134348708</v>
      </c>
      <c r="AC17" s="21">
        <f>$S$42*F17</f>
        <v>0</v>
      </c>
      <c r="AD17" s="21">
        <f>$T$42</f>
        <v>1605.4931803061395</v>
      </c>
      <c r="AE17" s="21">
        <f>SUM(X17:AD17)</f>
        <v>2792.1270813226538</v>
      </c>
      <c r="AF17" s="21">
        <f>AE17-B17</f>
        <v>-170.86291867734599</v>
      </c>
      <c r="AG17" s="50">
        <f>AF17/B17</f>
        <v>-5.7665708854010983E-2</v>
      </c>
      <c r="AH17" s="51">
        <f>AF17^2</f>
        <v>29194.136978941347</v>
      </c>
      <c r="AI17" s="50"/>
    </row>
    <row r="18" spans="1:35" ht="13">
      <c r="A18" s="18">
        <v>15</v>
      </c>
      <c r="B18" s="21">
        <v>2510.8200000000002</v>
      </c>
      <c r="C18" s="21">
        <v>0</v>
      </c>
      <c r="D18" s="21">
        <v>15</v>
      </c>
      <c r="E18" s="21">
        <v>0</v>
      </c>
      <c r="F18" s="20">
        <v>0</v>
      </c>
      <c r="G18" s="16">
        <v>48</v>
      </c>
      <c r="H18" s="18">
        <v>0</v>
      </c>
      <c r="I18" s="57">
        <f>(I17*$I$1+C18)^$I$2</f>
        <v>0</v>
      </c>
      <c r="J18" s="57">
        <f>(J17*$J$1+D18)^$J$2</f>
        <v>15</v>
      </c>
      <c r="K18" s="57">
        <f>(K17*$K$1+E18)^$K$2</f>
        <v>0</v>
      </c>
      <c r="X18" s="21">
        <f>$N$42*K18</f>
        <v>0</v>
      </c>
      <c r="Y18" s="21">
        <f>$O$42*J18</f>
        <v>31.783087581643507</v>
      </c>
      <c r="Z18" s="21">
        <f>$P$42*I18</f>
        <v>0</v>
      </c>
      <c r="AA18" s="21">
        <f>$Q$42*H18</f>
        <v>0</v>
      </c>
      <c r="AB18" s="21">
        <f>$R$42*G18</f>
        <v>1229.1095131901066</v>
      </c>
      <c r="AC18" s="21">
        <f>$S$42*F18</f>
        <v>0</v>
      </c>
      <c r="AD18" s="21">
        <f>$T$42</f>
        <v>1605.4931803061395</v>
      </c>
      <c r="AE18" s="21">
        <f>SUM(X18:AD18)</f>
        <v>2866.3857810778895</v>
      </c>
      <c r="AF18" s="21">
        <f>AE18-B18</f>
        <v>355.56578107788937</v>
      </c>
      <c r="AG18" s="50">
        <f>AF18/B18</f>
        <v>0.14161340959443103</v>
      </c>
      <c r="AH18" s="51">
        <f>AF18^2</f>
        <v>126427.02467352955</v>
      </c>
      <c r="AI18" s="50"/>
    </row>
    <row r="19" spans="1:35" ht="13">
      <c r="A19" s="18">
        <v>16</v>
      </c>
      <c r="B19" s="21">
        <v>2523.34</v>
      </c>
      <c r="C19" s="21">
        <v>0</v>
      </c>
      <c r="D19" s="21">
        <v>15</v>
      </c>
      <c r="E19" s="21">
        <v>0</v>
      </c>
      <c r="F19" s="20">
        <v>0.5</v>
      </c>
      <c r="G19" s="16">
        <v>45.7</v>
      </c>
      <c r="H19" s="18">
        <v>0</v>
      </c>
      <c r="I19" s="57">
        <f>(I18*$I$1+C19)^$I$2</f>
        <v>0</v>
      </c>
      <c r="J19" s="57">
        <f>(J18*$J$1+D19)^$J$2</f>
        <v>15</v>
      </c>
      <c r="K19" s="57">
        <f>(K18*$K$1+E19)^$K$2</f>
        <v>0</v>
      </c>
      <c r="X19" s="21">
        <f>$N$42*K19</f>
        <v>0</v>
      </c>
      <c r="Y19" s="21">
        <f>$O$42*J19</f>
        <v>31.783087581643507</v>
      </c>
      <c r="Z19" s="21">
        <f>$P$42*I19</f>
        <v>0</v>
      </c>
      <c r="AA19" s="21">
        <f>$Q$42*H19</f>
        <v>0</v>
      </c>
      <c r="AB19" s="21">
        <f>$R$42*G19</f>
        <v>1170.2146823497471</v>
      </c>
      <c r="AC19" s="21">
        <f>$S$42*F19</f>
        <v>-341.47159950323402</v>
      </c>
      <c r="AD19" s="21">
        <f>$T$42</f>
        <v>1605.4931803061395</v>
      </c>
      <c r="AE19" s="21">
        <f>SUM(X19:AD19)</f>
        <v>2466.019350734296</v>
      </c>
      <c r="AF19" s="21">
        <f>AE19-B19</f>
        <v>-57.320649265704105</v>
      </c>
      <c r="AG19" s="50">
        <f>AF19/B19</f>
        <v>-2.2716181436391491E-2</v>
      </c>
      <c r="AH19" s="51">
        <f>AF19^2</f>
        <v>3285.6568322418648</v>
      </c>
      <c r="AI19" s="50"/>
    </row>
    <row r="20" spans="1:35" ht="13">
      <c r="A20" s="18">
        <v>17</v>
      </c>
      <c r="B20" s="21">
        <v>2708.6</v>
      </c>
      <c r="C20" s="21">
        <v>0</v>
      </c>
      <c r="D20" s="21">
        <v>15</v>
      </c>
      <c r="E20" s="21">
        <v>0</v>
      </c>
      <c r="F20" s="20">
        <v>0.5</v>
      </c>
      <c r="G20" s="16">
        <v>45</v>
      </c>
      <c r="H20" s="18">
        <v>0</v>
      </c>
      <c r="I20" s="57">
        <f>(I19*$I$1+C20)^$I$2</f>
        <v>0</v>
      </c>
      <c r="J20" s="57">
        <f>(J19*$J$1+D20)^$J$2</f>
        <v>15</v>
      </c>
      <c r="K20" s="57">
        <f>(K19*$K$1+E20)^$K$2</f>
        <v>0</v>
      </c>
      <c r="X20" s="21">
        <f>$N$42*K20</f>
        <v>0</v>
      </c>
      <c r="Y20" s="21">
        <f>$O$42*J20</f>
        <v>31.783087581643507</v>
      </c>
      <c r="Z20" s="21">
        <f>$P$42*I20</f>
        <v>0</v>
      </c>
      <c r="AA20" s="21">
        <f>$Q$42*H20</f>
        <v>0</v>
      </c>
      <c r="AB20" s="21">
        <f>$R$42*G20</f>
        <v>1152.2901686157247</v>
      </c>
      <c r="AC20" s="21">
        <f>$S$42*F20</f>
        <v>-341.47159950323402</v>
      </c>
      <c r="AD20" s="21">
        <f>$T$42</f>
        <v>1605.4931803061395</v>
      </c>
      <c r="AE20" s="21">
        <f>SUM(X20:AD20)</f>
        <v>2448.0948370002734</v>
      </c>
      <c r="AF20" s="21">
        <f>AE20-B20</f>
        <v>-260.50516299972651</v>
      </c>
      <c r="AG20" s="50">
        <f>AF20/B20</f>
        <v>-9.6177051982473061E-2</v>
      </c>
      <c r="AH20" s="51">
        <f>AF20^2</f>
        <v>67862.939949514082</v>
      </c>
      <c r="AI20" s="50"/>
    </row>
    <row r="21" spans="1:35" ht="13">
      <c r="A21" s="18">
        <v>18</v>
      </c>
      <c r="B21" s="21">
        <v>2459.0300000000002</v>
      </c>
      <c r="C21" s="21">
        <v>0</v>
      </c>
      <c r="D21" s="21">
        <v>20</v>
      </c>
      <c r="E21" s="21">
        <v>0</v>
      </c>
      <c r="F21" s="20">
        <v>0.5</v>
      </c>
      <c r="G21" s="16">
        <v>50.2</v>
      </c>
      <c r="H21" s="18">
        <v>0</v>
      </c>
      <c r="I21" s="57">
        <f>(I20*$I$1+C21)^$I$2</f>
        <v>0</v>
      </c>
      <c r="J21" s="57">
        <f>(J20*$J$1+D21)^$J$2</f>
        <v>20</v>
      </c>
      <c r="K21" s="57">
        <f>(K20*$K$1+E21)^$K$2</f>
        <v>0</v>
      </c>
      <c r="X21" s="21">
        <f>$N$42*K21</f>
        <v>0</v>
      </c>
      <c r="Y21" s="21">
        <f>$O$42*J21</f>
        <v>42.377450108858014</v>
      </c>
      <c r="Z21" s="21">
        <f>$P$42*I21</f>
        <v>0</v>
      </c>
      <c r="AA21" s="21">
        <f>$Q$42*H21</f>
        <v>0</v>
      </c>
      <c r="AB21" s="21">
        <f>$R$42*G21</f>
        <v>1285.4436992113197</v>
      </c>
      <c r="AC21" s="21">
        <f>$S$42*F21</f>
        <v>-341.47159950323402</v>
      </c>
      <c r="AD21" s="21">
        <f>$T$42</f>
        <v>1605.4931803061395</v>
      </c>
      <c r="AE21" s="21">
        <f>SUM(X21:AD21)</f>
        <v>2591.8427301230831</v>
      </c>
      <c r="AF21" s="21">
        <f>AE21-B21</f>
        <v>132.81273012308293</v>
      </c>
      <c r="AG21" s="50">
        <f>AF21/B21</f>
        <v>5.4010211393550674E-2</v>
      </c>
      <c r="AH21" s="51">
        <f>AF21^2</f>
        <v>17639.221282746861</v>
      </c>
      <c r="AI21" s="50"/>
    </row>
    <row r="22" spans="1:35" ht="13">
      <c r="A22" s="18">
        <v>19</v>
      </c>
      <c r="B22" s="21">
        <v>3429.26</v>
      </c>
      <c r="C22" s="21">
        <v>0</v>
      </c>
      <c r="D22" s="21">
        <v>20</v>
      </c>
      <c r="E22" s="21">
        <v>0</v>
      </c>
      <c r="F22" s="20">
        <v>0.5</v>
      </c>
      <c r="G22" s="16">
        <v>50.2</v>
      </c>
      <c r="H22" s="18">
        <v>1</v>
      </c>
      <c r="I22" s="57">
        <f>(I21*$I$1+C22)^$I$2</f>
        <v>0</v>
      </c>
      <c r="J22" s="57">
        <f>(J21*$J$1+D22)^$J$2</f>
        <v>20</v>
      </c>
      <c r="K22" s="57">
        <f>(K21*$K$1+E22)^$K$2</f>
        <v>0</v>
      </c>
      <c r="X22" s="21">
        <f>$N$42*K22</f>
        <v>0</v>
      </c>
      <c r="Y22" s="21">
        <f>$O$42*J22</f>
        <v>42.377450108858014</v>
      </c>
      <c r="Z22" s="21">
        <f>$P$42*I22</f>
        <v>0</v>
      </c>
      <c r="AA22" s="21">
        <f>$Q$42*H22</f>
        <v>822.96782381786284</v>
      </c>
      <c r="AB22" s="21">
        <f>$R$42*G22</f>
        <v>1285.4436992113197</v>
      </c>
      <c r="AC22" s="21">
        <f>$S$42*F22</f>
        <v>-341.47159950323402</v>
      </c>
      <c r="AD22" s="21">
        <f>$T$42</f>
        <v>1605.4931803061395</v>
      </c>
      <c r="AE22" s="21">
        <f>SUM(X22:AD22)</f>
        <v>3414.8105539409462</v>
      </c>
      <c r="AF22" s="21">
        <f>AE22-B22</f>
        <v>-14.449446059054026</v>
      </c>
      <c r="AG22" s="50">
        <f>AF22/B22</f>
        <v>-4.2135755408029794E-3</v>
      </c>
      <c r="AH22" s="51">
        <f>AF22^2</f>
        <v>208.78649141351192</v>
      </c>
      <c r="AI22" s="50"/>
    </row>
    <row r="23" spans="1:35" ht="13">
      <c r="A23" s="18">
        <v>20</v>
      </c>
      <c r="B23" s="21">
        <v>2707.15</v>
      </c>
      <c r="C23" s="21">
        <v>0</v>
      </c>
      <c r="D23" s="21">
        <v>20</v>
      </c>
      <c r="E23" s="21">
        <v>0</v>
      </c>
      <c r="F23" s="20">
        <v>0.5</v>
      </c>
      <c r="G23" s="16">
        <v>52.8</v>
      </c>
      <c r="H23" s="18">
        <v>0</v>
      </c>
      <c r="I23" s="57">
        <f>(I22*$I$1+C23)^$I$2</f>
        <v>0</v>
      </c>
      <c r="J23" s="57">
        <f>(J22*$J$1+D23)^$J$2</f>
        <v>20</v>
      </c>
      <c r="K23" s="57">
        <f>(K22*$K$1+E23)^$K$2</f>
        <v>0</v>
      </c>
      <c r="M23" s="18" t="str">
        <f>X3</f>
        <v>Social Ads, AR=0, DR=0.6</v>
      </c>
      <c r="N23" s="18" t="str">
        <f>Y3</f>
        <v>Search Ads, AR=0, DR=1</v>
      </c>
      <c r="O23" s="18" t="str">
        <f>Z3</f>
        <v>Newspaper Ads, AR=0.3, DR=1</v>
      </c>
      <c r="P23" s="18" t="str">
        <f>AA3</f>
        <v>Holiday</v>
      </c>
      <c r="Q23" s="18" t="str">
        <f>AB3</f>
        <v>Temperature</v>
      </c>
      <c r="R23" s="18" t="str">
        <f>AC3</f>
        <v>Price Change</v>
      </c>
      <c r="S23" s="18" t="str">
        <f>AD3</f>
        <v>Baseline</v>
      </c>
      <c r="X23" s="21">
        <f>$N$42*K23</f>
        <v>0</v>
      </c>
      <c r="Y23" s="21">
        <f>$O$42*J23</f>
        <v>42.377450108858014</v>
      </c>
      <c r="Z23" s="21">
        <f>$P$42*I23</f>
        <v>0</v>
      </c>
      <c r="AA23" s="21">
        <f>$Q$42*H23</f>
        <v>0</v>
      </c>
      <c r="AB23" s="21">
        <f>$R$42*G23</f>
        <v>1352.0204645091171</v>
      </c>
      <c r="AC23" s="21">
        <f>$S$42*F23</f>
        <v>-341.47159950323402</v>
      </c>
      <c r="AD23" s="21">
        <f>$T$42</f>
        <v>1605.4931803061395</v>
      </c>
      <c r="AE23" s="21">
        <f>SUM(X23:AD23)</f>
        <v>2658.4194954208806</v>
      </c>
      <c r="AF23" s="21">
        <f>AE23-B23</f>
        <v>-48.730504579119497</v>
      </c>
      <c r="AG23" s="50">
        <f>AF23/B23</f>
        <v>-1.800066659738821E-2</v>
      </c>
      <c r="AH23" s="51">
        <f>AF23^2</f>
        <v>2374.6620765355865</v>
      </c>
      <c r="AI23" s="50"/>
    </row>
    <row r="24" spans="1:35" ht="13">
      <c r="A24" s="18">
        <v>21</v>
      </c>
      <c r="B24" s="21">
        <v>2658.95</v>
      </c>
      <c r="C24" s="21">
        <v>0</v>
      </c>
      <c r="D24" s="21">
        <v>20</v>
      </c>
      <c r="E24" s="21">
        <v>0</v>
      </c>
      <c r="F24" s="20">
        <v>0.5</v>
      </c>
      <c r="G24" s="16">
        <v>55.4</v>
      </c>
      <c r="H24" s="18">
        <v>0</v>
      </c>
      <c r="I24" s="57">
        <f>(I23*$I$1+C24)^$I$2</f>
        <v>0</v>
      </c>
      <c r="J24" s="57">
        <f>(J23*$J$1+D24)^$J$2</f>
        <v>20</v>
      </c>
      <c r="K24" s="57">
        <f>(K23*$K$1+E24)^$K$2</f>
        <v>0</v>
      </c>
      <c r="M24" s="21">
        <f>SUM(X4:X55)</f>
        <v>3187.1295116742808</v>
      </c>
      <c r="N24" s="21">
        <f>SUM(Y4:Y55)</f>
        <v>2161.2499555517597</v>
      </c>
      <c r="O24" s="21">
        <f>SUM(Z4:Z55)</f>
        <v>12529.961336233602</v>
      </c>
      <c r="P24" s="21">
        <f>SUM(AA4:AA55)</f>
        <v>8229.6782381786288</v>
      </c>
      <c r="Q24" s="21">
        <f>SUM(AB4:AB55)</f>
        <v>72591.719977971501</v>
      </c>
      <c r="R24" s="21">
        <f>SUM(AC4:AC55)</f>
        <v>-3073.2443955291055</v>
      </c>
      <c r="S24" s="21">
        <f>SUM(AD4:AD55)</f>
        <v>83485.645375919223</v>
      </c>
      <c r="X24" s="21">
        <f>$N$42*K24</f>
        <v>0</v>
      </c>
      <c r="Y24" s="21">
        <f>$O$42*J24</f>
        <v>42.377450108858014</v>
      </c>
      <c r="Z24" s="21">
        <f>$P$42*I24</f>
        <v>0</v>
      </c>
      <c r="AA24" s="21">
        <f>$Q$42*H24</f>
        <v>0</v>
      </c>
      <c r="AB24" s="21">
        <f>$R$42*G24</f>
        <v>1418.5972298069146</v>
      </c>
      <c r="AC24" s="21">
        <f>$S$42*F24</f>
        <v>-341.47159950323402</v>
      </c>
      <c r="AD24" s="21">
        <f>$T$42</f>
        <v>1605.4931803061395</v>
      </c>
      <c r="AE24" s="21">
        <f>SUM(X24:AD24)</f>
        <v>2724.9962607186781</v>
      </c>
      <c r="AF24" s="21">
        <f>AE24-B24</f>
        <v>66.046260718678241</v>
      </c>
      <c r="AG24" s="50">
        <f>AF24/B24</f>
        <v>2.4839226280553694E-2</v>
      </c>
      <c r="AH24" s="51">
        <f>AF24^2</f>
        <v>4362.1085549196205</v>
      </c>
      <c r="AI24" s="50"/>
    </row>
    <row r="25" spans="1:35" ht="13">
      <c r="A25" s="18">
        <v>22</v>
      </c>
      <c r="B25" s="21">
        <v>2848.53</v>
      </c>
      <c r="C25" s="21">
        <v>0</v>
      </c>
      <c r="D25" s="21">
        <v>20</v>
      </c>
      <c r="E25" s="21">
        <v>0</v>
      </c>
      <c r="F25" s="20">
        <v>0.5</v>
      </c>
      <c r="G25" s="16">
        <v>61.7</v>
      </c>
      <c r="H25" s="18">
        <v>0</v>
      </c>
      <c r="I25" s="57">
        <f>(I24*$I$1+C25)^$I$2</f>
        <v>0</v>
      </c>
      <c r="J25" s="57">
        <f>(J24*$J$1+D25)^$J$2</f>
        <v>20</v>
      </c>
      <c r="K25" s="57">
        <f>(K24*$K$1+E25)^$K$2</f>
        <v>0</v>
      </c>
      <c r="X25" s="21">
        <f>$N$42*K25</f>
        <v>0</v>
      </c>
      <c r="Y25" s="21">
        <f>$O$42*J25</f>
        <v>42.377450108858014</v>
      </c>
      <c r="Z25" s="21">
        <f>$P$42*I25</f>
        <v>0</v>
      </c>
      <c r="AA25" s="21">
        <f>$Q$42*H25</f>
        <v>0</v>
      </c>
      <c r="AB25" s="21">
        <f>$R$42*G25</f>
        <v>1579.9178534131161</v>
      </c>
      <c r="AC25" s="21">
        <f>$S$42*F25</f>
        <v>-341.47159950323402</v>
      </c>
      <c r="AD25" s="21">
        <f>$T$42</f>
        <v>1605.4931803061395</v>
      </c>
      <c r="AE25" s="21">
        <f>SUM(X25:AD25)</f>
        <v>2886.3168843248795</v>
      </c>
      <c r="AF25" s="21">
        <f>AE25-B25</f>
        <v>37.786884324879338</v>
      </c>
      <c r="AG25" s="50">
        <f>AF25/B25</f>
        <v>1.3265398056148025E-2</v>
      </c>
      <c r="AH25" s="51">
        <f>AF25^2</f>
        <v>1427.8486269818118</v>
      </c>
      <c r="AI25" s="50"/>
    </row>
    <row r="26" spans="1:35" ht="13">
      <c r="A26" s="18">
        <v>23</v>
      </c>
      <c r="B26" s="21">
        <v>2801.63</v>
      </c>
      <c r="C26" s="21">
        <v>0</v>
      </c>
      <c r="D26" s="21">
        <v>20</v>
      </c>
      <c r="E26" s="21">
        <v>0</v>
      </c>
      <c r="F26" s="20">
        <v>0.5</v>
      </c>
      <c r="G26" s="16">
        <v>64.7</v>
      </c>
      <c r="H26" s="18">
        <v>0</v>
      </c>
      <c r="I26" s="57">
        <f>(I25*$I$1+C26)^$I$2</f>
        <v>0</v>
      </c>
      <c r="J26" s="57">
        <f>(J25*$J$1+D26)^$J$2</f>
        <v>20</v>
      </c>
      <c r="K26" s="57">
        <f>(K25*$K$1+E26)^$K$2</f>
        <v>0</v>
      </c>
      <c r="M26" s="18" t="str">
        <f t="array" ref="M26:N32">TRANSPOSE(M23:S24)</f>
        <v>Social Ads, AR=0, DR=0.6</v>
      </c>
      <c r="N26" s="21">
        <v>3187.1295116742808</v>
      </c>
      <c r="O26" s="50">
        <f>N26/SUM($N$26:$N$32)</f>
        <v>1.7794045181271815E-2</v>
      </c>
      <c r="X26" s="21">
        <f>$N$42*K26</f>
        <v>0</v>
      </c>
      <c r="Y26" s="21">
        <f>$O$42*J26</f>
        <v>42.377450108858014</v>
      </c>
      <c r="Z26" s="21">
        <f>$P$42*I26</f>
        <v>0</v>
      </c>
      <c r="AA26" s="21">
        <f>$Q$42*H26</f>
        <v>0</v>
      </c>
      <c r="AB26" s="21">
        <f>$R$42*G26</f>
        <v>1656.7371979874977</v>
      </c>
      <c r="AC26" s="21">
        <f>$S$42*F26</f>
        <v>-341.47159950323402</v>
      </c>
      <c r="AD26" s="21">
        <f>$T$42</f>
        <v>1605.4931803061395</v>
      </c>
      <c r="AE26" s="21">
        <f>SUM(X26:AD26)</f>
        <v>2963.1362288992614</v>
      </c>
      <c r="AF26" s="21">
        <f>AE26-B26</f>
        <v>161.50622889926126</v>
      </c>
      <c r="AG26" s="50">
        <f>AF26/B26</f>
        <v>5.7647237108133929E-2</v>
      </c>
      <c r="AH26" s="51">
        <f>AF26^2</f>
        <v>26084.261973260574</v>
      </c>
      <c r="AI26" s="50"/>
    </row>
    <row r="27" spans="1:35" ht="13">
      <c r="A27" s="18">
        <v>24</v>
      </c>
      <c r="B27" s="21">
        <v>4645.67</v>
      </c>
      <c r="C27" s="21">
        <v>200</v>
      </c>
      <c r="D27" s="21">
        <v>40</v>
      </c>
      <c r="E27" s="21">
        <v>0</v>
      </c>
      <c r="F27" s="20">
        <v>0.5</v>
      </c>
      <c r="G27" s="16">
        <v>67.599999999999994</v>
      </c>
      <c r="H27" s="18">
        <v>1</v>
      </c>
      <c r="I27" s="57">
        <f>(I26*$I$1+C27)^$I$2</f>
        <v>200</v>
      </c>
      <c r="J27" s="57">
        <f>(J26*$J$1+D27)^$J$2</f>
        <v>40</v>
      </c>
      <c r="K27" s="57">
        <f>(K26*$K$1+E27)^$K$2</f>
        <v>0</v>
      </c>
      <c r="M27" s="18" t="str">
        <v>Search Ads, AR=0, DR=1</v>
      </c>
      <c r="N27" s="21">
        <v>2161.2499555517597</v>
      </c>
      <c r="O27" s="50">
        <f>N27/SUM($N$26:$N$32)</f>
        <v>1.2066462695112464E-2</v>
      </c>
      <c r="X27" s="21">
        <f>$N$42*K27</f>
        <v>0</v>
      </c>
      <c r="Y27" s="21">
        <f>$O$42*J27</f>
        <v>84.754900217716028</v>
      </c>
      <c r="Z27" s="21">
        <f>$P$42*I27</f>
        <v>730.9144113140045</v>
      </c>
      <c r="AA27" s="21">
        <f>$Q$42*H27</f>
        <v>822.96782381786284</v>
      </c>
      <c r="AB27" s="21">
        <f>$R$42*G27</f>
        <v>1730.9958977427332</v>
      </c>
      <c r="AC27" s="21">
        <f>$S$42*F27</f>
        <v>-341.47159950323402</v>
      </c>
      <c r="AD27" s="21">
        <f>$T$42</f>
        <v>1605.4931803061395</v>
      </c>
      <c r="AE27" s="21">
        <f>SUM(X27:AD27)</f>
        <v>4633.6546138952217</v>
      </c>
      <c r="AF27" s="21">
        <f>AE27-B27</f>
        <v>-12.015386104778372</v>
      </c>
      <c r="AG27" s="50">
        <f>AF27/B27</f>
        <v>-2.5863623771766766E-3</v>
      </c>
      <c r="AH27" s="51">
        <f>AF27^2</f>
        <v>144.36950324690119</v>
      </c>
      <c r="AI27" s="50"/>
    </row>
    <row r="28" spans="1:35" ht="13">
      <c r="A28" s="18">
        <v>25</v>
      </c>
      <c r="B28" s="21">
        <v>4034.12</v>
      </c>
      <c r="C28" s="21">
        <v>200</v>
      </c>
      <c r="D28" s="21">
        <v>40</v>
      </c>
      <c r="E28" s="21">
        <v>0</v>
      </c>
      <c r="F28" s="20">
        <v>0.5</v>
      </c>
      <c r="G28" s="16">
        <v>66.3</v>
      </c>
      <c r="H28" s="18">
        <v>0</v>
      </c>
      <c r="I28" s="57">
        <f>(I27*$I$1+C28)^$I$2</f>
        <v>260</v>
      </c>
      <c r="J28" s="57">
        <f>(J27*$J$1+D28)^$J$2</f>
        <v>40</v>
      </c>
      <c r="K28" s="57">
        <f>(K27*$K$1+E28)^$K$2</f>
        <v>0</v>
      </c>
      <c r="M28" s="18" t="str">
        <v>Newspaper Ads, AR=0.3, DR=1</v>
      </c>
      <c r="N28" s="21">
        <v>12529.961336233602</v>
      </c>
      <c r="O28" s="50">
        <f>N28/SUM($N$26:$N$32)</f>
        <v>6.9955957961496132E-2</v>
      </c>
      <c r="X28" s="21">
        <f>$N$42*K28</f>
        <v>0</v>
      </c>
      <c r="Y28" s="21">
        <f>$O$42*J28</f>
        <v>84.754900217716028</v>
      </c>
      <c r="Z28" s="21">
        <f>$P$42*I28</f>
        <v>950.18873470820586</v>
      </c>
      <c r="AA28" s="21">
        <f>$Q$42*H28</f>
        <v>0</v>
      </c>
      <c r="AB28" s="21">
        <f>$R$42*G28</f>
        <v>1697.7075150938344</v>
      </c>
      <c r="AC28" s="21">
        <f>$S$42*F28</f>
        <v>-341.47159950323402</v>
      </c>
      <c r="AD28" s="21">
        <f>$T$42</f>
        <v>1605.4931803061395</v>
      </c>
      <c r="AE28" s="21">
        <f>SUM(X28:AD28)</f>
        <v>3996.6727308226623</v>
      </c>
      <c r="AF28" s="21">
        <f>AE28-B28</f>
        <v>-37.447269177337603</v>
      </c>
      <c r="AG28" s="50">
        <f>AF28/B28</f>
        <v>-9.2826364057929864E-3</v>
      </c>
      <c r="AH28" s="51">
        <f>AF28^2</f>
        <v>1402.2979688399789</v>
      </c>
      <c r="AI28" s="50"/>
    </row>
    <row r="29" spans="1:35" ht="13">
      <c r="A29" s="18">
        <v>26</v>
      </c>
      <c r="B29" s="21">
        <v>4510.32</v>
      </c>
      <c r="C29" s="21">
        <v>200</v>
      </c>
      <c r="D29" s="21">
        <v>40</v>
      </c>
      <c r="E29" s="21">
        <v>70</v>
      </c>
      <c r="F29" s="20">
        <v>0.5</v>
      </c>
      <c r="G29" s="16">
        <v>74.400000000000006</v>
      </c>
      <c r="H29" s="18">
        <v>0</v>
      </c>
      <c r="I29" s="57">
        <f>(I28*$I$1+C29)^$I$2</f>
        <v>278</v>
      </c>
      <c r="J29" s="57">
        <f>(J28*$J$1+D29)^$J$2</f>
        <v>40</v>
      </c>
      <c r="K29" s="57">
        <f>(K28*$K$1+E29)^$K$2</f>
        <v>12.79554604618191</v>
      </c>
      <c r="M29" s="18" t="str">
        <v>Holiday</v>
      </c>
      <c r="N29" s="21">
        <v>8229.6782381786288</v>
      </c>
      <c r="O29" s="50">
        <f>N29/SUM($N$26:$N$32)</f>
        <v>4.5947071137548985E-2</v>
      </c>
      <c r="X29" s="21">
        <f>$N$42*K29</f>
        <v>250.91789466293579</v>
      </c>
      <c r="Y29" s="21">
        <f>$O$42*J29</f>
        <v>84.754900217716028</v>
      </c>
      <c r="Z29" s="21">
        <f>$P$42*I29</f>
        <v>1015.9710317264662</v>
      </c>
      <c r="AA29" s="21">
        <f>$Q$42*H29</f>
        <v>0</v>
      </c>
      <c r="AB29" s="21">
        <f>$R$42*G29</f>
        <v>1905.1197454446651</v>
      </c>
      <c r="AC29" s="21">
        <f>$S$42*F29</f>
        <v>-341.47159950323402</v>
      </c>
      <c r="AD29" s="21">
        <f>$T$42</f>
        <v>1605.4931803061395</v>
      </c>
      <c r="AE29" s="21">
        <f>SUM(X29:AD29)</f>
        <v>4520.7851528546889</v>
      </c>
      <c r="AF29" s="21">
        <f>AE29-B29</f>
        <v>10.465152854689222</v>
      </c>
      <c r="AG29" s="50">
        <f>AF29/B29</f>
        <v>2.3202683744588462E-3</v>
      </c>
      <c r="AH29" s="51">
        <f>AF29^2</f>
        <v>109.51942427200999</v>
      </c>
      <c r="AI29" s="50"/>
    </row>
    <row r="30" spans="1:35" ht="13">
      <c r="A30" s="18">
        <v>27</v>
      </c>
      <c r="B30" s="21">
        <v>4436.8999999999996</v>
      </c>
      <c r="C30" s="21">
        <v>200</v>
      </c>
      <c r="D30" s="21">
        <v>50</v>
      </c>
      <c r="E30" s="21">
        <v>70</v>
      </c>
      <c r="F30" s="20">
        <v>0.5</v>
      </c>
      <c r="G30" s="16">
        <v>75.400000000000006</v>
      </c>
      <c r="H30" s="18">
        <v>0</v>
      </c>
      <c r="I30" s="57">
        <f>(I29*$I$1+C30)^$I$2</f>
        <v>283.39999999999998</v>
      </c>
      <c r="J30" s="57">
        <f>(J29*$J$1+D30)^$J$2</f>
        <v>50</v>
      </c>
      <c r="K30" s="57">
        <f>(K29*$K$1+E30)^$K$2</f>
        <v>12.79554604618191</v>
      </c>
      <c r="M30" s="18" t="str">
        <v>Temperature</v>
      </c>
      <c r="N30" s="21">
        <v>72591.719977971501</v>
      </c>
      <c r="O30" s="50">
        <f>N30/SUM($N$26:$N$32)</f>
        <v>0.40528643104801015</v>
      </c>
      <c r="X30" s="21">
        <f>$N$42*K30</f>
        <v>250.91789466293579</v>
      </c>
      <c r="Y30" s="21">
        <f>$O$42*J30</f>
        <v>105.94362527214503</v>
      </c>
      <c r="Z30" s="21">
        <f>$P$42*I30</f>
        <v>1035.7057208319443</v>
      </c>
      <c r="AA30" s="21">
        <f>$Q$42*H30</f>
        <v>0</v>
      </c>
      <c r="AB30" s="21">
        <f>$R$42*G30</f>
        <v>1930.7261936361256</v>
      </c>
      <c r="AC30" s="21">
        <f>$S$42*F30</f>
        <v>-341.47159950323402</v>
      </c>
      <c r="AD30" s="21">
        <f>$T$42</f>
        <v>1605.4931803061395</v>
      </c>
      <c r="AE30" s="21">
        <f>SUM(X30:AD30)</f>
        <v>4587.3150152060571</v>
      </c>
      <c r="AF30" s="21">
        <f>AE30-B30</f>
        <v>150.41501520605743</v>
      </c>
      <c r="AG30" s="50">
        <f>AF30/B30</f>
        <v>3.3900925241961151E-2</v>
      </c>
      <c r="AH30" s="51">
        <f>AF30^2</f>
        <v>22624.67679943849</v>
      </c>
      <c r="AI30" s="50"/>
    </row>
    <row r="31" spans="1:35" ht="13">
      <c r="A31" s="18">
        <v>28</v>
      </c>
      <c r="B31" s="21">
        <v>5427.97</v>
      </c>
      <c r="C31" s="21">
        <v>200</v>
      </c>
      <c r="D31" s="21">
        <v>50</v>
      </c>
      <c r="E31" s="21">
        <v>70</v>
      </c>
      <c r="F31" s="20">
        <v>0.5</v>
      </c>
      <c r="G31" s="16">
        <v>77.099999999999994</v>
      </c>
      <c r="H31" s="18">
        <v>1</v>
      </c>
      <c r="I31" s="57">
        <f>(I30*$I$1+C31)^$I$2</f>
        <v>285.02</v>
      </c>
      <c r="J31" s="57">
        <f>(J30*$J$1+D31)^$J$2</f>
        <v>50</v>
      </c>
      <c r="K31" s="57">
        <f>(K30*$K$1+E31)^$K$2</f>
        <v>12.79554604618191</v>
      </c>
      <c r="M31" s="18" t="str">
        <v>Price Change</v>
      </c>
      <c r="N31" s="21">
        <v>-3073.2443955291055</v>
      </c>
      <c r="O31" s="50">
        <f>N31/SUM($N$26:$N$32)</f>
        <v>-1.7158213818053356E-2</v>
      </c>
      <c r="X31" s="21">
        <f>$N$42*K31</f>
        <v>250.91789466293579</v>
      </c>
      <c r="Y31" s="21">
        <f>$O$42*J31</f>
        <v>105.94362527214503</v>
      </c>
      <c r="Z31" s="21">
        <f>$P$42*I31</f>
        <v>1041.6261275635877</v>
      </c>
      <c r="AA31" s="21">
        <f>$Q$42*H31</f>
        <v>822.96782381786284</v>
      </c>
      <c r="AB31" s="21">
        <f>$R$42*G31</f>
        <v>1974.2571555616082</v>
      </c>
      <c r="AC31" s="21">
        <f>$S$42*F31</f>
        <v>-341.47159950323402</v>
      </c>
      <c r="AD31" s="21">
        <f>$T$42</f>
        <v>1605.4931803061395</v>
      </c>
      <c r="AE31" s="21">
        <f>SUM(X31:AD31)</f>
        <v>5459.7342076810455</v>
      </c>
      <c r="AF31" s="21">
        <f>AE31-B31</f>
        <v>31.764207681045264</v>
      </c>
      <c r="AG31" s="50">
        <f>AF31/B31</f>
        <v>5.8519497493621482E-3</v>
      </c>
      <c r="AH31" s="51">
        <f>AF31^2</f>
        <v>1008.964889604575</v>
      </c>
      <c r="AI31" s="50"/>
    </row>
    <row r="32" spans="1:35" ht="13">
      <c r="A32" s="18">
        <v>29</v>
      </c>
      <c r="B32" s="21">
        <v>4758.76</v>
      </c>
      <c r="C32" s="21">
        <v>200</v>
      </c>
      <c r="D32" s="21">
        <v>50</v>
      </c>
      <c r="E32" s="21">
        <v>70</v>
      </c>
      <c r="F32" s="20">
        <v>0.5</v>
      </c>
      <c r="G32" s="16">
        <v>75.400000000000006</v>
      </c>
      <c r="H32" s="18">
        <v>0</v>
      </c>
      <c r="I32" s="57">
        <f>(I31*$I$1+C32)^$I$2</f>
        <v>285.50599999999997</v>
      </c>
      <c r="J32" s="57">
        <f>(J31*$J$1+D32)^$J$2</f>
        <v>50</v>
      </c>
      <c r="K32" s="57">
        <f>(K31*$K$1+E32)^$K$2</f>
        <v>12.79554604618191</v>
      </c>
      <c r="M32" s="18" t="str">
        <v>Baseline</v>
      </c>
      <c r="N32" s="21">
        <v>83485.645375919223</v>
      </c>
      <c r="O32" s="50">
        <f>N32/SUM($N$26:$N$32)</f>
        <v>0.46610824579461374</v>
      </c>
      <c r="X32" s="21">
        <f>$N$42*K32</f>
        <v>250.91789466293579</v>
      </c>
      <c r="Y32" s="21">
        <f>$O$42*J32</f>
        <v>105.94362527214503</v>
      </c>
      <c r="Z32" s="21">
        <f>$P$42*I32</f>
        <v>1043.4022495830807</v>
      </c>
      <c r="AA32" s="21">
        <f>$Q$42*H32</f>
        <v>0</v>
      </c>
      <c r="AB32" s="21">
        <f>$R$42*G32</f>
        <v>1930.7261936361256</v>
      </c>
      <c r="AC32" s="21">
        <f>$S$42*F32</f>
        <v>-341.47159950323402</v>
      </c>
      <c r="AD32" s="21">
        <f>$T$42</f>
        <v>1605.4931803061395</v>
      </c>
      <c r="AE32" s="21">
        <f>SUM(X32:AD32)</f>
        <v>4595.0115439571928</v>
      </c>
      <c r="AF32" s="21">
        <f>AE32-B32</f>
        <v>-163.74845604280745</v>
      </c>
      <c r="AG32" s="50">
        <f>AF32/B32</f>
        <v>-3.4409900066993807E-2</v>
      </c>
      <c r="AH32" s="51">
        <f>AF32^2</f>
        <v>26813.556856403244</v>
      </c>
      <c r="AI32" s="50"/>
    </row>
    <row r="33" spans="1:35" ht="13">
      <c r="A33" s="18">
        <v>30</v>
      </c>
      <c r="B33" s="21">
        <v>4773.62</v>
      </c>
      <c r="C33" s="21">
        <v>200</v>
      </c>
      <c r="D33" s="21">
        <v>50</v>
      </c>
      <c r="E33" s="21">
        <v>140</v>
      </c>
      <c r="F33" s="20">
        <v>0.5</v>
      </c>
      <c r="G33" s="16">
        <v>79.599999999999994</v>
      </c>
      <c r="H33" s="18">
        <v>0</v>
      </c>
      <c r="I33" s="57">
        <f>(I32*$I$1+C33)^$I$2</f>
        <v>285.65179999999998</v>
      </c>
      <c r="J33" s="57">
        <f>(J32*$J$1+D33)^$J$2</f>
        <v>50</v>
      </c>
      <c r="K33" s="57">
        <f>(K32*$K$1+E33)^$K$2</f>
        <v>19.394421119744536</v>
      </c>
      <c r="X33" s="21">
        <f>$N$42*K33</f>
        <v>380.3204097745226</v>
      </c>
      <c r="Y33" s="21">
        <f>$O$42*J33</f>
        <v>105.94362527214503</v>
      </c>
      <c r="Z33" s="21">
        <f>$P$42*I33</f>
        <v>1043.9350861889286</v>
      </c>
      <c r="AA33" s="21">
        <f>$Q$42*H33</f>
        <v>0</v>
      </c>
      <c r="AB33" s="21">
        <f>$R$42*G33</f>
        <v>2038.2732760402596</v>
      </c>
      <c r="AC33" s="21">
        <f>$S$42*F33</f>
        <v>-341.47159950323402</v>
      </c>
      <c r="AD33" s="21">
        <f>$T$42</f>
        <v>1605.4931803061395</v>
      </c>
      <c r="AE33" s="21">
        <f>SUM(X33:AD33)</f>
        <v>4832.4939780787608</v>
      </c>
      <c r="AF33" s="21">
        <f>AE33-B33</f>
        <v>58.873978078760956</v>
      </c>
      <c r="AG33" s="50">
        <f>AF33/B33</f>
        <v>1.2333193274446009E-2</v>
      </c>
      <c r="AH33" s="51">
        <f>AF33^2</f>
        <v>3466.1452948184256</v>
      </c>
      <c r="AI33" s="50"/>
    </row>
    <row r="34" spans="1:35" ht="13">
      <c r="A34" s="18">
        <v>31</v>
      </c>
      <c r="B34" s="21">
        <v>4866.54</v>
      </c>
      <c r="C34" s="21">
        <v>200</v>
      </c>
      <c r="D34" s="21">
        <v>50</v>
      </c>
      <c r="E34" s="21">
        <v>140</v>
      </c>
      <c r="F34" s="20">
        <v>0.5</v>
      </c>
      <c r="G34" s="16">
        <v>80.2</v>
      </c>
      <c r="H34" s="18">
        <v>0</v>
      </c>
      <c r="I34" s="57">
        <f>(I33*$I$1+C34)^$I$2</f>
        <v>285.69553999999999</v>
      </c>
      <c r="J34" s="57">
        <f>(J33*$J$1+D34)^$J$2</f>
        <v>50</v>
      </c>
      <c r="K34" s="57">
        <f>(K33*$K$1+E34)^$K$2</f>
        <v>19.394421119744536</v>
      </c>
      <c r="X34" s="21">
        <f>$N$42*K34</f>
        <v>380.3204097745226</v>
      </c>
      <c r="Y34" s="21">
        <f>$O$42*J34</f>
        <v>105.94362527214503</v>
      </c>
      <c r="Z34" s="21">
        <f>$P$42*I34</f>
        <v>1044.0949371706831</v>
      </c>
      <c r="AA34" s="21">
        <f>$Q$42*H34</f>
        <v>0</v>
      </c>
      <c r="AB34" s="21">
        <f>$R$42*G34</f>
        <v>2053.6371449551361</v>
      </c>
      <c r="AC34" s="21">
        <f>$S$42*F34</f>
        <v>-341.47159950323402</v>
      </c>
      <c r="AD34" s="21">
        <f>$T$42</f>
        <v>1605.4931803061395</v>
      </c>
      <c r="AE34" s="21">
        <f>SUM(X34:AD34)</f>
        <v>4848.0176979753924</v>
      </c>
      <c r="AF34" s="21">
        <f>AE34-B34</f>
        <v>-18.522302024607598</v>
      </c>
      <c r="AG34" s="50">
        <f>AF34/B34</f>
        <v>-3.8060515324250077E-3</v>
      </c>
      <c r="AH34" s="51">
        <f>AF34^2</f>
        <v>343.07567229078273</v>
      </c>
      <c r="AI34" s="50"/>
    </row>
    <row r="35" spans="1:35" ht="13">
      <c r="A35" s="18">
        <v>32</v>
      </c>
      <c r="B35" s="21">
        <v>4846.53</v>
      </c>
      <c r="C35" s="21">
        <v>200</v>
      </c>
      <c r="D35" s="21">
        <v>40</v>
      </c>
      <c r="E35" s="21">
        <v>140</v>
      </c>
      <c r="F35" s="20">
        <v>0.5</v>
      </c>
      <c r="G35" s="16">
        <v>75.900000000000006</v>
      </c>
      <c r="H35" s="18">
        <v>0</v>
      </c>
      <c r="I35" s="57">
        <f>(I34*$I$1+C35)^$I$2</f>
        <v>285.708662</v>
      </c>
      <c r="J35" s="57">
        <f>(J34*$J$1+D35)^$J$2</f>
        <v>40</v>
      </c>
      <c r="K35" s="57">
        <f>(K34*$K$1+E35)^$K$2</f>
        <v>19.394421119744536</v>
      </c>
      <c r="X35" s="21">
        <f>$N$42*K35</f>
        <v>380.3204097745226</v>
      </c>
      <c r="Y35" s="21">
        <f>$O$42*J35</f>
        <v>84.754900217716028</v>
      </c>
      <c r="Z35" s="21">
        <f>$P$42*I35</f>
        <v>1044.1428924652093</v>
      </c>
      <c r="AA35" s="21">
        <f>$Q$42*H35</f>
        <v>0</v>
      </c>
      <c r="AB35" s="21">
        <f>$R$42*G35</f>
        <v>1943.529417731856</v>
      </c>
      <c r="AC35" s="21">
        <f>$S$42*F35</f>
        <v>-341.47159950323402</v>
      </c>
      <c r="AD35" s="21">
        <f>$T$42</f>
        <v>1605.4931803061395</v>
      </c>
      <c r="AE35" s="21">
        <f>SUM(X35:AD35)</f>
        <v>4716.7692009922102</v>
      </c>
      <c r="AF35" s="21">
        <f>AE35-B35</f>
        <v>-129.7607990077895</v>
      </c>
      <c r="AG35" s="50">
        <f>AF35/B35</f>
        <v>-2.6773959721241695E-2</v>
      </c>
      <c r="AH35" s="51">
        <f>AF35^2</f>
        <v>16837.864959139944</v>
      </c>
      <c r="AI35" s="50"/>
    </row>
    <row r="36" spans="1:35" ht="13">
      <c r="A36" s="18">
        <v>33</v>
      </c>
      <c r="B36" s="21">
        <v>5209.8999999999996</v>
      </c>
      <c r="C36" s="21">
        <v>200</v>
      </c>
      <c r="D36" s="21">
        <v>40</v>
      </c>
      <c r="E36" s="21">
        <v>140</v>
      </c>
      <c r="F36" s="20">
        <v>-0.2</v>
      </c>
      <c r="G36" s="16">
        <v>77.3</v>
      </c>
      <c r="H36" s="18">
        <v>0</v>
      </c>
      <c r="I36" s="57">
        <f>(I35*$I$1+C36)^$I$2</f>
        <v>285.71259859999998</v>
      </c>
      <c r="J36" s="57">
        <f>(J35*$J$1+D36)^$J$2</f>
        <v>40</v>
      </c>
      <c r="K36" s="57">
        <f>(K35*$K$1+E36)^$K$2</f>
        <v>19.394421119744536</v>
      </c>
      <c r="X36" s="21">
        <f>$N$42*K36</f>
        <v>380.3204097745226</v>
      </c>
      <c r="Y36" s="21">
        <f>$O$42*J36</f>
        <v>84.754900217716028</v>
      </c>
      <c r="Z36" s="21">
        <f>$P$42*I36</f>
        <v>1044.1572790535672</v>
      </c>
      <c r="AA36" s="21">
        <f>$Q$42*H36</f>
        <v>0</v>
      </c>
      <c r="AB36" s="21">
        <f>$R$42*G36</f>
        <v>1979.3784451999004</v>
      </c>
      <c r="AC36" s="21">
        <f>$S$42*F36</f>
        <v>136.58863980129362</v>
      </c>
      <c r="AD36" s="21">
        <f>$T$42</f>
        <v>1605.4931803061395</v>
      </c>
      <c r="AE36" s="21">
        <f>SUM(X36:AD36)</f>
        <v>5230.6928543531394</v>
      </c>
      <c r="AF36" s="21">
        <f>AE36-B36</f>
        <v>20.792854353139774</v>
      </c>
      <c r="AG36" s="50">
        <f>AF36/B36</f>
        <v>3.9910275347203933E-3</v>
      </c>
      <c r="AH36" s="51">
        <f>AF36^2</f>
        <v>432.34279215088361</v>
      </c>
      <c r="AI36" s="50"/>
    </row>
    <row r="37" spans="1:35" ht="13">
      <c r="A37" s="18">
        <v>34</v>
      </c>
      <c r="B37" s="21">
        <v>4831.16</v>
      </c>
      <c r="C37" s="21">
        <v>200</v>
      </c>
      <c r="D37" s="21">
        <v>40</v>
      </c>
      <c r="E37" s="21">
        <v>35</v>
      </c>
      <c r="F37" s="20">
        <v>-0.2</v>
      </c>
      <c r="G37" s="16">
        <v>72.7</v>
      </c>
      <c r="H37" s="18">
        <v>0</v>
      </c>
      <c r="I37" s="57">
        <f>(I36*$I$1+C37)^$I$2</f>
        <v>285.71377957999999</v>
      </c>
      <c r="J37" s="57">
        <f>(J36*$J$1+D37)^$J$2</f>
        <v>40</v>
      </c>
      <c r="K37" s="57">
        <f>(K36*$K$1+E37)^$K$2</f>
        <v>8.4419121152979244</v>
      </c>
      <c r="X37" s="21">
        <f>$N$42*K37</f>
        <v>165.54407348111167</v>
      </c>
      <c r="Y37" s="21">
        <f>$O$42*J37</f>
        <v>84.754900217716028</v>
      </c>
      <c r="Z37" s="21">
        <f>$P$42*I37</f>
        <v>1044.1615950300747</v>
      </c>
      <c r="AA37" s="21">
        <f>$Q$42*H37</f>
        <v>0</v>
      </c>
      <c r="AB37" s="21">
        <f>$R$42*G37</f>
        <v>1861.588783519182</v>
      </c>
      <c r="AC37" s="21">
        <f>$S$42*F37</f>
        <v>136.58863980129362</v>
      </c>
      <c r="AD37" s="21">
        <f>$T$42</f>
        <v>1605.4931803061395</v>
      </c>
      <c r="AE37" s="21">
        <f>SUM(X37:AD37)</f>
        <v>4898.1311723555173</v>
      </c>
      <c r="AF37" s="21">
        <f>AE37-B37</f>
        <v>66.97117235551741</v>
      </c>
      <c r="AG37" s="50">
        <f>AF37/B37</f>
        <v>1.3862337897216696E-2</v>
      </c>
      <c r="AH37" s="51">
        <f>AF37^2</f>
        <v>4485.1379266724198</v>
      </c>
      <c r="AI37" s="50"/>
    </row>
    <row r="38" spans="1:35" ht="13">
      <c r="A38" s="18">
        <v>35</v>
      </c>
      <c r="B38" s="21">
        <v>4999.6400000000003</v>
      </c>
      <c r="C38" s="21">
        <v>200</v>
      </c>
      <c r="D38" s="21">
        <v>40</v>
      </c>
      <c r="E38" s="21">
        <v>35</v>
      </c>
      <c r="F38" s="20">
        <v>-0.2</v>
      </c>
      <c r="G38" s="16">
        <v>76.7</v>
      </c>
      <c r="H38" s="18">
        <v>0</v>
      </c>
      <c r="I38" s="57">
        <f>(I37*$I$1+C38)^$I$2</f>
        <v>285.71413387400003</v>
      </c>
      <c r="J38" s="57">
        <f>(J37*$J$1+D38)^$J$2</f>
        <v>40</v>
      </c>
      <c r="K38" s="57">
        <f>(K37*$K$1+E38)^$K$2</f>
        <v>8.4419121152979244</v>
      </c>
      <c r="X38" s="21">
        <f>$N$42*K38</f>
        <v>165.54407348111167</v>
      </c>
      <c r="Y38" s="21">
        <f>$O$42*J38</f>
        <v>84.754900217716028</v>
      </c>
      <c r="Z38" s="21">
        <f>$P$42*I38</f>
        <v>1044.1628898230269</v>
      </c>
      <c r="AA38" s="21">
        <f>$Q$42*H38</f>
        <v>0</v>
      </c>
      <c r="AB38" s="21">
        <f>$R$42*G38</f>
        <v>1964.0145762850243</v>
      </c>
      <c r="AC38" s="21">
        <f>$S$42*F38</f>
        <v>136.58863980129362</v>
      </c>
      <c r="AD38" s="21">
        <f>$T$42</f>
        <v>1605.4931803061395</v>
      </c>
      <c r="AE38" s="21">
        <f>SUM(X38:AD38)</f>
        <v>5000.5582599143127</v>
      </c>
      <c r="AF38" s="21">
        <f>AE38-B38</f>
        <v>0.91825991431232978</v>
      </c>
      <c r="AG38" s="50">
        <f>AF38/B38</f>
        <v>1.8366520675735246E-4</v>
      </c>
      <c r="AH38" s="51">
        <f>AF38^2</f>
        <v>0.84320127023288727</v>
      </c>
      <c r="AI38" s="50"/>
    </row>
    <row r="39" spans="1:35" ht="13">
      <c r="A39" s="18">
        <v>36</v>
      </c>
      <c r="B39" s="21">
        <v>4073.66</v>
      </c>
      <c r="C39" s="21">
        <v>0</v>
      </c>
      <c r="D39" s="21">
        <v>20</v>
      </c>
      <c r="E39" s="21">
        <v>35</v>
      </c>
      <c r="F39" s="20">
        <v>-0.2</v>
      </c>
      <c r="G39" s="16">
        <v>72.7</v>
      </c>
      <c r="H39" s="18">
        <v>0</v>
      </c>
      <c r="I39" s="57">
        <f>(I38*$I$1+C39)^$I$2</f>
        <v>85.714240162199999</v>
      </c>
      <c r="J39" s="57">
        <f>(J38*$J$1+D39)^$J$2</f>
        <v>20</v>
      </c>
      <c r="K39" s="57">
        <f>(K38*$K$1+E39)^$K$2</f>
        <v>8.4419121152979244</v>
      </c>
      <c r="X39" s="21">
        <f>$N$42*K39</f>
        <v>165.54407348111167</v>
      </c>
      <c r="Y39" s="21">
        <f>$O$42*J39</f>
        <v>42.377450108858014</v>
      </c>
      <c r="Z39" s="21">
        <f>$P$42*I39</f>
        <v>313.24886694690804</v>
      </c>
      <c r="AA39" s="21">
        <f>$Q$42*H39</f>
        <v>0</v>
      </c>
      <c r="AB39" s="21">
        <f>$R$42*G39</f>
        <v>1861.588783519182</v>
      </c>
      <c r="AC39" s="21">
        <f>$S$42*F39</f>
        <v>136.58863980129362</v>
      </c>
      <c r="AD39" s="21">
        <f>$T$42</f>
        <v>1605.4931803061395</v>
      </c>
      <c r="AE39" s="21">
        <f>SUM(X39:AD39)</f>
        <v>4124.8409941634927</v>
      </c>
      <c r="AF39" s="21">
        <f>AE39-B39</f>
        <v>51.180994163492869</v>
      </c>
      <c r="AG39" s="50">
        <f>AF39/B39</f>
        <v>1.2563884605856373E-2</v>
      </c>
      <c r="AH39" s="51">
        <f>AF39^2</f>
        <v>2619.4941635634909</v>
      </c>
      <c r="AI39" s="50"/>
    </row>
    <row r="40" spans="1:35" ht="13">
      <c r="A40" s="18">
        <v>37</v>
      </c>
      <c r="B40" s="21">
        <v>3885.19</v>
      </c>
      <c r="C40" s="21">
        <v>0</v>
      </c>
      <c r="D40" s="21">
        <v>20</v>
      </c>
      <c r="E40" s="21">
        <v>35</v>
      </c>
      <c r="F40" s="20">
        <v>-0.2</v>
      </c>
      <c r="G40" s="16">
        <v>71.7</v>
      </c>
      <c r="H40" s="18">
        <v>0</v>
      </c>
      <c r="I40" s="57">
        <f>(I39*$I$1+C40)^$I$2</f>
        <v>25.71427204866</v>
      </c>
      <c r="J40" s="57">
        <f>(J39*$J$1+D40)^$J$2</f>
        <v>20</v>
      </c>
      <c r="K40" s="57">
        <f>(K39*$K$1+E40)^$K$2</f>
        <v>8.4419121152979244</v>
      </c>
      <c r="X40" s="21">
        <f>$N$42*K40</f>
        <v>165.54407348111167</v>
      </c>
      <c r="Y40" s="21">
        <f>$O$42*J40</f>
        <v>42.377450108858014</v>
      </c>
      <c r="Z40" s="21">
        <f>$P$42*I40</f>
        <v>93.974660084072411</v>
      </c>
      <c r="AA40" s="21">
        <f>$Q$42*H40</f>
        <v>0</v>
      </c>
      <c r="AB40" s="21">
        <f>$R$42*G40</f>
        <v>1835.9823353277216</v>
      </c>
      <c r="AC40" s="21">
        <f>$S$42*F40</f>
        <v>136.58863980129362</v>
      </c>
      <c r="AD40" s="21">
        <f>$T$42</f>
        <v>1605.4931803061395</v>
      </c>
      <c r="AE40" s="21">
        <f>SUM(X40:AD40)</f>
        <v>3879.9603391091969</v>
      </c>
      <c r="AF40" s="21">
        <f>AE40-B40</f>
        <v>-5.2296608908031885</v>
      </c>
      <c r="AG40" s="50">
        <f>AF40/B40</f>
        <v>-1.3460502294104506E-3</v>
      </c>
      <c r="AH40" s="51">
        <f>AF40^2</f>
        <v>27.349353032796401</v>
      </c>
      <c r="AI40" s="50"/>
    </row>
    <row r="41" spans="1:35" ht="13">
      <c r="A41" s="18">
        <v>38</v>
      </c>
      <c r="B41" s="21">
        <v>3395.17</v>
      </c>
      <c r="C41" s="21">
        <v>0</v>
      </c>
      <c r="D41" s="21">
        <v>20</v>
      </c>
      <c r="E41" s="21">
        <v>0</v>
      </c>
      <c r="F41" s="20">
        <v>-0.2</v>
      </c>
      <c r="G41" s="16">
        <v>64.5</v>
      </c>
      <c r="H41" s="18">
        <v>0</v>
      </c>
      <c r="I41" s="57">
        <f>(I40*$I$1+C41)^$I$2</f>
        <v>7.7142816145979998</v>
      </c>
      <c r="J41" s="57">
        <f>(J40*$J$1+D41)^$J$2</f>
        <v>20</v>
      </c>
      <c r="K41" s="57">
        <f>(K40*$K$1+E41)^$K$2</f>
        <v>0</v>
      </c>
      <c r="N41" s="18" t="str">
        <f>K3</f>
        <v>Social Ads, AR=0, DR=0.6</v>
      </c>
      <c r="O41" s="18" t="str">
        <f>J3</f>
        <v>Search Ads, AR=0, DR=1</v>
      </c>
      <c r="P41" s="18" t="str">
        <f>I3</f>
        <v>Newspaper Ads, AR=0.3, DR=1</v>
      </c>
      <c r="Q41" s="18" t="str">
        <f>H3</f>
        <v>Holiday</v>
      </c>
      <c r="R41" s="18" t="str">
        <f>G3</f>
        <v>Temperature</v>
      </c>
      <c r="S41" s="18" t="str">
        <f>F3</f>
        <v>Price Change</v>
      </c>
      <c r="T41" s="18" t="s">
        <v>29</v>
      </c>
      <c r="X41" s="21">
        <f>$N$42*K41</f>
        <v>0</v>
      </c>
      <c r="Y41" s="21">
        <f>$O$42*J41</f>
        <v>42.377450108858014</v>
      </c>
      <c r="Z41" s="21">
        <f>$P$42*I41</f>
        <v>28.192398025221724</v>
      </c>
      <c r="AA41" s="21">
        <f>$Q$42*H41</f>
        <v>0</v>
      </c>
      <c r="AB41" s="21">
        <f>$R$42*G41</f>
        <v>1651.6159083492055</v>
      </c>
      <c r="AC41" s="21">
        <f>$S$42*F41</f>
        <v>136.58863980129362</v>
      </c>
      <c r="AD41" s="21">
        <f>$T$42</f>
        <v>1605.4931803061395</v>
      </c>
      <c r="AE41" s="21">
        <f>SUM(X41:AD41)</f>
        <v>3464.2675765907184</v>
      </c>
      <c r="AF41" s="21">
        <f>AE41-B41</f>
        <v>69.09757659071829</v>
      </c>
      <c r="AG41" s="50">
        <f>AF41/B41</f>
        <v>2.0351728069792761E-2</v>
      </c>
      <c r="AH41" s="51">
        <f>AF41^2</f>
        <v>4774.4750907101807</v>
      </c>
      <c r="AI41" s="50"/>
    </row>
    <row r="42" spans="1:35" ht="13">
      <c r="A42" s="18">
        <v>39</v>
      </c>
      <c r="B42" s="21">
        <v>3543.52</v>
      </c>
      <c r="C42" s="21">
        <v>0</v>
      </c>
      <c r="D42" s="21">
        <v>20</v>
      </c>
      <c r="E42" s="21">
        <v>0</v>
      </c>
      <c r="F42" s="20">
        <v>-0.2</v>
      </c>
      <c r="G42" s="16">
        <v>62.5</v>
      </c>
      <c r="H42" s="18">
        <v>0</v>
      </c>
      <c r="I42" s="57">
        <f>(I41*$I$1+C42)^$I$2</f>
        <v>2.3142844843793999</v>
      </c>
      <c r="J42" s="57">
        <f>(J41*$J$1+D42)^$J$2</f>
        <v>20</v>
      </c>
      <c r="K42" s="57">
        <f>(K41*$K$1+E42)^$K$2</f>
        <v>0</v>
      </c>
      <c r="M42" s="52" t="s">
        <v>41</v>
      </c>
      <c r="N42" s="53">
        <f t="array" ref="N42:T46">LINEST(B4:B55,F4:K55,1,1)</f>
        <v>19.609784041831315</v>
      </c>
      <c r="O42" s="53">
        <v>2.1188725054429005</v>
      </c>
      <c r="P42" s="53">
        <v>3.6545720565700224</v>
      </c>
      <c r="Q42" s="53">
        <v>822.96782381786284</v>
      </c>
      <c r="R42" s="53">
        <v>25.606448191460551</v>
      </c>
      <c r="S42" s="53">
        <v>-682.94319900646803</v>
      </c>
      <c r="T42" s="53">
        <v>1605.4931803061395</v>
      </c>
      <c r="X42" s="21">
        <f>$N$42*K42</f>
        <v>0</v>
      </c>
      <c r="Y42" s="21">
        <f>$O$42*J42</f>
        <v>42.377450108858014</v>
      </c>
      <c r="Z42" s="21">
        <f>$P$42*I42</f>
        <v>8.4577194075665183</v>
      </c>
      <c r="AA42" s="21">
        <f>$Q$42*H42</f>
        <v>0</v>
      </c>
      <c r="AB42" s="21">
        <f>$R$42*G42</f>
        <v>1600.4030119662843</v>
      </c>
      <c r="AC42" s="21">
        <f>$S$42*F42</f>
        <v>136.58863980129362</v>
      </c>
      <c r="AD42" s="21">
        <f>$T$42</f>
        <v>1605.4931803061395</v>
      </c>
      <c r="AE42" s="21">
        <f>SUM(X42:AD42)</f>
        <v>3393.3200015901421</v>
      </c>
      <c r="AF42" s="21">
        <f>AE42-B42</f>
        <v>-150.19999840985793</v>
      </c>
      <c r="AG42" s="50">
        <f>AF42/B42</f>
        <v>-4.2387230327430893E-2</v>
      </c>
      <c r="AH42" s="51">
        <f>AF42^2</f>
        <v>22560.039522321324</v>
      </c>
      <c r="AI42" s="50"/>
    </row>
    <row r="43" spans="1:35" ht="13">
      <c r="A43" s="18">
        <v>40</v>
      </c>
      <c r="B43" s="21">
        <v>3318.82</v>
      </c>
      <c r="C43" s="21">
        <v>0</v>
      </c>
      <c r="D43" s="21">
        <v>20</v>
      </c>
      <c r="E43" s="21">
        <v>0</v>
      </c>
      <c r="F43" s="20">
        <v>-0.2</v>
      </c>
      <c r="G43" s="16">
        <v>65.5</v>
      </c>
      <c r="H43" s="18">
        <v>0</v>
      </c>
      <c r="I43" s="57">
        <f>(I42*$I$1+C43)^$I$2</f>
        <v>0.69428534531381991</v>
      </c>
      <c r="J43" s="57">
        <f>(J42*$J$1+D43)^$J$2</f>
        <v>20</v>
      </c>
      <c r="K43" s="57">
        <f>(K42*$K$1+E43)^$K$2</f>
        <v>0</v>
      </c>
      <c r="M43" s="18" t="s">
        <v>86</v>
      </c>
      <c r="N43" s="18">
        <v>6.7548235320358563</v>
      </c>
      <c r="O43" s="18">
        <v>5.1946231175972981</v>
      </c>
      <c r="P43" s="18">
        <v>0.51643692800123786</v>
      </c>
      <c r="Q43" s="18">
        <v>52.418473069815725</v>
      </c>
      <c r="R43" s="18">
        <v>3.3262589140365639</v>
      </c>
      <c r="S43" s="18">
        <v>91.129781691087189</v>
      </c>
      <c r="T43" s="18">
        <v>125.96549661992545</v>
      </c>
      <c r="X43" s="21">
        <f>$N$42*K43</f>
        <v>0</v>
      </c>
      <c r="Y43" s="21">
        <f>$O$42*J43</f>
        <v>42.377450108858014</v>
      </c>
      <c r="Z43" s="21">
        <f>$P$42*I43</f>
        <v>2.5373158222699548</v>
      </c>
      <c r="AA43" s="21">
        <f>$Q$42*H43</f>
        <v>0</v>
      </c>
      <c r="AB43" s="21">
        <f>$R$42*G43</f>
        <v>1677.2223565406662</v>
      </c>
      <c r="AC43" s="21">
        <f>$S$42*F43</f>
        <v>136.58863980129362</v>
      </c>
      <c r="AD43" s="21">
        <f>$T$42</f>
        <v>1605.4931803061395</v>
      </c>
      <c r="AE43" s="21">
        <f>SUM(X43:AD43)</f>
        <v>3464.2189425792271</v>
      </c>
      <c r="AF43" s="21">
        <f>AE43-B43</f>
        <v>145.39894257922697</v>
      </c>
      <c r="AG43" s="50">
        <f>AF43/B43</f>
        <v>4.381043340079515E-2</v>
      </c>
      <c r="AH43" s="51">
        <f>AF43^2</f>
        <v>21140.852503157341</v>
      </c>
      <c r="AI43" s="50"/>
    </row>
    <row r="44" spans="1:35" ht="13">
      <c r="A44" s="18">
        <v>41</v>
      </c>
      <c r="B44" s="21">
        <v>3439.85</v>
      </c>
      <c r="C44" s="21">
        <v>0</v>
      </c>
      <c r="D44" s="21">
        <v>15</v>
      </c>
      <c r="E44" s="21">
        <v>0</v>
      </c>
      <c r="F44" s="20">
        <v>-0.2</v>
      </c>
      <c r="G44" s="16">
        <v>60.9</v>
      </c>
      <c r="H44" s="18">
        <v>0</v>
      </c>
      <c r="I44" s="57">
        <f>(I43*$I$1+C44)^$I$2</f>
        <v>0.20828560359414597</v>
      </c>
      <c r="J44" s="57">
        <f>(J43*$J$1+D44)^$J$2</f>
        <v>15</v>
      </c>
      <c r="K44" s="57">
        <f>(K43*$K$1+E44)^$K$2</f>
        <v>0</v>
      </c>
      <c r="M44" s="52" t="s">
        <v>14</v>
      </c>
      <c r="N44" s="53">
        <v>0.9760027249769283</v>
      </c>
      <c r="O44" s="18">
        <v>143.61718136805939</v>
      </c>
      <c r="P44" s="18" t="e">
        <v>#N/A</v>
      </c>
      <c r="Q44" s="18" t="e">
        <v>#N/A</v>
      </c>
      <c r="R44" s="18" t="e">
        <v>#N/A</v>
      </c>
      <c r="S44" s="18" t="e">
        <v>#N/A</v>
      </c>
      <c r="T44" s="18" t="e">
        <v>#N/A</v>
      </c>
      <c r="U44" s="18" t="s">
        <v>84</v>
      </c>
      <c r="X44" s="21">
        <f>$N$42*K44</f>
        <v>0</v>
      </c>
      <c r="Y44" s="21">
        <f>$O$42*J44</f>
        <v>31.783087581643507</v>
      </c>
      <c r="Z44" s="21">
        <f>$P$42*I44</f>
        <v>0.76119474668098652</v>
      </c>
      <c r="AA44" s="21">
        <f>$Q$42*H44</f>
        <v>0</v>
      </c>
      <c r="AB44" s="21">
        <f>$R$42*G44</f>
        <v>1559.4326948599476</v>
      </c>
      <c r="AC44" s="21">
        <f>$S$42*F44</f>
        <v>136.58863980129362</v>
      </c>
      <c r="AD44" s="21">
        <f>$T$42</f>
        <v>1605.4931803061395</v>
      </c>
      <c r="AE44" s="21">
        <f>SUM(X44:AD44)</f>
        <v>3334.0587972957051</v>
      </c>
      <c r="AF44" s="21">
        <f>AE44-B44</f>
        <v>-105.79120270429485</v>
      </c>
      <c r="AG44" s="50">
        <f>AF44/B44</f>
        <v>-3.0754597643587612E-2</v>
      </c>
      <c r="AH44" s="51">
        <f>AF44^2</f>
        <v>11191.778569621201</v>
      </c>
      <c r="AI44" s="50"/>
    </row>
    <row r="45" spans="1:35" ht="13">
      <c r="A45" s="18">
        <v>42</v>
      </c>
      <c r="B45" s="21">
        <v>3396.71</v>
      </c>
      <c r="C45" s="21">
        <v>0</v>
      </c>
      <c r="D45" s="21">
        <v>15</v>
      </c>
      <c r="E45" s="21">
        <v>0</v>
      </c>
      <c r="F45" s="20">
        <v>-0.2</v>
      </c>
      <c r="G45" s="16">
        <v>58.1</v>
      </c>
      <c r="H45" s="18">
        <v>0</v>
      </c>
      <c r="I45" s="57">
        <f>(I44*$I$1+C45)^$I$2</f>
        <v>6.2485681078243788E-2</v>
      </c>
      <c r="J45" s="57">
        <f>(J44*$J$1+D45)^$J$2</f>
        <v>15</v>
      </c>
      <c r="K45" s="57">
        <f>(K44*$K$1+E45)^$K$2</f>
        <v>0</v>
      </c>
      <c r="M45" s="18" t="s">
        <v>82</v>
      </c>
      <c r="N45" s="18">
        <v>305.03548549946839</v>
      </c>
      <c r="O45" s="18">
        <v>45</v>
      </c>
      <c r="P45" s="18" t="e">
        <v>#N/A</v>
      </c>
      <c r="Q45" s="18" t="e">
        <v>#N/A</v>
      </c>
      <c r="R45" s="18" t="e">
        <v>#N/A</v>
      </c>
      <c r="S45" s="18" t="e">
        <v>#N/A</v>
      </c>
      <c r="T45" s="18" t="e">
        <v>#N/A</v>
      </c>
      <c r="U45" s="18" t="s">
        <v>78</v>
      </c>
      <c r="X45" s="21">
        <f>$N$42*K45</f>
        <v>0</v>
      </c>
      <c r="Y45" s="21">
        <f>$O$42*J45</f>
        <v>31.783087581643507</v>
      </c>
      <c r="Z45" s="21">
        <f>$P$42*I45</f>
        <v>0.22835842400429593</v>
      </c>
      <c r="AA45" s="21">
        <f>$Q$42*H45</f>
        <v>0</v>
      </c>
      <c r="AB45" s="21">
        <f>$R$42*G45</f>
        <v>1487.7346399238581</v>
      </c>
      <c r="AC45" s="21">
        <f>$S$42*F45</f>
        <v>136.58863980129362</v>
      </c>
      <c r="AD45" s="21">
        <f>$T$42</f>
        <v>1605.4931803061395</v>
      </c>
      <c r="AE45" s="21">
        <f>SUM(X45:AD45)</f>
        <v>3261.8279060369387</v>
      </c>
      <c r="AF45" s="21">
        <f>AE45-B45</f>
        <v>-134.88209396306138</v>
      </c>
      <c r="AG45" s="50">
        <f>AF45/B45</f>
        <v>-3.9709629012503682E-2</v>
      </c>
      <c r="AH45" s="51">
        <f>AF45^2</f>
        <v>18193.179271860117</v>
      </c>
      <c r="AI45" s="50"/>
    </row>
    <row r="46" spans="1:35" ht="13">
      <c r="A46" s="18">
        <v>43</v>
      </c>
      <c r="B46" s="21">
        <v>3249.66</v>
      </c>
      <c r="C46" s="21">
        <v>0</v>
      </c>
      <c r="D46" s="21">
        <v>15</v>
      </c>
      <c r="E46" s="21">
        <v>0</v>
      </c>
      <c r="F46" s="20">
        <v>-0.2</v>
      </c>
      <c r="G46" s="16">
        <v>61.1</v>
      </c>
      <c r="H46" s="18">
        <v>0</v>
      </c>
      <c r="I46" s="57">
        <f>(I45*$I$1+C46)^$I$2</f>
        <v>1.8745704323473136E-2</v>
      </c>
      <c r="J46" s="57">
        <f>(J45*$J$1+D46)^$J$2</f>
        <v>15</v>
      </c>
      <c r="K46" s="57">
        <f>(K45*$K$1+E46)^$K$2</f>
        <v>0</v>
      </c>
      <c r="M46" s="18" t="s">
        <v>76</v>
      </c>
      <c r="N46" s="18">
        <v>37749778.975984469</v>
      </c>
      <c r="O46" s="18">
        <v>928165.26528477273</v>
      </c>
      <c r="P46" s="18" t="e">
        <v>#N/A</v>
      </c>
      <c r="Q46" s="18" t="e">
        <v>#N/A</v>
      </c>
      <c r="R46" s="18" t="e">
        <v>#N/A</v>
      </c>
      <c r="S46" s="18" t="e">
        <v>#N/A</v>
      </c>
      <c r="T46" s="18" t="e">
        <v>#N/A</v>
      </c>
      <c r="U46" s="18" t="s">
        <v>74</v>
      </c>
      <c r="X46" s="21">
        <f>$N$42*K46</f>
        <v>0</v>
      </c>
      <c r="Y46" s="21">
        <f>$O$42*J46</f>
        <v>31.783087581643507</v>
      </c>
      <c r="Z46" s="21">
        <f>$P$42*I46</f>
        <v>6.8507527201288776E-2</v>
      </c>
      <c r="AA46" s="21">
        <f>$Q$42*H46</f>
        <v>0</v>
      </c>
      <c r="AB46" s="21">
        <f>$R$42*G46</f>
        <v>1564.5539844982397</v>
      </c>
      <c r="AC46" s="21">
        <f>$S$42*F46</f>
        <v>136.58863980129362</v>
      </c>
      <c r="AD46" s="21">
        <f>$T$42</f>
        <v>1605.4931803061395</v>
      </c>
      <c r="AE46" s="21">
        <f>SUM(X46:AD46)</f>
        <v>3338.4873997145178</v>
      </c>
      <c r="AF46" s="21">
        <f>AE46-B46</f>
        <v>88.827399714517924</v>
      </c>
      <c r="AG46" s="50">
        <f>AF46/B46</f>
        <v>2.7334367199804879E-2</v>
      </c>
      <c r="AH46" s="51">
        <f>AF46^2</f>
        <v>7890.3069400427385</v>
      </c>
      <c r="AI46" s="50"/>
    </row>
    <row r="47" spans="1:35" ht="13">
      <c r="A47" s="18">
        <v>44</v>
      </c>
      <c r="B47" s="21">
        <v>2931.35</v>
      </c>
      <c r="C47" s="21">
        <v>0</v>
      </c>
      <c r="D47" s="21">
        <v>15</v>
      </c>
      <c r="E47" s="21">
        <v>0</v>
      </c>
      <c r="F47" s="20">
        <v>-0.2</v>
      </c>
      <c r="G47" s="16">
        <v>50.2</v>
      </c>
      <c r="H47" s="18">
        <v>0</v>
      </c>
      <c r="I47" s="57">
        <f>(I46*$I$1+C47)^$I$2</f>
        <v>5.6237112970419405E-3</v>
      </c>
      <c r="J47" s="57">
        <f>(J46*$J$1+D47)^$J$2</f>
        <v>15</v>
      </c>
      <c r="K47" s="57">
        <f>(K46*$K$1+E47)^$K$2</f>
        <v>0</v>
      </c>
      <c r="M47" s="18"/>
      <c r="X47" s="21">
        <f>$N$42*K47</f>
        <v>0</v>
      </c>
      <c r="Y47" s="21">
        <f>$O$42*J47</f>
        <v>31.783087581643507</v>
      </c>
      <c r="Z47" s="21">
        <f>$P$42*I47</f>
        <v>2.0552258160386631E-2</v>
      </c>
      <c r="AA47" s="21">
        <f>$Q$42*H47</f>
        <v>0</v>
      </c>
      <c r="AB47" s="21">
        <f>$R$42*G47</f>
        <v>1285.4436992113197</v>
      </c>
      <c r="AC47" s="21">
        <f>$S$42*F47</f>
        <v>136.58863980129362</v>
      </c>
      <c r="AD47" s="21">
        <f>$T$42</f>
        <v>1605.4931803061395</v>
      </c>
      <c r="AE47" s="21">
        <f>SUM(X47:AD47)</f>
        <v>3059.3291591585566</v>
      </c>
      <c r="AF47" s="21">
        <f>AE47-B47</f>
        <v>127.97915915855674</v>
      </c>
      <c r="AG47" s="50">
        <f>AF47/B47</f>
        <v>4.3658778091513036E-2</v>
      </c>
      <c r="AH47" s="51">
        <f>AF47^2</f>
        <v>16378.665178931198</v>
      </c>
      <c r="AI47" s="50"/>
    </row>
    <row r="48" spans="1:35" ht="13">
      <c r="A48" s="18">
        <v>45</v>
      </c>
      <c r="B48" s="21">
        <v>3933.05</v>
      </c>
      <c r="C48" s="21">
        <v>0</v>
      </c>
      <c r="D48" s="21">
        <v>10</v>
      </c>
      <c r="E48" s="21">
        <v>0</v>
      </c>
      <c r="F48" s="20">
        <v>-0.2</v>
      </c>
      <c r="G48" s="16">
        <v>50.4</v>
      </c>
      <c r="H48" s="18">
        <v>1</v>
      </c>
      <c r="I48" s="57">
        <f>(I47*$I$1+C48)^$I$2</f>
        <v>1.6871133891125821E-3</v>
      </c>
      <c r="J48" s="57">
        <f>(J47*$J$1+D48)^$J$2</f>
        <v>10</v>
      </c>
      <c r="K48" s="57">
        <f>(K47*$K$1+E48)^$K$2</f>
        <v>0</v>
      </c>
      <c r="M48" s="18"/>
      <c r="N48" s="58"/>
      <c r="O48" s="58"/>
      <c r="P48" s="58"/>
      <c r="Q48" s="58"/>
      <c r="R48" s="58"/>
      <c r="S48" s="58"/>
      <c r="T48" s="58"/>
      <c r="X48" s="21">
        <f>$N$42*K48</f>
        <v>0</v>
      </c>
      <c r="Y48" s="21">
        <f>$O$42*J48</f>
        <v>21.188725054429007</v>
      </c>
      <c r="Z48" s="21">
        <f>$P$42*I48</f>
        <v>6.1656774481159892E-3</v>
      </c>
      <c r="AA48" s="21">
        <f>$Q$42*H48</f>
        <v>822.96782381786284</v>
      </c>
      <c r="AB48" s="21">
        <f>$R$42*G48</f>
        <v>1290.5649888496118</v>
      </c>
      <c r="AC48" s="21">
        <f>$S$42*F48</f>
        <v>136.58863980129362</v>
      </c>
      <c r="AD48" s="21">
        <f>$T$42</f>
        <v>1605.4931803061395</v>
      </c>
      <c r="AE48" s="21">
        <f>SUM(X48:AD48)</f>
        <v>3876.8095235067849</v>
      </c>
      <c r="AF48" s="21">
        <f>AE48-B48</f>
        <v>-56.240476493215283</v>
      </c>
      <c r="AG48" s="50">
        <f>AF48/B48</f>
        <v>-1.4299456272667594E-2</v>
      </c>
      <c r="AH48" s="51">
        <f>AF48^2</f>
        <v>3162.9911961839007</v>
      </c>
      <c r="AI48" s="50"/>
    </row>
    <row r="49" spans="1:35" ht="13">
      <c r="A49" s="18">
        <v>46</v>
      </c>
      <c r="B49" s="21">
        <v>3506.81</v>
      </c>
      <c r="C49" s="21">
        <v>0</v>
      </c>
      <c r="D49" s="21">
        <v>10</v>
      </c>
      <c r="E49" s="21">
        <v>0</v>
      </c>
      <c r="F49" s="20">
        <v>-0.2</v>
      </c>
      <c r="G49" s="16">
        <v>55</v>
      </c>
      <c r="H49" s="18">
        <v>0</v>
      </c>
      <c r="I49" s="57">
        <f>(I48*$I$1+C49)^$I$2</f>
        <v>5.0613401673377462E-4</v>
      </c>
      <c r="J49" s="57">
        <f>(J48*$J$1+D49)^$J$2</f>
        <v>10</v>
      </c>
      <c r="K49" s="57">
        <f>(K48*$K$1+E49)^$K$2</f>
        <v>0</v>
      </c>
      <c r="M49" s="52"/>
      <c r="N49" s="56"/>
      <c r="O49" s="56"/>
      <c r="P49" s="56"/>
      <c r="Q49" s="56"/>
      <c r="R49" s="56"/>
      <c r="S49" s="56"/>
      <c r="T49" s="56"/>
      <c r="X49" s="21">
        <f>$N$42*K49</f>
        <v>0</v>
      </c>
      <c r="Y49" s="21">
        <f>$O$42*J49</f>
        <v>21.188725054429007</v>
      </c>
      <c r="Z49" s="21">
        <f>$P$42*I49</f>
        <v>1.8497032344347967E-3</v>
      </c>
      <c r="AA49" s="21">
        <f>$Q$42*H49</f>
        <v>0</v>
      </c>
      <c r="AB49" s="21">
        <f>$R$42*G49</f>
        <v>1408.3546505303302</v>
      </c>
      <c r="AC49" s="21">
        <f>$S$42*F49</f>
        <v>136.58863980129362</v>
      </c>
      <c r="AD49" s="21">
        <f>$T$42</f>
        <v>1605.4931803061395</v>
      </c>
      <c r="AE49" s="21">
        <f>SUM(X49:AD49)</f>
        <v>3171.6270453954266</v>
      </c>
      <c r="AF49" s="21">
        <f>AE49-B49</f>
        <v>-335.1829546045733</v>
      </c>
      <c r="AG49" s="50">
        <f>AF49/B49</f>
        <v>-9.5580585946935623E-2</v>
      </c>
      <c r="AH49" s="51">
        <f>AF49^2</f>
        <v>112347.61305745144</v>
      </c>
      <c r="AI49" s="50"/>
    </row>
    <row r="50" spans="1:35" ht="13">
      <c r="A50" s="18">
        <v>47</v>
      </c>
      <c r="B50" s="21">
        <v>2818.97</v>
      </c>
      <c r="C50" s="21">
        <v>0</v>
      </c>
      <c r="D50" s="21">
        <v>10</v>
      </c>
      <c r="E50" s="21">
        <v>0</v>
      </c>
      <c r="F50" s="20">
        <v>-0.2</v>
      </c>
      <c r="G50" s="16">
        <v>44.4</v>
      </c>
      <c r="H50" s="18">
        <v>0</v>
      </c>
      <c r="I50" s="57">
        <f>(I49*$I$1+C50)^$I$2</f>
        <v>1.5184020502013239E-4</v>
      </c>
      <c r="J50" s="57">
        <f>(J49*$J$1+D50)^$J$2</f>
        <v>10</v>
      </c>
      <c r="K50" s="57">
        <f>(K49*$K$1+E50)^$K$2</f>
        <v>0</v>
      </c>
      <c r="M50" s="18"/>
      <c r="N50" s="19"/>
      <c r="O50" s="19"/>
      <c r="P50" s="19"/>
      <c r="Q50" s="19"/>
      <c r="R50" s="19"/>
      <c r="S50" s="19"/>
      <c r="T50" s="19"/>
      <c r="X50" s="21">
        <f>$N$42*K50</f>
        <v>0</v>
      </c>
      <c r="Y50" s="21">
        <f>$O$42*J50</f>
        <v>21.188725054429007</v>
      </c>
      <c r="Z50" s="21">
        <f>$P$42*I50</f>
        <v>5.5491097033043908E-4</v>
      </c>
      <c r="AA50" s="21">
        <f>$Q$42*H50</f>
        <v>0</v>
      </c>
      <c r="AB50" s="21">
        <f>$R$42*G50</f>
        <v>1136.9262997008484</v>
      </c>
      <c r="AC50" s="21">
        <f>$S$42*F50</f>
        <v>136.58863980129362</v>
      </c>
      <c r="AD50" s="21">
        <f>$T$42</f>
        <v>1605.4931803061395</v>
      </c>
      <c r="AE50" s="21">
        <f>SUM(X50:AD50)</f>
        <v>2900.1973997736804</v>
      </c>
      <c r="AF50" s="21">
        <f>AE50-B50</f>
        <v>81.227399773680645</v>
      </c>
      <c r="AG50" s="50">
        <f>AF50/B50</f>
        <v>2.8814566942422463E-2</v>
      </c>
      <c r="AH50" s="51">
        <f>AF50^2</f>
        <v>6597.8904739933341</v>
      </c>
      <c r="AI50" s="50"/>
    </row>
    <row r="51" spans="1:35" ht="13">
      <c r="A51" s="18">
        <v>48</v>
      </c>
      <c r="B51" s="21">
        <v>3856.38</v>
      </c>
      <c r="C51" s="21">
        <v>0</v>
      </c>
      <c r="D51" s="21">
        <v>10</v>
      </c>
      <c r="E51" s="21">
        <v>0</v>
      </c>
      <c r="F51" s="20">
        <v>-0.2</v>
      </c>
      <c r="G51" s="16">
        <v>48.5</v>
      </c>
      <c r="H51" s="18">
        <v>1</v>
      </c>
      <c r="I51" s="57">
        <f>(I50*$I$1+C51)^$I$2</f>
        <v>4.5552061506039716E-5</v>
      </c>
      <c r="J51" s="57">
        <f>(J50*$J$1+D51)^$J$2</f>
        <v>10</v>
      </c>
      <c r="K51" s="57">
        <f>(K50*$K$1+E51)^$K$2</f>
        <v>0</v>
      </c>
      <c r="M51" s="18"/>
      <c r="X51" s="21">
        <f>$N$42*K51</f>
        <v>0</v>
      </c>
      <c r="Y51" s="21">
        <f>$O$42*J51</f>
        <v>21.188725054429007</v>
      </c>
      <c r="Z51" s="21">
        <f>$P$42*I51</f>
        <v>1.6647329109913171E-4</v>
      </c>
      <c r="AA51" s="21">
        <f>$Q$42*H51</f>
        <v>822.96782381786284</v>
      </c>
      <c r="AB51" s="21">
        <f>$R$42*G51</f>
        <v>1241.9127372858368</v>
      </c>
      <c r="AC51" s="21">
        <f>$S$42*F51</f>
        <v>136.58863980129362</v>
      </c>
      <c r="AD51" s="21">
        <f>$T$42</f>
        <v>1605.4931803061395</v>
      </c>
      <c r="AE51" s="21">
        <f>SUM(X51:AD51)</f>
        <v>3828.1512727388526</v>
      </c>
      <c r="AF51" s="21">
        <f>AE51-B51</f>
        <v>-28.228727261147469</v>
      </c>
      <c r="AG51" s="50">
        <f>AF51/B51</f>
        <v>-7.3200066542061385E-3</v>
      </c>
      <c r="AH51" s="51">
        <f>AF51^2</f>
        <v>796.86104278425034</v>
      </c>
      <c r="AI51" s="50"/>
    </row>
    <row r="52" spans="1:35" ht="13">
      <c r="A52" s="18">
        <v>49</v>
      </c>
      <c r="B52" s="21">
        <v>3060.15</v>
      </c>
      <c r="C52" s="21">
        <v>0</v>
      </c>
      <c r="D52" s="21">
        <v>0</v>
      </c>
      <c r="E52" s="21">
        <v>0</v>
      </c>
      <c r="F52" s="20">
        <v>-0.2</v>
      </c>
      <c r="G52" s="16">
        <v>44.5</v>
      </c>
      <c r="H52" s="18">
        <v>0</v>
      </c>
      <c r="I52" s="57">
        <f>(I51*$I$1+C52)^$I$2</f>
        <v>1.3665618451811915E-5</v>
      </c>
      <c r="J52" s="57">
        <f>(J51*$J$1+D52)^$J$2</f>
        <v>0</v>
      </c>
      <c r="K52" s="57">
        <f>(K51*$K$1+E52)^$K$2</f>
        <v>0</v>
      </c>
      <c r="M52" s="18"/>
      <c r="X52" s="21">
        <f>$N$42*K52</f>
        <v>0</v>
      </c>
      <c r="Y52" s="21">
        <f>$O$42*J52</f>
        <v>0</v>
      </c>
      <c r="Z52" s="21">
        <f>$P$42*I52</f>
        <v>4.9941987329739513E-5</v>
      </c>
      <c r="AA52" s="21">
        <f>$Q$42*H52</f>
        <v>0</v>
      </c>
      <c r="AB52" s="21">
        <f>$R$42*G52</f>
        <v>1139.4869445199945</v>
      </c>
      <c r="AC52" s="21">
        <f>$S$42*F52</f>
        <v>136.58863980129362</v>
      </c>
      <c r="AD52" s="21">
        <f>$T$42</f>
        <v>1605.4931803061395</v>
      </c>
      <c r="AE52" s="21">
        <f>SUM(X52:AD52)</f>
        <v>2881.5688145694148</v>
      </c>
      <c r="AF52" s="21">
        <f>AE52-B52</f>
        <v>-178.58118543058526</v>
      </c>
      <c r="AG52" s="50">
        <f>AF52/B52</f>
        <v>-5.8357003882353889E-2</v>
      </c>
      <c r="AH52" s="51">
        <f>AF52^2</f>
        <v>31891.239789793079</v>
      </c>
      <c r="AI52" s="50"/>
    </row>
    <row r="53" spans="1:35" ht="13">
      <c r="A53" s="18">
        <v>50</v>
      </c>
      <c r="B53" s="21">
        <v>2761.15</v>
      </c>
      <c r="C53" s="21">
        <v>0</v>
      </c>
      <c r="D53" s="21">
        <v>0</v>
      </c>
      <c r="E53" s="21">
        <v>0</v>
      </c>
      <c r="F53" s="20">
        <v>-0.2</v>
      </c>
      <c r="G53" s="16">
        <v>37.6</v>
      </c>
      <c r="H53" s="18">
        <v>0</v>
      </c>
      <c r="I53" s="57">
        <f>(I52*$I$1+C53)^$I$2</f>
        <v>4.0996855355435745E-6</v>
      </c>
      <c r="J53" s="57">
        <f>(J52*$J$1+D53)^$J$2</f>
        <v>0</v>
      </c>
      <c r="K53" s="57">
        <f>(K52*$K$1+E53)^$K$2</f>
        <v>0</v>
      </c>
      <c r="M53" s="52"/>
      <c r="N53" s="58"/>
      <c r="O53" s="58"/>
      <c r="P53" s="58"/>
      <c r="Q53" s="58"/>
      <c r="R53" s="58"/>
      <c r="S53" s="58"/>
      <c r="T53" s="58"/>
      <c r="X53" s="21">
        <f>$N$42*K53</f>
        <v>0</v>
      </c>
      <c r="Y53" s="21">
        <f>$O$42*J53</f>
        <v>0</v>
      </c>
      <c r="Z53" s="21">
        <f>$P$42*I53</f>
        <v>1.4982596198921854E-5</v>
      </c>
      <c r="AA53" s="21">
        <f>$Q$42*H53</f>
        <v>0</v>
      </c>
      <c r="AB53" s="21">
        <f>$R$42*G53</f>
        <v>962.80245199891669</v>
      </c>
      <c r="AC53" s="21">
        <f>$S$42*F53</f>
        <v>136.58863980129362</v>
      </c>
      <c r="AD53" s="21">
        <f>$T$42</f>
        <v>1605.4931803061395</v>
      </c>
      <c r="AE53" s="21">
        <f>SUM(X53:AD53)</f>
        <v>2704.8842870889457</v>
      </c>
      <c r="AF53" s="21">
        <f>AE53-B53</f>
        <v>-56.265712911054379</v>
      </c>
      <c r="AG53" s="50">
        <f>AF53/B53</f>
        <v>-2.037763718416398E-2</v>
      </c>
      <c r="AH53" s="51">
        <f>AF53^2</f>
        <v>3165.8304493891915</v>
      </c>
      <c r="AI53" s="50"/>
    </row>
    <row r="54" spans="1:35" ht="13">
      <c r="A54" s="18">
        <v>51</v>
      </c>
      <c r="B54" s="21">
        <v>2323.12</v>
      </c>
      <c r="C54" s="21">
        <v>0</v>
      </c>
      <c r="D54" s="21">
        <v>0</v>
      </c>
      <c r="E54" s="21">
        <v>0</v>
      </c>
      <c r="F54" s="20">
        <v>-0.2</v>
      </c>
      <c r="G54" s="16">
        <v>32.799999999999997</v>
      </c>
      <c r="H54" s="18">
        <v>0</v>
      </c>
      <c r="I54" s="57">
        <f>(I53*$I$1+C54)^$I$2</f>
        <v>1.2299056606630723E-6</v>
      </c>
      <c r="J54" s="57">
        <f>(J53*$J$1+D54)^$J$2</f>
        <v>0</v>
      </c>
      <c r="K54" s="57">
        <f>(K53*$K$1+E54)^$K$2</f>
        <v>0</v>
      </c>
      <c r="M54" s="52"/>
      <c r="N54" s="58"/>
      <c r="O54" s="58"/>
      <c r="P54" s="58"/>
      <c r="Q54" s="58"/>
      <c r="R54" s="58"/>
      <c r="S54" s="58"/>
      <c r="T54" s="58"/>
      <c r="X54" s="21">
        <f>$N$42*K54</f>
        <v>0</v>
      </c>
      <c r="Y54" s="21">
        <f>$O$42*J54</f>
        <v>0</v>
      </c>
      <c r="Z54" s="21">
        <f>$P$42*I54</f>
        <v>4.4947788596765559E-6</v>
      </c>
      <c r="AA54" s="21">
        <f>$Q$42*H54</f>
        <v>0</v>
      </c>
      <c r="AB54" s="21">
        <f>$R$42*G54</f>
        <v>839.89150067990602</v>
      </c>
      <c r="AC54" s="21">
        <f>$S$42*F54</f>
        <v>136.58863980129362</v>
      </c>
      <c r="AD54" s="21">
        <f>$T$42</f>
        <v>1605.4931803061395</v>
      </c>
      <c r="AE54" s="21">
        <f>SUM(X54:AD54)</f>
        <v>2581.9733252821179</v>
      </c>
      <c r="AF54" s="21">
        <f>AE54-B54</f>
        <v>258.85332528211802</v>
      </c>
      <c r="AG54" s="50">
        <f>AF54/B54</f>
        <v>0.11142486194519355</v>
      </c>
      <c r="AH54" s="51">
        <f>AF54^2</f>
        <v>67005.044009610006</v>
      </c>
      <c r="AI54" s="50"/>
    </row>
    <row r="55" spans="1:35" ht="13">
      <c r="A55" s="18">
        <v>52</v>
      </c>
      <c r="B55" s="21">
        <v>3577.04</v>
      </c>
      <c r="C55" s="21">
        <v>0</v>
      </c>
      <c r="D55" s="21">
        <v>0</v>
      </c>
      <c r="E55" s="21">
        <v>0</v>
      </c>
      <c r="F55" s="20">
        <v>-0.2</v>
      </c>
      <c r="G55" s="16">
        <v>35.9</v>
      </c>
      <c r="H55" s="18">
        <v>1</v>
      </c>
      <c r="I55" s="57">
        <f>(I54*$I$1+C55)^$I$2</f>
        <v>3.6897169819892168E-7</v>
      </c>
      <c r="J55" s="57">
        <f>(J54*$J$1+D55)^$J$2</f>
        <v>0</v>
      </c>
      <c r="K55" s="57">
        <f>(K54*$K$1+E55)^$K$2</f>
        <v>0</v>
      </c>
      <c r="M55" s="18"/>
      <c r="X55" s="21">
        <f>$N$42*K55</f>
        <v>0</v>
      </c>
      <c r="Y55" s="21">
        <f>$O$42*J55</f>
        <v>0</v>
      </c>
      <c r="Z55" s="21">
        <f>$P$42*I55</f>
        <v>1.3484336579029669E-6</v>
      </c>
      <c r="AA55" s="21">
        <f>$Q$42*H55</f>
        <v>822.96782381786284</v>
      </c>
      <c r="AB55" s="21">
        <f>$R$42*G55</f>
        <v>919.27149007343371</v>
      </c>
      <c r="AC55" s="21">
        <f>$S$42*F55</f>
        <v>136.58863980129362</v>
      </c>
      <c r="AD55" s="21">
        <f>$T$42</f>
        <v>1605.4931803061395</v>
      </c>
      <c r="AE55" s="21">
        <f>SUM(X55:AD55)</f>
        <v>3484.3211353471634</v>
      </c>
      <c r="AF55" s="21">
        <f>AE55-B55</f>
        <v>-92.718864652836601</v>
      </c>
      <c r="AG55" s="50">
        <f>AF55/B55</f>
        <v>-2.5920555725638127E-2</v>
      </c>
      <c r="AH55" s="51">
        <f>AF55^2</f>
        <v>8596.7878625110316</v>
      </c>
      <c r="AI55" s="50"/>
    </row>
    <row r="56" spans="1:35" ht="13">
      <c r="M56" s="52"/>
      <c r="N56" s="56"/>
    </row>
    <row r="57" spans="1:35" ht="13">
      <c r="M57" s="18"/>
      <c r="N57" s="19"/>
    </row>
    <row r="61" spans="1:35" ht="13">
      <c r="N61" s="19"/>
    </row>
    <row r="62" spans="1:35" ht="13">
      <c r="M62" s="52"/>
      <c r="N62" s="50"/>
    </row>
    <row r="68" spans="13:14" ht="13">
      <c r="N68" s="19"/>
    </row>
    <row r="69" spans="13:14" ht="13">
      <c r="M69" s="52"/>
    </row>
    <row r="73" spans="13:14" ht="13">
      <c r="M73" s="52" t="s">
        <v>43</v>
      </c>
      <c r="N73" s="18"/>
    </row>
    <row r="74" spans="13:14" ht="13">
      <c r="M74" s="18" t="s">
        <v>29</v>
      </c>
      <c r="N74" s="18" t="s">
        <v>42</v>
      </c>
    </row>
    <row r="75" spans="13:14" ht="13">
      <c r="M75" s="18" t="s">
        <v>41</v>
      </c>
      <c r="N75" s="18" t="s">
        <v>40</v>
      </c>
    </row>
    <row r="76" spans="13:14" ht="13">
      <c r="M76" s="18" t="s">
        <v>86</v>
      </c>
      <c r="N76" s="18" t="s">
        <v>85</v>
      </c>
    </row>
    <row r="77" spans="13:14" ht="13">
      <c r="M77" s="18" t="s">
        <v>14</v>
      </c>
      <c r="N77" s="18" t="s">
        <v>39</v>
      </c>
    </row>
    <row r="78" spans="13:14" ht="13">
      <c r="M78" s="18" t="s">
        <v>84</v>
      </c>
      <c r="N78" s="18" t="s">
        <v>83</v>
      </c>
    </row>
    <row r="79" spans="13:14" ht="13">
      <c r="M79" s="18" t="s">
        <v>82</v>
      </c>
      <c r="N79" s="18" t="s">
        <v>81</v>
      </c>
    </row>
    <row r="80" spans="13:14" ht="13">
      <c r="M80" s="18" t="s">
        <v>80</v>
      </c>
      <c r="N80" s="18" t="s">
        <v>79</v>
      </c>
    </row>
    <row r="81" spans="13:14" ht="13">
      <c r="M81" s="18" t="s">
        <v>78</v>
      </c>
      <c r="N81" s="18" t="s">
        <v>77</v>
      </c>
    </row>
    <row r="82" spans="13:14" ht="13">
      <c r="M82" s="18" t="s">
        <v>76</v>
      </c>
      <c r="N82" s="18" t="s">
        <v>75</v>
      </c>
    </row>
    <row r="83" spans="13:14" ht="13">
      <c r="M83" s="18" t="s">
        <v>74</v>
      </c>
      <c r="N83" s="18" t="s">
        <v>73</v>
      </c>
    </row>
    <row r="84" spans="13:14" ht="13">
      <c r="M84" s="18" t="s">
        <v>72</v>
      </c>
      <c r="N84" s="18" t="s">
        <v>71</v>
      </c>
    </row>
    <row r="85" spans="13:14" ht="13">
      <c r="M85" s="18" t="s">
        <v>70</v>
      </c>
      <c r="N85" s="18" t="s">
        <v>69</v>
      </c>
    </row>
    <row r="86" spans="13:14" ht="13">
      <c r="M86" s="18" t="s">
        <v>68</v>
      </c>
      <c r="N86" s="18" t="s">
        <v>67</v>
      </c>
    </row>
    <row r="87" spans="13:14" ht="13">
      <c r="M87" s="18" t="s">
        <v>66</v>
      </c>
      <c r="N87" s="18" t="s">
        <v>65</v>
      </c>
    </row>
    <row r="88" spans="13:14" ht="13">
      <c r="M88" s="18" t="s">
        <v>64</v>
      </c>
      <c r="N88" s="18" t="s">
        <v>63</v>
      </c>
    </row>
    <row r="89" spans="13:14" ht="13">
      <c r="M89" s="18" t="s">
        <v>62</v>
      </c>
      <c r="N89" s="18" t="s">
        <v>61</v>
      </c>
    </row>
    <row r="90" spans="13:14" ht="13">
      <c r="M90" s="18" t="s">
        <v>60</v>
      </c>
      <c r="N90" s="18" t="s">
        <v>59</v>
      </c>
    </row>
    <row r="91" spans="13:14" ht="13">
      <c r="M91" s="18" t="s">
        <v>58</v>
      </c>
      <c r="N91" s="18" t="s">
        <v>57</v>
      </c>
    </row>
    <row r="92" spans="13:14" ht="13">
      <c r="M92" s="18" t="s">
        <v>56</v>
      </c>
      <c r="N92" s="18" t="s">
        <v>55</v>
      </c>
    </row>
    <row r="93" spans="13:14" ht="13">
      <c r="M93" s="18" t="s">
        <v>54</v>
      </c>
      <c r="N93" s="18" t="s">
        <v>53</v>
      </c>
    </row>
    <row r="94" spans="13:14" ht="13">
      <c r="M94" s="18" t="s">
        <v>52</v>
      </c>
      <c r="N94" s="18" t="s">
        <v>51</v>
      </c>
    </row>
    <row r="95" spans="13:14" ht="13">
      <c r="M95" s="18" t="s">
        <v>50</v>
      </c>
      <c r="N95" s="18" t="s">
        <v>49</v>
      </c>
    </row>
  </sheetData>
  <conditionalFormatting sqref="N35 N51:T51">
    <cfRule type="containsText" dxfId="1" priority="1" operator="containsText" text="FALSE">
      <formula>NOT(ISERROR(SEARCH(("FALSE"),(N35))))</formula>
    </cfRule>
  </conditionalFormatting>
  <conditionalFormatting sqref="N50:T50 N57">
    <cfRule type="containsText" dxfId="0" priority="2" operator="containsText" text="FALSE">
      <formula>NOT(ISERROR(SEARCH(("FALSE"),(N50))))</formula>
    </cfRule>
  </conditionalFormatting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28E2-5E17-C54A-B01C-4FE4607364AE}">
  <sheetPr>
    <outlinePr summaryBelow="0" summaryRight="0"/>
  </sheetPr>
  <dimension ref="A1:AI95"/>
  <sheetViews>
    <sheetView topLeftCell="M1" workbookViewId="0">
      <pane ySplit="3" topLeftCell="A4" activePane="bottomLeft" state="frozen"/>
      <selection pane="bottomLeft" activeCell="A34" sqref="A34"/>
    </sheetView>
  </sheetViews>
  <sheetFormatPr baseColWidth="10" defaultColWidth="14.5" defaultRowHeight="15.75" customHeight="1"/>
  <cols>
    <col min="1" max="1" width="16.33203125" style="15" customWidth="1"/>
    <col min="2" max="8" width="14.5" style="15"/>
    <col min="9" max="11" width="16.5" style="15" customWidth="1"/>
    <col min="12" max="12" width="14.5" style="15"/>
    <col min="13" max="13" width="33.1640625" style="15" customWidth="1"/>
    <col min="14" max="16384" width="14.5" style="15"/>
  </cols>
  <sheetData>
    <row r="1" spans="1:35" ht="13">
      <c r="A1" s="18"/>
      <c r="B1" s="18"/>
      <c r="C1" s="18"/>
      <c r="D1" s="18"/>
      <c r="E1" s="18"/>
      <c r="F1" s="18"/>
      <c r="G1" s="18"/>
      <c r="H1" s="18"/>
      <c r="I1" s="60">
        <v>0.3</v>
      </c>
      <c r="J1" s="60">
        <v>0</v>
      </c>
      <c r="K1" s="60">
        <v>0</v>
      </c>
      <c r="L1" s="52" t="s">
        <v>88</v>
      </c>
      <c r="W1" s="52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</row>
    <row r="2" spans="1:35" ht="13">
      <c r="A2" s="18"/>
      <c r="B2" s="18"/>
      <c r="C2" s="18"/>
      <c r="D2" s="18"/>
      <c r="E2" s="18"/>
      <c r="F2" s="18"/>
      <c r="G2" s="18"/>
      <c r="H2" s="18"/>
      <c r="I2" s="60">
        <v>1</v>
      </c>
      <c r="J2" s="60">
        <v>1</v>
      </c>
      <c r="K2" s="60">
        <v>0.6</v>
      </c>
      <c r="L2" s="52" t="s">
        <v>36</v>
      </c>
      <c r="W2" s="52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</row>
    <row r="3" spans="1:35" ht="33.75" customHeight="1">
      <c r="A3" s="59" t="s">
        <v>0</v>
      </c>
      <c r="B3" s="59" t="s">
        <v>1</v>
      </c>
      <c r="C3" s="59" t="s">
        <v>2</v>
      </c>
      <c r="D3" s="59" t="s">
        <v>3</v>
      </c>
      <c r="E3" s="59" t="s">
        <v>4</v>
      </c>
      <c r="F3" s="59" t="s">
        <v>5</v>
      </c>
      <c r="G3" s="59" t="s">
        <v>6</v>
      </c>
      <c r="H3" s="59" t="s">
        <v>7</v>
      </c>
      <c r="I3" s="54" t="str">
        <f>C3&amp;", AR="&amp;I1&amp;", DR="&amp;I2</f>
        <v>Newspaper Ads, AR=0.3, DR=1</v>
      </c>
      <c r="J3" s="54" t="str">
        <f>D3&amp;", AR="&amp;J1&amp;", DR="&amp;J2</f>
        <v>Search Ads, AR=0, DR=1</v>
      </c>
      <c r="K3" s="54" t="str">
        <f>E3&amp;", AR="&amp;K1&amp;", DR="&amp;K2</f>
        <v>Social Ads, AR=0, DR=0.6</v>
      </c>
      <c r="W3" s="52" t="s">
        <v>45</v>
      </c>
      <c r="X3" s="59" t="str">
        <f>N41</f>
        <v>Social Ads, AR=0, DR=0.6</v>
      </c>
      <c r="Y3" s="59" t="str">
        <f>O41</f>
        <v>Search Ads, AR=0, DR=1</v>
      </c>
      <c r="Z3" s="59" t="str">
        <f>P41</f>
        <v>Newspaper Ads, AR=0.3, DR=1</v>
      </c>
      <c r="AA3" s="59" t="str">
        <f>Q41</f>
        <v>Holiday</v>
      </c>
      <c r="AB3" s="59" t="str">
        <f>R41</f>
        <v>Temperature</v>
      </c>
      <c r="AC3" s="59" t="str">
        <f>S41</f>
        <v>Price Change</v>
      </c>
      <c r="AD3" s="59" t="str">
        <f>T41</f>
        <v>Baseline</v>
      </c>
      <c r="AE3" s="59" t="s">
        <v>34</v>
      </c>
      <c r="AF3" s="59" t="s">
        <v>33</v>
      </c>
      <c r="AG3" s="59" t="s">
        <v>44</v>
      </c>
      <c r="AH3" s="59" t="s">
        <v>87</v>
      </c>
      <c r="AI3" s="18"/>
    </row>
    <row r="4" spans="1:35" ht="13">
      <c r="A4" s="18">
        <v>1</v>
      </c>
      <c r="B4" s="21">
        <v>3302.99</v>
      </c>
      <c r="C4" s="21">
        <v>0</v>
      </c>
      <c r="D4" s="21">
        <v>0</v>
      </c>
      <c r="E4" s="21">
        <v>0</v>
      </c>
      <c r="F4" s="20">
        <v>0</v>
      </c>
      <c r="G4" s="16">
        <v>39.799999999999997</v>
      </c>
      <c r="H4" s="18">
        <v>1</v>
      </c>
      <c r="I4" s="57">
        <f>C4^$I$2</f>
        <v>0</v>
      </c>
      <c r="J4" s="57">
        <f>D4^$J$2</f>
        <v>0</v>
      </c>
      <c r="K4" s="57">
        <f>E4^$K$2</f>
        <v>0</v>
      </c>
      <c r="X4" s="21">
        <f>$N$42*K4</f>
        <v>0</v>
      </c>
      <c r="Y4" s="21">
        <f>$O$42*J4</f>
        <v>0</v>
      </c>
      <c r="Z4" s="21">
        <f>$P$42*I4</f>
        <v>0</v>
      </c>
      <c r="AA4" s="21">
        <f>$Q$42*H4</f>
        <v>822.96782381786284</v>
      </c>
      <c r="AB4" s="21">
        <f>$R$42*G4</f>
        <v>1019.1366380201298</v>
      </c>
      <c r="AC4" s="21">
        <f>$S$42*F4</f>
        <v>0</v>
      </c>
      <c r="AD4" s="21">
        <f>$T$42</f>
        <v>1605.4931803061395</v>
      </c>
      <c r="AE4" s="21">
        <f>SUM(X4:AD4)</f>
        <v>3447.5976421441319</v>
      </c>
      <c r="AF4" s="21">
        <f>AE4-B4</f>
        <v>144.60764214413211</v>
      </c>
      <c r="AG4" s="50">
        <f>AF4/B4</f>
        <v>4.3780829534492118E-2</v>
      </c>
      <c r="AH4" s="51">
        <f>AF4^2</f>
        <v>20911.370166485376</v>
      </c>
      <c r="AI4" s="50"/>
    </row>
    <row r="5" spans="1:35" ht="13">
      <c r="A5" s="18">
        <v>2</v>
      </c>
      <c r="B5" s="21">
        <v>2706.27</v>
      </c>
      <c r="C5" s="21">
        <v>0</v>
      </c>
      <c r="D5" s="21">
        <v>0</v>
      </c>
      <c r="E5" s="21">
        <v>0</v>
      </c>
      <c r="F5" s="20">
        <v>0</v>
      </c>
      <c r="G5" s="16">
        <v>37.299999999999997</v>
      </c>
      <c r="H5" s="18">
        <v>0</v>
      </c>
      <c r="I5" s="57">
        <f>(I4*$I$1+C5)^$I$2</f>
        <v>0</v>
      </c>
      <c r="J5" s="57">
        <f>(J4*$J$1+D5)^$J$2</f>
        <v>0</v>
      </c>
      <c r="K5" s="57">
        <f>(K4*$K$1+E5)^$K$2</f>
        <v>0</v>
      </c>
      <c r="X5" s="21">
        <f>$N$42*K5</f>
        <v>0</v>
      </c>
      <c r="Y5" s="21">
        <f>$O$42*J5</f>
        <v>0</v>
      </c>
      <c r="Z5" s="21">
        <f>$P$42*I5</f>
        <v>0</v>
      </c>
      <c r="AA5" s="21">
        <f>$Q$42*H5</f>
        <v>0</v>
      </c>
      <c r="AB5" s="21">
        <f>$R$42*G5</f>
        <v>955.12051754147842</v>
      </c>
      <c r="AC5" s="21">
        <f>$S$42*F5</f>
        <v>0</v>
      </c>
      <c r="AD5" s="21">
        <f>$T$42</f>
        <v>1605.4931803061395</v>
      </c>
      <c r="AE5" s="21">
        <f>SUM(X5:AD5)</f>
        <v>2560.6136978476179</v>
      </c>
      <c r="AF5" s="21">
        <f>AE5-B5</f>
        <v>-145.65630215238207</v>
      </c>
      <c r="AG5" s="50">
        <f>AF5/B5</f>
        <v>-5.3821792412576008E-2</v>
      </c>
      <c r="AH5" s="51">
        <f>AF5^2</f>
        <v>21215.758356706021</v>
      </c>
      <c r="AI5" s="50"/>
    </row>
    <row r="6" spans="1:35" ht="13">
      <c r="A6" s="18">
        <v>3</v>
      </c>
      <c r="B6" s="21">
        <v>2330.41</v>
      </c>
      <c r="C6" s="21">
        <v>0</v>
      </c>
      <c r="D6" s="21">
        <v>0</v>
      </c>
      <c r="E6" s="21">
        <v>0</v>
      </c>
      <c r="F6" s="20">
        <v>0</v>
      </c>
      <c r="G6" s="16">
        <v>38.6</v>
      </c>
      <c r="H6" s="18">
        <v>0</v>
      </c>
      <c r="I6" s="57">
        <f>(I5*$I$1+C6)^$I$2</f>
        <v>0</v>
      </c>
      <c r="J6" s="57">
        <f>(J5*$J$1+D6)^$J$2</f>
        <v>0</v>
      </c>
      <c r="K6" s="57">
        <f>(K5*$K$1+E6)^$K$2</f>
        <v>0</v>
      </c>
      <c r="X6" s="21">
        <f>$N$42*K6</f>
        <v>0</v>
      </c>
      <c r="Y6" s="21">
        <f>$O$42*J6</f>
        <v>0</v>
      </c>
      <c r="Z6" s="21">
        <f>$P$42*I6</f>
        <v>0</v>
      </c>
      <c r="AA6" s="21">
        <f>$Q$42*H6</f>
        <v>0</v>
      </c>
      <c r="AB6" s="21">
        <f>$R$42*G6</f>
        <v>988.40890019037727</v>
      </c>
      <c r="AC6" s="21">
        <f>$S$42*F6</f>
        <v>0</v>
      </c>
      <c r="AD6" s="21">
        <f>$T$42</f>
        <v>1605.4931803061395</v>
      </c>
      <c r="AE6" s="21">
        <f>SUM(X6:AD6)</f>
        <v>2593.9020804965166</v>
      </c>
      <c r="AF6" s="21">
        <f>AE6-B6</f>
        <v>263.49208049651679</v>
      </c>
      <c r="AG6" s="50">
        <f>AF6/B6</f>
        <v>0.11306683394617978</v>
      </c>
      <c r="AH6" s="51">
        <f>AF6^2</f>
        <v>69428.07648438288</v>
      </c>
      <c r="AI6" s="50"/>
    </row>
    <row r="7" spans="1:35" ht="13">
      <c r="A7" s="18">
        <v>4</v>
      </c>
      <c r="B7" s="21">
        <v>2351.63</v>
      </c>
      <c r="C7" s="21">
        <v>0</v>
      </c>
      <c r="D7" s="21">
        <v>0</v>
      </c>
      <c r="E7" s="21">
        <v>0</v>
      </c>
      <c r="F7" s="20">
        <v>0</v>
      </c>
      <c r="G7" s="16">
        <v>32.299999999999997</v>
      </c>
      <c r="H7" s="18">
        <v>0</v>
      </c>
      <c r="I7" s="57">
        <f>(I6*$I$1+C7)^$I$2</f>
        <v>0</v>
      </c>
      <c r="J7" s="57">
        <f>(J6*$J$1+D7)^$J$2</f>
        <v>0</v>
      </c>
      <c r="K7" s="57">
        <f>(K6*$K$1+E7)^$K$2</f>
        <v>0</v>
      </c>
      <c r="X7" s="21">
        <f>$N$42*K7</f>
        <v>0</v>
      </c>
      <c r="Y7" s="21">
        <f>$O$42*J7</f>
        <v>0</v>
      </c>
      <c r="Z7" s="21">
        <f>$P$42*I7</f>
        <v>0</v>
      </c>
      <c r="AA7" s="21">
        <f>$Q$42*H7</f>
        <v>0</v>
      </c>
      <c r="AB7" s="21">
        <f>$R$42*G7</f>
        <v>827.08827658417567</v>
      </c>
      <c r="AC7" s="21">
        <f>$S$42*F7</f>
        <v>0</v>
      </c>
      <c r="AD7" s="21">
        <f>$T$42</f>
        <v>1605.4931803061395</v>
      </c>
      <c r="AE7" s="21">
        <f>SUM(X7:AD7)</f>
        <v>2432.5814568903152</v>
      </c>
      <c r="AF7" s="21">
        <f>AE7-B7</f>
        <v>80.951456890315058</v>
      </c>
      <c r="AG7" s="50">
        <f>AF7/B7</f>
        <v>3.4423551702570158E-2</v>
      </c>
      <c r="AH7" s="51">
        <f>AF7^2</f>
        <v>6553.1383726645372</v>
      </c>
      <c r="AI7" s="50"/>
    </row>
    <row r="8" spans="1:35" ht="13">
      <c r="A8" s="18">
        <v>5</v>
      </c>
      <c r="B8" s="21">
        <v>2398.48</v>
      </c>
      <c r="C8" s="21">
        <v>0</v>
      </c>
      <c r="D8" s="21">
        <v>10</v>
      </c>
      <c r="E8" s="21">
        <v>0</v>
      </c>
      <c r="F8" s="20">
        <v>0</v>
      </c>
      <c r="G8" s="16">
        <v>34.9</v>
      </c>
      <c r="H8" s="18">
        <v>0</v>
      </c>
      <c r="I8" s="57">
        <f>(I7*$I$1+C8)^$I$2</f>
        <v>0</v>
      </c>
      <c r="J8" s="57">
        <f>(J7*$J$1+D8)^$J$2</f>
        <v>10</v>
      </c>
      <c r="K8" s="57">
        <f>(K7*$K$1+E8)^$K$2</f>
        <v>0</v>
      </c>
      <c r="X8" s="21">
        <f>$N$42*K8</f>
        <v>0</v>
      </c>
      <c r="Y8" s="21">
        <f>$O$42*J8</f>
        <v>21.188725054429007</v>
      </c>
      <c r="Z8" s="21">
        <f>$P$42*I8</f>
        <v>0</v>
      </c>
      <c r="AA8" s="21">
        <f>$Q$42*H8</f>
        <v>0</v>
      </c>
      <c r="AB8" s="21">
        <f>$R$42*G8</f>
        <v>893.66504188197314</v>
      </c>
      <c r="AC8" s="21">
        <f>$S$42*F8</f>
        <v>0</v>
      </c>
      <c r="AD8" s="21">
        <f>$T$42</f>
        <v>1605.4931803061395</v>
      </c>
      <c r="AE8" s="21">
        <f>SUM(X8:AD8)</f>
        <v>2520.3469472425418</v>
      </c>
      <c r="AF8" s="21">
        <f>AE8-B8</f>
        <v>121.86694724254176</v>
      </c>
      <c r="AG8" s="50">
        <f>AF8/B8</f>
        <v>5.0810074398177911E-2</v>
      </c>
      <c r="AH8" s="51">
        <f>AF8^2</f>
        <v>14851.552830216455</v>
      </c>
      <c r="AI8" s="50"/>
    </row>
    <row r="9" spans="1:35" ht="13">
      <c r="A9" s="18">
        <v>6</v>
      </c>
      <c r="B9" s="21">
        <v>2611.66</v>
      </c>
      <c r="C9" s="21">
        <v>0</v>
      </c>
      <c r="D9" s="21">
        <v>10</v>
      </c>
      <c r="E9" s="21">
        <v>0</v>
      </c>
      <c r="F9" s="20">
        <v>0</v>
      </c>
      <c r="G9" s="16">
        <v>38.700000000000003</v>
      </c>
      <c r="H9" s="18">
        <v>0</v>
      </c>
      <c r="I9" s="57">
        <f>(I8*$I$1+C9)^$I$2</f>
        <v>0</v>
      </c>
      <c r="J9" s="57">
        <f>(J8*$J$1+D9)^$J$2</f>
        <v>10</v>
      </c>
      <c r="K9" s="57">
        <f>(K8*$K$1+E9)^$K$2</f>
        <v>0</v>
      </c>
      <c r="X9" s="21">
        <f>$N$42*K9</f>
        <v>0</v>
      </c>
      <c r="Y9" s="21">
        <f>$O$42*J9</f>
        <v>21.188725054429007</v>
      </c>
      <c r="Z9" s="21">
        <f>$P$42*I9</f>
        <v>0</v>
      </c>
      <c r="AA9" s="21">
        <f>$Q$42*H9</f>
        <v>0</v>
      </c>
      <c r="AB9" s="21">
        <f>$R$42*G9</f>
        <v>990.96954500952336</v>
      </c>
      <c r="AC9" s="21">
        <f>$S$42*F9</f>
        <v>0</v>
      </c>
      <c r="AD9" s="21">
        <f>$T$42</f>
        <v>1605.4931803061395</v>
      </c>
      <c r="AE9" s="21">
        <f>SUM(X9:AD9)</f>
        <v>2617.6514503700919</v>
      </c>
      <c r="AF9" s="21">
        <f>AE9-B9</f>
        <v>5.991450370092025</v>
      </c>
      <c r="AG9" s="50">
        <f>AF9/B9</f>
        <v>2.2941157616581122E-3</v>
      </c>
      <c r="AH9" s="51">
        <f>AF9^2</f>
        <v>35.897477537275861</v>
      </c>
      <c r="AI9" s="50"/>
    </row>
    <row r="10" spans="1:35" ht="13">
      <c r="A10" s="18">
        <v>7</v>
      </c>
      <c r="B10" s="21">
        <v>2557.31</v>
      </c>
      <c r="C10" s="21">
        <v>0</v>
      </c>
      <c r="D10" s="21">
        <v>10</v>
      </c>
      <c r="E10" s="21">
        <v>0</v>
      </c>
      <c r="F10" s="20">
        <v>0</v>
      </c>
      <c r="G10" s="16">
        <v>35.1</v>
      </c>
      <c r="H10" s="18">
        <v>0</v>
      </c>
      <c r="I10" s="57">
        <f>(I9*$I$1+C10)^$I$2</f>
        <v>0</v>
      </c>
      <c r="J10" s="57">
        <f>(J9*$J$1+D10)^$J$2</f>
        <v>10</v>
      </c>
      <c r="K10" s="57">
        <f>(K9*$K$1+E10)^$K$2</f>
        <v>0</v>
      </c>
      <c r="X10" s="21">
        <f>$N$42*K10</f>
        <v>0</v>
      </c>
      <c r="Y10" s="21">
        <f>$O$42*J10</f>
        <v>21.188725054429007</v>
      </c>
      <c r="Z10" s="21">
        <f>$P$42*I10</f>
        <v>0</v>
      </c>
      <c r="AA10" s="21">
        <f>$Q$42*H10</f>
        <v>0</v>
      </c>
      <c r="AB10" s="21">
        <f>$R$42*G10</f>
        <v>898.78633152026532</v>
      </c>
      <c r="AC10" s="21">
        <f>$S$42*F10</f>
        <v>0</v>
      </c>
      <c r="AD10" s="21">
        <f>$T$42</f>
        <v>1605.4931803061395</v>
      </c>
      <c r="AE10" s="21">
        <f>SUM(X10:AD10)</f>
        <v>2525.468236880834</v>
      </c>
      <c r="AF10" s="21">
        <f>AE10-B10</f>
        <v>-31.841763119165989</v>
      </c>
      <c r="AG10" s="50">
        <f>AF10/B10</f>
        <v>-1.2451272281876655E-2</v>
      </c>
      <c r="AH10" s="51">
        <f>AF10^2</f>
        <v>1013.8978785370794</v>
      </c>
      <c r="AI10" s="50"/>
    </row>
    <row r="11" spans="1:35" ht="13">
      <c r="A11" s="18">
        <v>8</v>
      </c>
      <c r="B11" s="21">
        <v>3250.96</v>
      </c>
      <c r="C11" s="21">
        <v>0</v>
      </c>
      <c r="D11" s="21">
        <v>10</v>
      </c>
      <c r="E11" s="21">
        <v>0</v>
      </c>
      <c r="F11" s="20">
        <v>0</v>
      </c>
      <c r="G11" s="16">
        <v>34.4</v>
      </c>
      <c r="H11" s="18">
        <v>1</v>
      </c>
      <c r="I11" s="57">
        <f>(I10*$I$1+C11)^$I$2</f>
        <v>0</v>
      </c>
      <c r="J11" s="57">
        <f>(J10*$J$1+D11)^$J$2</f>
        <v>10</v>
      </c>
      <c r="K11" s="57">
        <f>(K10*$K$1+E11)^$K$2</f>
        <v>0</v>
      </c>
      <c r="X11" s="21">
        <f>$N$42*K11</f>
        <v>0</v>
      </c>
      <c r="Y11" s="21">
        <f>$O$42*J11</f>
        <v>21.188725054429007</v>
      </c>
      <c r="Z11" s="21">
        <f>$P$42*I11</f>
        <v>0</v>
      </c>
      <c r="AA11" s="21">
        <f>$Q$42*H11</f>
        <v>822.96782381786284</v>
      </c>
      <c r="AB11" s="21">
        <f>$R$42*G11</f>
        <v>880.86181778624291</v>
      </c>
      <c r="AC11" s="21">
        <f>$S$42*F11</f>
        <v>0</v>
      </c>
      <c r="AD11" s="21">
        <f>$T$42</f>
        <v>1605.4931803061395</v>
      </c>
      <c r="AE11" s="21">
        <f>SUM(X11:AD11)</f>
        <v>3330.5115469646744</v>
      </c>
      <c r="AF11" s="21">
        <f>AE11-B11</f>
        <v>79.551546964674344</v>
      </c>
      <c r="AG11" s="50">
        <f>AF11/B11</f>
        <v>2.4470170954017996E-2</v>
      </c>
      <c r="AH11" s="51">
        <f>AF11^2</f>
        <v>6328.4486244727877</v>
      </c>
      <c r="AI11" s="50"/>
    </row>
    <row r="12" spans="1:35" ht="13">
      <c r="A12" s="18">
        <v>9</v>
      </c>
      <c r="B12" s="21">
        <v>2802.04</v>
      </c>
      <c r="C12" s="21">
        <v>0</v>
      </c>
      <c r="D12" s="21">
        <v>10</v>
      </c>
      <c r="E12" s="21">
        <v>0</v>
      </c>
      <c r="F12" s="20">
        <v>0</v>
      </c>
      <c r="G12" s="16">
        <v>37.9</v>
      </c>
      <c r="H12" s="18">
        <v>0</v>
      </c>
      <c r="I12" s="57">
        <f>(I11*$I$1+C12)^$I$2</f>
        <v>0</v>
      </c>
      <c r="J12" s="57">
        <f>(J11*$J$1+D12)^$J$2</f>
        <v>10</v>
      </c>
      <c r="K12" s="57">
        <f>(K11*$K$1+E12)^$K$2</f>
        <v>0</v>
      </c>
      <c r="X12" s="21">
        <f>$N$42*K12</f>
        <v>0</v>
      </c>
      <c r="Y12" s="21">
        <f>$O$42*J12</f>
        <v>21.188725054429007</v>
      </c>
      <c r="Z12" s="21">
        <f>$P$42*I12</f>
        <v>0</v>
      </c>
      <c r="AA12" s="21">
        <f>$Q$42*H12</f>
        <v>0</v>
      </c>
      <c r="AB12" s="21">
        <f>$R$42*G12</f>
        <v>970.48438645635485</v>
      </c>
      <c r="AC12" s="21">
        <f>$S$42*F12</f>
        <v>0</v>
      </c>
      <c r="AD12" s="21">
        <f>$T$42</f>
        <v>1605.4931803061395</v>
      </c>
      <c r="AE12" s="21">
        <f>SUM(X12:AD12)</f>
        <v>2597.1662918169231</v>
      </c>
      <c r="AF12" s="21">
        <f>AE12-B12</f>
        <v>-204.87370818307681</v>
      </c>
      <c r="AG12" s="50">
        <f>AF12/B12</f>
        <v>-7.3115911329987016E-2</v>
      </c>
      <c r="AH12" s="51">
        <f>AF12^2</f>
        <v>41973.236304684513</v>
      </c>
      <c r="AI12" s="50"/>
    </row>
    <row r="13" spans="1:35" ht="13">
      <c r="A13" s="18">
        <v>10</v>
      </c>
      <c r="B13" s="21">
        <v>2881.28</v>
      </c>
      <c r="C13" s="21">
        <v>0</v>
      </c>
      <c r="D13" s="21">
        <v>15</v>
      </c>
      <c r="E13" s="21">
        <v>0</v>
      </c>
      <c r="F13" s="20">
        <v>0</v>
      </c>
      <c r="G13" s="16">
        <v>40.6</v>
      </c>
      <c r="H13" s="18">
        <v>0</v>
      </c>
      <c r="I13" s="57">
        <f>(I12*$I$1+C13)^$I$2</f>
        <v>0</v>
      </c>
      <c r="J13" s="57">
        <f>(J12*$J$1+D13)^$J$2</f>
        <v>15</v>
      </c>
      <c r="K13" s="57">
        <f>(K12*$K$1+E13)^$K$2</f>
        <v>0</v>
      </c>
      <c r="X13" s="21">
        <f>$N$42*K13</f>
        <v>0</v>
      </c>
      <c r="Y13" s="21">
        <f>$O$42*J13</f>
        <v>31.783087581643507</v>
      </c>
      <c r="Z13" s="21">
        <f>$P$42*I13</f>
        <v>0</v>
      </c>
      <c r="AA13" s="21">
        <f>$Q$42*H13</f>
        <v>0</v>
      </c>
      <c r="AB13" s="21">
        <f>$R$42*G13</f>
        <v>1039.6217965732983</v>
      </c>
      <c r="AC13" s="21">
        <f>$S$42*F13</f>
        <v>0</v>
      </c>
      <c r="AD13" s="21">
        <f>$T$42</f>
        <v>1605.4931803061395</v>
      </c>
      <c r="AE13" s="21">
        <f>SUM(X13:AD13)</f>
        <v>2676.898064461081</v>
      </c>
      <c r="AF13" s="21">
        <f>AE13-B13</f>
        <v>-204.38193553891915</v>
      </c>
      <c r="AG13" s="50">
        <f>AF13/B13</f>
        <v>-7.0934423429489371E-2</v>
      </c>
      <c r="AH13" s="51">
        <f>AF13^2</f>
        <v>41771.975574634904</v>
      </c>
      <c r="AI13" s="50"/>
    </row>
    <row r="14" spans="1:35" ht="13">
      <c r="A14" s="18">
        <v>11</v>
      </c>
      <c r="B14" s="21">
        <v>2734.97</v>
      </c>
      <c r="C14" s="21">
        <v>0</v>
      </c>
      <c r="D14" s="21">
        <v>15</v>
      </c>
      <c r="E14" s="21">
        <v>0</v>
      </c>
      <c r="F14" s="20">
        <v>0</v>
      </c>
      <c r="G14" s="16">
        <v>46.1</v>
      </c>
      <c r="H14" s="18">
        <v>0</v>
      </c>
      <c r="I14" s="57">
        <f>(I13*$I$1+C14)^$I$2</f>
        <v>0</v>
      </c>
      <c r="J14" s="57">
        <f>(J13*$J$1+D14)^$J$2</f>
        <v>15</v>
      </c>
      <c r="K14" s="57">
        <f>(K13*$K$1+E14)^$K$2</f>
        <v>0</v>
      </c>
      <c r="X14" s="21">
        <f>$N$42*K14</f>
        <v>0</v>
      </c>
      <c r="Y14" s="21">
        <f>$O$42*J14</f>
        <v>31.783087581643507</v>
      </c>
      <c r="Z14" s="21">
        <f>$P$42*I14</f>
        <v>0</v>
      </c>
      <c r="AA14" s="21">
        <f>$Q$42*H14</f>
        <v>0</v>
      </c>
      <c r="AB14" s="21">
        <f>$R$42*G14</f>
        <v>1180.4572616263315</v>
      </c>
      <c r="AC14" s="21">
        <f>$S$42*F14</f>
        <v>0</v>
      </c>
      <c r="AD14" s="21">
        <f>$T$42</f>
        <v>1605.4931803061395</v>
      </c>
      <c r="AE14" s="21">
        <f>SUM(X14:AD14)</f>
        <v>2817.7335295141147</v>
      </c>
      <c r="AF14" s="21">
        <f>AE14-B14</f>
        <v>82.763529514114907</v>
      </c>
      <c r="AG14" s="50">
        <f>AF14/B14</f>
        <v>3.0261220237923967E-2</v>
      </c>
      <c r="AH14" s="51">
        <f>AF14^2</f>
        <v>6849.8018176337691</v>
      </c>
      <c r="AI14" s="50"/>
    </row>
    <row r="15" spans="1:35" ht="13">
      <c r="A15" s="18">
        <v>12</v>
      </c>
      <c r="B15" s="21">
        <v>3580.57</v>
      </c>
      <c r="C15" s="21">
        <v>0</v>
      </c>
      <c r="D15" s="21">
        <v>15</v>
      </c>
      <c r="E15" s="21">
        <v>0</v>
      </c>
      <c r="F15" s="20">
        <v>0</v>
      </c>
      <c r="G15" s="16">
        <v>43.6</v>
      </c>
      <c r="H15" s="18">
        <v>1</v>
      </c>
      <c r="I15" s="57">
        <f>(I14*$I$1+C15)^$I$2</f>
        <v>0</v>
      </c>
      <c r="J15" s="57">
        <f>(J14*$J$1+D15)^$J$2</f>
        <v>15</v>
      </c>
      <c r="K15" s="57">
        <f>(K14*$K$1+E15)^$K$2</f>
        <v>0</v>
      </c>
      <c r="X15" s="21">
        <f>$N$42*K15</f>
        <v>0</v>
      </c>
      <c r="Y15" s="21">
        <f>$O$42*J15</f>
        <v>31.783087581643507</v>
      </c>
      <c r="Z15" s="21">
        <f>$P$42*I15</f>
        <v>0</v>
      </c>
      <c r="AA15" s="21">
        <f>$Q$42*H15</f>
        <v>822.96782381786284</v>
      </c>
      <c r="AB15" s="21">
        <f>$R$42*G15</f>
        <v>1116.4411411476801</v>
      </c>
      <c r="AC15" s="21">
        <f>$S$42*F15</f>
        <v>0</v>
      </c>
      <c r="AD15" s="21">
        <f>$T$42</f>
        <v>1605.4931803061395</v>
      </c>
      <c r="AE15" s="21">
        <f>SUM(X15:AD15)</f>
        <v>3576.6852328533259</v>
      </c>
      <c r="AF15" s="21">
        <f>AE15-B15</f>
        <v>-3.8847671466742213</v>
      </c>
      <c r="AG15" s="50">
        <f>AF15/B15</f>
        <v>-1.0849577432292124E-3</v>
      </c>
      <c r="AH15" s="51">
        <f>AF15^2</f>
        <v>15.091415783879372</v>
      </c>
      <c r="AI15" s="50"/>
    </row>
    <row r="16" spans="1:35" ht="13">
      <c r="A16" s="18">
        <v>13</v>
      </c>
      <c r="B16" s="21">
        <v>3581.54</v>
      </c>
      <c r="C16" s="21">
        <v>0</v>
      </c>
      <c r="D16" s="21">
        <v>15</v>
      </c>
      <c r="E16" s="21">
        <v>0</v>
      </c>
      <c r="F16" s="20">
        <v>0</v>
      </c>
      <c r="G16" s="16">
        <v>41.9</v>
      </c>
      <c r="H16" s="18">
        <v>1</v>
      </c>
      <c r="I16" s="57">
        <f>(I15*$I$1+C16)^$I$2</f>
        <v>0</v>
      </c>
      <c r="J16" s="57">
        <f>(J15*$J$1+D16)^$J$2</f>
        <v>15</v>
      </c>
      <c r="K16" s="57">
        <f>(K15*$K$1+E16)^$K$2</f>
        <v>0</v>
      </c>
      <c r="X16" s="21">
        <f>$N$42*K16</f>
        <v>0</v>
      </c>
      <c r="Y16" s="21">
        <f>$O$42*J16</f>
        <v>31.783087581643507</v>
      </c>
      <c r="Z16" s="21">
        <f>$P$42*I16</f>
        <v>0</v>
      </c>
      <c r="AA16" s="21">
        <f>$Q$42*H16</f>
        <v>822.96782381786284</v>
      </c>
      <c r="AB16" s="21">
        <f>$R$42*G16</f>
        <v>1072.910179222197</v>
      </c>
      <c r="AC16" s="21">
        <f>$S$42*F16</f>
        <v>0</v>
      </c>
      <c r="AD16" s="21">
        <f>$T$42</f>
        <v>1605.4931803061395</v>
      </c>
      <c r="AE16" s="21">
        <f>SUM(X16:AD16)</f>
        <v>3533.1542709278428</v>
      </c>
      <c r="AF16" s="21">
        <f>AE16-B16</f>
        <v>-48.385729072157119</v>
      </c>
      <c r="AG16" s="50">
        <f>AF16/B16</f>
        <v>-1.350975532093935E-2</v>
      </c>
      <c r="AH16" s="51">
        <f>AF16^2</f>
        <v>2341.1787778441908</v>
      </c>
      <c r="AI16" s="50"/>
    </row>
    <row r="17" spans="1:35" ht="13">
      <c r="A17" s="18">
        <v>14</v>
      </c>
      <c r="B17" s="21">
        <v>2962.99</v>
      </c>
      <c r="C17" s="21">
        <v>0</v>
      </c>
      <c r="D17" s="21">
        <v>15</v>
      </c>
      <c r="E17" s="21">
        <v>0</v>
      </c>
      <c r="F17" s="20">
        <v>0</v>
      </c>
      <c r="G17" s="16">
        <v>45.1</v>
      </c>
      <c r="H17" s="18">
        <v>0</v>
      </c>
      <c r="I17" s="57">
        <f>(I16*$I$1+C17)^$I$2</f>
        <v>0</v>
      </c>
      <c r="J17" s="57">
        <f>(J16*$J$1+D17)^$J$2</f>
        <v>15</v>
      </c>
      <c r="K17" s="57">
        <f>(K16*$K$1+E17)^$K$2</f>
        <v>0</v>
      </c>
      <c r="X17" s="21">
        <f>$N$42*K17</f>
        <v>0</v>
      </c>
      <c r="Y17" s="21">
        <f>$O$42*J17</f>
        <v>31.783087581643507</v>
      </c>
      <c r="Z17" s="21">
        <f>$P$42*I17</f>
        <v>0</v>
      </c>
      <c r="AA17" s="21">
        <f>$Q$42*H17</f>
        <v>0</v>
      </c>
      <c r="AB17" s="21">
        <f>$R$42*G17</f>
        <v>1154.8508134348708</v>
      </c>
      <c r="AC17" s="21">
        <f>$S$42*F17</f>
        <v>0</v>
      </c>
      <c r="AD17" s="21">
        <f>$T$42</f>
        <v>1605.4931803061395</v>
      </c>
      <c r="AE17" s="21">
        <f>SUM(X17:AD17)</f>
        <v>2792.1270813226538</v>
      </c>
      <c r="AF17" s="21">
        <f>AE17-B17</f>
        <v>-170.86291867734599</v>
      </c>
      <c r="AG17" s="50">
        <f>AF17/B17</f>
        <v>-5.7665708854010983E-2</v>
      </c>
      <c r="AH17" s="51">
        <f>AF17^2</f>
        <v>29194.136978941347</v>
      </c>
      <c r="AI17" s="50"/>
    </row>
    <row r="18" spans="1:35" ht="13">
      <c r="A18" s="18">
        <v>15</v>
      </c>
      <c r="B18" s="21">
        <v>2510.8200000000002</v>
      </c>
      <c r="C18" s="21">
        <v>0</v>
      </c>
      <c r="D18" s="21">
        <v>15</v>
      </c>
      <c r="E18" s="21">
        <v>0</v>
      </c>
      <c r="F18" s="20">
        <v>0</v>
      </c>
      <c r="G18" s="16">
        <v>48</v>
      </c>
      <c r="H18" s="18">
        <v>0</v>
      </c>
      <c r="I18" s="57">
        <f>(I17*$I$1+C18)^$I$2</f>
        <v>0</v>
      </c>
      <c r="J18" s="57">
        <f>(J17*$J$1+D18)^$J$2</f>
        <v>15</v>
      </c>
      <c r="K18" s="57">
        <f>(K17*$K$1+E18)^$K$2</f>
        <v>0</v>
      </c>
      <c r="X18" s="21">
        <f>$N$42*K18</f>
        <v>0</v>
      </c>
      <c r="Y18" s="21">
        <f>$O$42*J18</f>
        <v>31.783087581643507</v>
      </c>
      <c r="Z18" s="21">
        <f>$P$42*I18</f>
        <v>0</v>
      </c>
      <c r="AA18" s="21">
        <f>$Q$42*H18</f>
        <v>0</v>
      </c>
      <c r="AB18" s="21">
        <f>$R$42*G18</f>
        <v>1229.1095131901066</v>
      </c>
      <c r="AC18" s="21">
        <f>$S$42*F18</f>
        <v>0</v>
      </c>
      <c r="AD18" s="21">
        <f>$T$42</f>
        <v>1605.4931803061395</v>
      </c>
      <c r="AE18" s="21">
        <f>SUM(X18:AD18)</f>
        <v>2866.3857810778895</v>
      </c>
      <c r="AF18" s="21">
        <f>AE18-B18</f>
        <v>355.56578107788937</v>
      </c>
      <c r="AG18" s="50">
        <f>AF18/B18</f>
        <v>0.14161340959443103</v>
      </c>
      <c r="AH18" s="51">
        <f>AF18^2</f>
        <v>126427.02467352955</v>
      </c>
      <c r="AI18" s="50"/>
    </row>
    <row r="19" spans="1:35" ht="13">
      <c r="A19" s="18">
        <v>16</v>
      </c>
      <c r="B19" s="21">
        <v>2523.34</v>
      </c>
      <c r="C19" s="21">
        <v>0</v>
      </c>
      <c r="D19" s="21">
        <v>15</v>
      </c>
      <c r="E19" s="21">
        <v>0</v>
      </c>
      <c r="F19" s="20">
        <v>0.5</v>
      </c>
      <c r="G19" s="16">
        <v>45.7</v>
      </c>
      <c r="H19" s="18">
        <v>0</v>
      </c>
      <c r="I19" s="57">
        <f>(I18*$I$1+C19)^$I$2</f>
        <v>0</v>
      </c>
      <c r="J19" s="57">
        <f>(J18*$J$1+D19)^$J$2</f>
        <v>15</v>
      </c>
      <c r="K19" s="57">
        <f>(K18*$K$1+E19)^$K$2</f>
        <v>0</v>
      </c>
      <c r="X19" s="21">
        <f>$N$42*K19</f>
        <v>0</v>
      </c>
      <c r="Y19" s="21">
        <f>$O$42*J19</f>
        <v>31.783087581643507</v>
      </c>
      <c r="Z19" s="21">
        <f>$P$42*I19</f>
        <v>0</v>
      </c>
      <c r="AA19" s="21">
        <f>$Q$42*H19</f>
        <v>0</v>
      </c>
      <c r="AB19" s="21">
        <f>$R$42*G19</f>
        <v>1170.2146823497471</v>
      </c>
      <c r="AC19" s="21">
        <f>$S$42*F19</f>
        <v>-341.47159950323402</v>
      </c>
      <c r="AD19" s="21">
        <f>$T$42</f>
        <v>1605.4931803061395</v>
      </c>
      <c r="AE19" s="21">
        <f>SUM(X19:AD19)</f>
        <v>2466.019350734296</v>
      </c>
      <c r="AF19" s="21">
        <f>AE19-B19</f>
        <v>-57.320649265704105</v>
      </c>
      <c r="AG19" s="50">
        <f>AF19/B19</f>
        <v>-2.2716181436391491E-2</v>
      </c>
      <c r="AH19" s="51">
        <f>AF19^2</f>
        <v>3285.6568322418648</v>
      </c>
      <c r="AI19" s="50"/>
    </row>
    <row r="20" spans="1:35" ht="13">
      <c r="A20" s="18">
        <v>17</v>
      </c>
      <c r="B20" s="21">
        <v>2708.6</v>
      </c>
      <c r="C20" s="21">
        <v>0</v>
      </c>
      <c r="D20" s="21">
        <v>15</v>
      </c>
      <c r="E20" s="21">
        <v>0</v>
      </c>
      <c r="F20" s="20">
        <v>0.5</v>
      </c>
      <c r="G20" s="16">
        <v>45</v>
      </c>
      <c r="H20" s="18">
        <v>0</v>
      </c>
      <c r="I20" s="57">
        <f>(I19*$I$1+C20)^$I$2</f>
        <v>0</v>
      </c>
      <c r="J20" s="57">
        <f>(J19*$J$1+D20)^$J$2</f>
        <v>15</v>
      </c>
      <c r="K20" s="57">
        <f>(K19*$K$1+E20)^$K$2</f>
        <v>0</v>
      </c>
      <c r="X20" s="21">
        <f>$N$42*K20</f>
        <v>0</v>
      </c>
      <c r="Y20" s="21">
        <f>$O$42*J20</f>
        <v>31.783087581643507</v>
      </c>
      <c r="Z20" s="21">
        <f>$P$42*I20</f>
        <v>0</v>
      </c>
      <c r="AA20" s="21">
        <f>$Q$42*H20</f>
        <v>0</v>
      </c>
      <c r="AB20" s="21">
        <f>$R$42*G20</f>
        <v>1152.2901686157247</v>
      </c>
      <c r="AC20" s="21">
        <f>$S$42*F20</f>
        <v>-341.47159950323402</v>
      </c>
      <c r="AD20" s="21">
        <f>$T$42</f>
        <v>1605.4931803061395</v>
      </c>
      <c r="AE20" s="21">
        <f>SUM(X20:AD20)</f>
        <v>2448.0948370002734</v>
      </c>
      <c r="AF20" s="21">
        <f>AE20-B20</f>
        <v>-260.50516299972651</v>
      </c>
      <c r="AG20" s="50">
        <f>AF20/B20</f>
        <v>-9.6177051982473061E-2</v>
      </c>
      <c r="AH20" s="51">
        <f>AF20^2</f>
        <v>67862.939949514082</v>
      </c>
      <c r="AI20" s="50"/>
    </row>
    <row r="21" spans="1:35" ht="13">
      <c r="A21" s="18">
        <v>18</v>
      </c>
      <c r="B21" s="21">
        <v>2459.0300000000002</v>
      </c>
      <c r="C21" s="21">
        <v>0</v>
      </c>
      <c r="D21" s="21">
        <v>20</v>
      </c>
      <c r="E21" s="21">
        <v>0</v>
      </c>
      <c r="F21" s="20">
        <v>0.5</v>
      </c>
      <c r="G21" s="16">
        <v>50.2</v>
      </c>
      <c r="H21" s="18">
        <v>0</v>
      </c>
      <c r="I21" s="57">
        <f>(I20*$I$1+C21)^$I$2</f>
        <v>0</v>
      </c>
      <c r="J21" s="57">
        <f>(J20*$J$1+D21)^$J$2</f>
        <v>20</v>
      </c>
      <c r="K21" s="57">
        <f>(K20*$K$1+E21)^$K$2</f>
        <v>0</v>
      </c>
      <c r="X21" s="21">
        <f>$N$42*K21</f>
        <v>0</v>
      </c>
      <c r="Y21" s="21">
        <f>$O$42*J21</f>
        <v>42.377450108858014</v>
      </c>
      <c r="Z21" s="21">
        <f>$P$42*I21</f>
        <v>0</v>
      </c>
      <c r="AA21" s="21">
        <f>$Q$42*H21</f>
        <v>0</v>
      </c>
      <c r="AB21" s="21">
        <f>$R$42*G21</f>
        <v>1285.4436992113197</v>
      </c>
      <c r="AC21" s="21">
        <f>$S$42*F21</f>
        <v>-341.47159950323402</v>
      </c>
      <c r="AD21" s="21">
        <f>$T$42</f>
        <v>1605.4931803061395</v>
      </c>
      <c r="AE21" s="21">
        <f>SUM(X21:AD21)</f>
        <v>2591.8427301230831</v>
      </c>
      <c r="AF21" s="21">
        <f>AE21-B21</f>
        <v>132.81273012308293</v>
      </c>
      <c r="AG21" s="50">
        <f>AF21/B21</f>
        <v>5.4010211393550674E-2</v>
      </c>
      <c r="AH21" s="51">
        <f>AF21^2</f>
        <v>17639.221282746861</v>
      </c>
      <c r="AI21" s="50"/>
    </row>
    <row r="22" spans="1:35" ht="13">
      <c r="A22" s="18">
        <v>19</v>
      </c>
      <c r="B22" s="21">
        <v>3429.26</v>
      </c>
      <c r="C22" s="21">
        <v>0</v>
      </c>
      <c r="D22" s="21">
        <v>20</v>
      </c>
      <c r="E22" s="21">
        <v>0</v>
      </c>
      <c r="F22" s="20">
        <v>0.5</v>
      </c>
      <c r="G22" s="16">
        <v>50.2</v>
      </c>
      <c r="H22" s="18">
        <v>1</v>
      </c>
      <c r="I22" s="57">
        <f>(I21*$I$1+C22)^$I$2</f>
        <v>0</v>
      </c>
      <c r="J22" s="57">
        <f>(J21*$J$1+D22)^$J$2</f>
        <v>20</v>
      </c>
      <c r="K22" s="57">
        <f>(K21*$K$1+E22)^$K$2</f>
        <v>0</v>
      </c>
      <c r="X22" s="21">
        <f>$N$42*K22</f>
        <v>0</v>
      </c>
      <c r="Y22" s="21">
        <f>$O$42*J22</f>
        <v>42.377450108858014</v>
      </c>
      <c r="Z22" s="21">
        <f>$P$42*I22</f>
        <v>0</v>
      </c>
      <c r="AA22" s="21">
        <f>$Q$42*H22</f>
        <v>822.96782381786284</v>
      </c>
      <c r="AB22" s="21">
        <f>$R$42*G22</f>
        <v>1285.4436992113197</v>
      </c>
      <c r="AC22" s="21">
        <f>$S$42*F22</f>
        <v>-341.47159950323402</v>
      </c>
      <c r="AD22" s="21">
        <f>$T$42</f>
        <v>1605.4931803061395</v>
      </c>
      <c r="AE22" s="21">
        <f>SUM(X22:AD22)</f>
        <v>3414.8105539409462</v>
      </c>
      <c r="AF22" s="21">
        <f>AE22-B22</f>
        <v>-14.449446059054026</v>
      </c>
      <c r="AG22" s="50">
        <f>AF22/B22</f>
        <v>-4.2135755408029794E-3</v>
      </c>
      <c r="AH22" s="51">
        <f>AF22^2</f>
        <v>208.78649141351192</v>
      </c>
      <c r="AI22" s="50"/>
    </row>
    <row r="23" spans="1:35" ht="13">
      <c r="A23" s="18">
        <v>20</v>
      </c>
      <c r="B23" s="21">
        <v>2707.15</v>
      </c>
      <c r="C23" s="21">
        <v>0</v>
      </c>
      <c r="D23" s="21">
        <v>20</v>
      </c>
      <c r="E23" s="21">
        <v>0</v>
      </c>
      <c r="F23" s="20">
        <v>0.5</v>
      </c>
      <c r="G23" s="16">
        <v>52.8</v>
      </c>
      <c r="H23" s="18">
        <v>0</v>
      </c>
      <c r="I23" s="57">
        <f>(I22*$I$1+C23)^$I$2</f>
        <v>0</v>
      </c>
      <c r="J23" s="57">
        <f>(J22*$J$1+D23)^$J$2</f>
        <v>20</v>
      </c>
      <c r="K23" s="57">
        <f>(K22*$K$1+E23)^$K$2</f>
        <v>0</v>
      </c>
      <c r="M23" s="18" t="str">
        <f>X3</f>
        <v>Social Ads, AR=0, DR=0.6</v>
      </c>
      <c r="N23" s="18" t="str">
        <f>Y3</f>
        <v>Search Ads, AR=0, DR=1</v>
      </c>
      <c r="O23" s="18" t="str">
        <f>Z3</f>
        <v>Newspaper Ads, AR=0.3, DR=1</v>
      </c>
      <c r="P23" s="18" t="str">
        <f>AA3</f>
        <v>Holiday</v>
      </c>
      <c r="Q23" s="18" t="str">
        <f>AB3</f>
        <v>Temperature</v>
      </c>
      <c r="R23" s="18" t="str">
        <f>AC3</f>
        <v>Price Change</v>
      </c>
      <c r="S23" s="18" t="str">
        <f>AD3</f>
        <v>Baseline</v>
      </c>
      <c r="X23" s="21">
        <f>$N$42*K23</f>
        <v>0</v>
      </c>
      <c r="Y23" s="21">
        <f>$O$42*J23</f>
        <v>42.377450108858014</v>
      </c>
      <c r="Z23" s="21">
        <f>$P$42*I23</f>
        <v>0</v>
      </c>
      <c r="AA23" s="21">
        <f>$Q$42*H23</f>
        <v>0</v>
      </c>
      <c r="AB23" s="21">
        <f>$R$42*G23</f>
        <v>1352.0204645091171</v>
      </c>
      <c r="AC23" s="21">
        <f>$S$42*F23</f>
        <v>-341.47159950323402</v>
      </c>
      <c r="AD23" s="21">
        <f>$T$42</f>
        <v>1605.4931803061395</v>
      </c>
      <c r="AE23" s="21">
        <f>SUM(X23:AD23)</f>
        <v>2658.4194954208806</v>
      </c>
      <c r="AF23" s="21">
        <f>AE23-B23</f>
        <v>-48.730504579119497</v>
      </c>
      <c r="AG23" s="50">
        <f>AF23/B23</f>
        <v>-1.800066659738821E-2</v>
      </c>
      <c r="AH23" s="51">
        <f>AF23^2</f>
        <v>2374.6620765355865</v>
      </c>
      <c r="AI23" s="50"/>
    </row>
    <row r="24" spans="1:35" ht="13">
      <c r="A24" s="18">
        <v>21</v>
      </c>
      <c r="B24" s="21">
        <v>2658.95</v>
      </c>
      <c r="C24" s="21">
        <v>0</v>
      </c>
      <c r="D24" s="21">
        <v>20</v>
      </c>
      <c r="E24" s="21">
        <v>0</v>
      </c>
      <c r="F24" s="20">
        <v>0.5</v>
      </c>
      <c r="G24" s="16">
        <v>55.4</v>
      </c>
      <c r="H24" s="18">
        <v>0</v>
      </c>
      <c r="I24" s="57">
        <f>(I23*$I$1+C24)^$I$2</f>
        <v>0</v>
      </c>
      <c r="J24" s="57">
        <f>(J23*$J$1+D24)^$J$2</f>
        <v>20</v>
      </c>
      <c r="K24" s="57">
        <f>(K23*$K$1+E24)^$K$2</f>
        <v>0</v>
      </c>
      <c r="M24" s="21">
        <f>SUM(X4:X55)</f>
        <v>3187.1295116742808</v>
      </c>
      <c r="N24" s="21">
        <f>SUM(Y4:Y55)</f>
        <v>2161.2499555517597</v>
      </c>
      <c r="O24" s="21">
        <f>SUM(Z4:Z55)</f>
        <v>12529.961336233602</v>
      </c>
      <c r="P24" s="21">
        <f>SUM(AA4:AA55)</f>
        <v>8229.6782381786288</v>
      </c>
      <c r="Q24" s="21">
        <f>SUM(AB4:AB55)</f>
        <v>72591.719977971501</v>
      </c>
      <c r="R24" s="21">
        <f>SUM(AC4:AC55)</f>
        <v>-3073.2443955291055</v>
      </c>
      <c r="S24" s="21">
        <f>SUM(AD4:AD55)</f>
        <v>83485.645375919223</v>
      </c>
      <c r="X24" s="21">
        <f>$N$42*K24</f>
        <v>0</v>
      </c>
      <c r="Y24" s="21">
        <f>$O$42*J24</f>
        <v>42.377450108858014</v>
      </c>
      <c r="Z24" s="21">
        <f>$P$42*I24</f>
        <v>0</v>
      </c>
      <c r="AA24" s="21">
        <f>$Q$42*H24</f>
        <v>0</v>
      </c>
      <c r="AB24" s="21">
        <f>$R$42*G24</f>
        <v>1418.5972298069146</v>
      </c>
      <c r="AC24" s="21">
        <f>$S$42*F24</f>
        <v>-341.47159950323402</v>
      </c>
      <c r="AD24" s="21">
        <f>$T$42</f>
        <v>1605.4931803061395</v>
      </c>
      <c r="AE24" s="21">
        <f>SUM(X24:AD24)</f>
        <v>2724.9962607186781</v>
      </c>
      <c r="AF24" s="21">
        <f>AE24-B24</f>
        <v>66.046260718678241</v>
      </c>
      <c r="AG24" s="50">
        <f>AF24/B24</f>
        <v>2.4839226280553694E-2</v>
      </c>
      <c r="AH24" s="51">
        <f>AF24^2</f>
        <v>4362.1085549196205</v>
      </c>
      <c r="AI24" s="50"/>
    </row>
    <row r="25" spans="1:35" ht="13">
      <c r="A25" s="18">
        <v>22</v>
      </c>
      <c r="B25" s="21">
        <v>2848.53</v>
      </c>
      <c r="C25" s="21">
        <v>0</v>
      </c>
      <c r="D25" s="21">
        <v>20</v>
      </c>
      <c r="E25" s="21">
        <v>0</v>
      </c>
      <c r="F25" s="20">
        <v>0.5</v>
      </c>
      <c r="G25" s="16">
        <v>61.7</v>
      </c>
      <c r="H25" s="18">
        <v>0</v>
      </c>
      <c r="I25" s="57">
        <f>(I24*$I$1+C25)^$I$2</f>
        <v>0</v>
      </c>
      <c r="J25" s="57">
        <f>(J24*$J$1+D25)^$J$2</f>
        <v>20</v>
      </c>
      <c r="K25" s="57">
        <f>(K24*$K$1+E25)^$K$2</f>
        <v>0</v>
      </c>
      <c r="X25" s="21">
        <f>$N$42*K25</f>
        <v>0</v>
      </c>
      <c r="Y25" s="21">
        <f>$O$42*J25</f>
        <v>42.377450108858014</v>
      </c>
      <c r="Z25" s="21">
        <f>$P$42*I25</f>
        <v>0</v>
      </c>
      <c r="AA25" s="21">
        <f>$Q$42*H25</f>
        <v>0</v>
      </c>
      <c r="AB25" s="21">
        <f>$R$42*G25</f>
        <v>1579.9178534131161</v>
      </c>
      <c r="AC25" s="21">
        <f>$S$42*F25</f>
        <v>-341.47159950323402</v>
      </c>
      <c r="AD25" s="21">
        <f>$T$42</f>
        <v>1605.4931803061395</v>
      </c>
      <c r="AE25" s="21">
        <f>SUM(X25:AD25)</f>
        <v>2886.3168843248795</v>
      </c>
      <c r="AF25" s="21">
        <f>AE25-B25</f>
        <v>37.786884324879338</v>
      </c>
      <c r="AG25" s="50">
        <f>AF25/B25</f>
        <v>1.3265398056148025E-2</v>
      </c>
      <c r="AH25" s="51">
        <f>AF25^2</f>
        <v>1427.8486269818118</v>
      </c>
      <c r="AI25" s="50"/>
    </row>
    <row r="26" spans="1:35" ht="13">
      <c r="A26" s="18">
        <v>23</v>
      </c>
      <c r="B26" s="21">
        <v>2801.63</v>
      </c>
      <c r="C26" s="21">
        <v>0</v>
      </c>
      <c r="D26" s="21">
        <v>20</v>
      </c>
      <c r="E26" s="21">
        <v>0</v>
      </c>
      <c r="F26" s="20">
        <v>0.5</v>
      </c>
      <c r="G26" s="16">
        <v>64.7</v>
      </c>
      <c r="H26" s="18">
        <v>0</v>
      </c>
      <c r="I26" s="57">
        <f>(I25*$I$1+C26)^$I$2</f>
        <v>0</v>
      </c>
      <c r="J26" s="57">
        <f>(J25*$J$1+D26)^$J$2</f>
        <v>20</v>
      </c>
      <c r="K26" s="57">
        <f>(K25*$K$1+E26)^$K$2</f>
        <v>0</v>
      </c>
      <c r="M26" s="18" t="str">
        <f t="array" ref="M26:N32">TRANSPOSE(M23:S24)</f>
        <v>Social Ads, AR=0, DR=0.6</v>
      </c>
      <c r="N26" s="21">
        <v>3187.1295116742808</v>
      </c>
      <c r="O26" s="50">
        <f>N26/SUM($N$26:$N$32)</f>
        <v>1.7794045181271815E-2</v>
      </c>
      <c r="X26" s="21">
        <f>$N$42*K26</f>
        <v>0</v>
      </c>
      <c r="Y26" s="21">
        <f>$O$42*J26</f>
        <v>42.377450108858014</v>
      </c>
      <c r="Z26" s="21">
        <f>$P$42*I26</f>
        <v>0</v>
      </c>
      <c r="AA26" s="21">
        <f>$Q$42*H26</f>
        <v>0</v>
      </c>
      <c r="AB26" s="21">
        <f>$R$42*G26</f>
        <v>1656.7371979874977</v>
      </c>
      <c r="AC26" s="21">
        <f>$S$42*F26</f>
        <v>-341.47159950323402</v>
      </c>
      <c r="AD26" s="21">
        <f>$T$42</f>
        <v>1605.4931803061395</v>
      </c>
      <c r="AE26" s="21">
        <f>SUM(X26:AD26)</f>
        <v>2963.1362288992614</v>
      </c>
      <c r="AF26" s="21">
        <f>AE26-B26</f>
        <v>161.50622889926126</v>
      </c>
      <c r="AG26" s="50">
        <f>AF26/B26</f>
        <v>5.7647237108133929E-2</v>
      </c>
      <c r="AH26" s="51">
        <f>AF26^2</f>
        <v>26084.261973260574</v>
      </c>
      <c r="AI26" s="50"/>
    </row>
    <row r="27" spans="1:35" ht="13">
      <c r="A27" s="18">
        <v>24</v>
      </c>
      <c r="B27" s="21">
        <v>4645.67</v>
      </c>
      <c r="C27" s="21">
        <v>200</v>
      </c>
      <c r="D27" s="21">
        <v>40</v>
      </c>
      <c r="E27" s="21">
        <v>0</v>
      </c>
      <c r="F27" s="20">
        <v>0.5</v>
      </c>
      <c r="G27" s="16">
        <v>67.599999999999994</v>
      </c>
      <c r="H27" s="18">
        <v>1</v>
      </c>
      <c r="I27" s="57">
        <f>(I26*$I$1+C27)^$I$2</f>
        <v>200</v>
      </c>
      <c r="J27" s="57">
        <f>(J26*$J$1+D27)^$J$2</f>
        <v>40</v>
      </c>
      <c r="K27" s="57">
        <f>(K26*$K$1+E27)^$K$2</f>
        <v>0</v>
      </c>
      <c r="M27" s="18" t="str">
        <v>Search Ads, AR=0, DR=1</v>
      </c>
      <c r="N27" s="21">
        <v>2161.2499555517597</v>
      </c>
      <c r="O27" s="50">
        <f>N27/SUM($N$26:$N$32)</f>
        <v>1.2066462695112464E-2</v>
      </c>
      <c r="X27" s="21">
        <f>$N$42*K27</f>
        <v>0</v>
      </c>
      <c r="Y27" s="21">
        <f>$O$42*J27</f>
        <v>84.754900217716028</v>
      </c>
      <c r="Z27" s="21">
        <f>$P$42*I27</f>
        <v>730.9144113140045</v>
      </c>
      <c r="AA27" s="21">
        <f>$Q$42*H27</f>
        <v>822.96782381786284</v>
      </c>
      <c r="AB27" s="21">
        <f>$R$42*G27</f>
        <v>1730.9958977427332</v>
      </c>
      <c r="AC27" s="21">
        <f>$S$42*F27</f>
        <v>-341.47159950323402</v>
      </c>
      <c r="AD27" s="21">
        <f>$T$42</f>
        <v>1605.4931803061395</v>
      </c>
      <c r="AE27" s="21">
        <f>SUM(X27:AD27)</f>
        <v>4633.6546138952217</v>
      </c>
      <c r="AF27" s="21">
        <f>AE27-B27</f>
        <v>-12.015386104778372</v>
      </c>
      <c r="AG27" s="50">
        <f>AF27/B27</f>
        <v>-2.5863623771766766E-3</v>
      </c>
      <c r="AH27" s="51">
        <f>AF27^2</f>
        <v>144.36950324690119</v>
      </c>
      <c r="AI27" s="50"/>
    </row>
    <row r="28" spans="1:35" ht="13">
      <c r="A28" s="18">
        <v>25</v>
      </c>
      <c r="B28" s="21">
        <v>4034.12</v>
      </c>
      <c r="C28" s="21">
        <v>200</v>
      </c>
      <c r="D28" s="21">
        <v>40</v>
      </c>
      <c r="E28" s="21">
        <v>0</v>
      </c>
      <c r="F28" s="20">
        <v>0.5</v>
      </c>
      <c r="G28" s="16">
        <v>66.3</v>
      </c>
      <c r="H28" s="18">
        <v>0</v>
      </c>
      <c r="I28" s="57">
        <f>(I27*$I$1+C28)^$I$2</f>
        <v>260</v>
      </c>
      <c r="J28" s="57">
        <f>(J27*$J$1+D28)^$J$2</f>
        <v>40</v>
      </c>
      <c r="K28" s="57">
        <f>(K27*$K$1+E28)^$K$2</f>
        <v>0</v>
      </c>
      <c r="M28" s="18" t="str">
        <v>Newspaper Ads, AR=0.3, DR=1</v>
      </c>
      <c r="N28" s="21">
        <v>12529.961336233602</v>
      </c>
      <c r="O28" s="50">
        <f>N28/SUM($N$26:$N$32)</f>
        <v>6.9955957961496132E-2</v>
      </c>
      <c r="X28" s="21">
        <f>$N$42*K28</f>
        <v>0</v>
      </c>
      <c r="Y28" s="21">
        <f>$O$42*J28</f>
        <v>84.754900217716028</v>
      </c>
      <c r="Z28" s="21">
        <f>$P$42*I28</f>
        <v>950.18873470820586</v>
      </c>
      <c r="AA28" s="21">
        <f>$Q$42*H28</f>
        <v>0</v>
      </c>
      <c r="AB28" s="21">
        <f>$R$42*G28</f>
        <v>1697.7075150938344</v>
      </c>
      <c r="AC28" s="21">
        <f>$S$42*F28</f>
        <v>-341.47159950323402</v>
      </c>
      <c r="AD28" s="21">
        <f>$T$42</f>
        <v>1605.4931803061395</v>
      </c>
      <c r="AE28" s="21">
        <f>SUM(X28:AD28)</f>
        <v>3996.6727308226623</v>
      </c>
      <c r="AF28" s="21">
        <f>AE28-B28</f>
        <v>-37.447269177337603</v>
      </c>
      <c r="AG28" s="50">
        <f>AF28/B28</f>
        <v>-9.2826364057929864E-3</v>
      </c>
      <c r="AH28" s="51">
        <f>AF28^2</f>
        <v>1402.2979688399789</v>
      </c>
      <c r="AI28" s="50"/>
    </row>
    <row r="29" spans="1:35" ht="13">
      <c r="A29" s="18">
        <v>26</v>
      </c>
      <c r="B29" s="21">
        <v>4510.32</v>
      </c>
      <c r="C29" s="21">
        <v>200</v>
      </c>
      <c r="D29" s="21">
        <v>40</v>
      </c>
      <c r="E29" s="21">
        <v>70</v>
      </c>
      <c r="F29" s="20">
        <v>0.5</v>
      </c>
      <c r="G29" s="16">
        <v>74.400000000000006</v>
      </c>
      <c r="H29" s="18">
        <v>0</v>
      </c>
      <c r="I29" s="57">
        <f>(I28*$I$1+C29)^$I$2</f>
        <v>278</v>
      </c>
      <c r="J29" s="57">
        <f>(J28*$J$1+D29)^$J$2</f>
        <v>40</v>
      </c>
      <c r="K29" s="57">
        <f>(K28*$K$1+E29)^$K$2</f>
        <v>12.79554604618191</v>
      </c>
      <c r="M29" s="18" t="str">
        <v>Holiday</v>
      </c>
      <c r="N29" s="21">
        <v>8229.6782381786288</v>
      </c>
      <c r="O29" s="50">
        <f>N29/SUM($N$26:$N$32)</f>
        <v>4.5947071137548985E-2</v>
      </c>
      <c r="X29" s="21">
        <f>$N$42*K29</f>
        <v>250.91789466293579</v>
      </c>
      <c r="Y29" s="21">
        <f>$O$42*J29</f>
        <v>84.754900217716028</v>
      </c>
      <c r="Z29" s="21">
        <f>$P$42*I29</f>
        <v>1015.9710317264662</v>
      </c>
      <c r="AA29" s="21">
        <f>$Q$42*H29</f>
        <v>0</v>
      </c>
      <c r="AB29" s="21">
        <f>$R$42*G29</f>
        <v>1905.1197454446651</v>
      </c>
      <c r="AC29" s="21">
        <f>$S$42*F29</f>
        <v>-341.47159950323402</v>
      </c>
      <c r="AD29" s="21">
        <f>$T$42</f>
        <v>1605.4931803061395</v>
      </c>
      <c r="AE29" s="21">
        <f>SUM(X29:AD29)</f>
        <v>4520.7851528546889</v>
      </c>
      <c r="AF29" s="21">
        <f>AE29-B29</f>
        <v>10.465152854689222</v>
      </c>
      <c r="AG29" s="50">
        <f>AF29/B29</f>
        <v>2.3202683744588462E-3</v>
      </c>
      <c r="AH29" s="51">
        <f>AF29^2</f>
        <v>109.51942427200999</v>
      </c>
      <c r="AI29" s="50"/>
    </row>
    <row r="30" spans="1:35" ht="13">
      <c r="A30" s="18">
        <v>27</v>
      </c>
      <c r="B30" s="21">
        <v>4436.8999999999996</v>
      </c>
      <c r="C30" s="21">
        <v>200</v>
      </c>
      <c r="D30" s="21">
        <v>50</v>
      </c>
      <c r="E30" s="21">
        <v>70</v>
      </c>
      <c r="F30" s="20">
        <v>0.5</v>
      </c>
      <c r="G30" s="16">
        <v>75.400000000000006</v>
      </c>
      <c r="H30" s="18">
        <v>0</v>
      </c>
      <c r="I30" s="57">
        <f>(I29*$I$1+C30)^$I$2</f>
        <v>283.39999999999998</v>
      </c>
      <c r="J30" s="57">
        <f>(J29*$J$1+D30)^$J$2</f>
        <v>50</v>
      </c>
      <c r="K30" s="57">
        <f>(K29*$K$1+E30)^$K$2</f>
        <v>12.79554604618191</v>
      </c>
      <c r="M30" s="18" t="str">
        <v>Temperature</v>
      </c>
      <c r="N30" s="21">
        <v>72591.719977971501</v>
      </c>
      <c r="O30" s="50">
        <f>N30/SUM($N$26:$N$32)</f>
        <v>0.40528643104801015</v>
      </c>
      <c r="X30" s="21">
        <f>$N$42*K30</f>
        <v>250.91789466293579</v>
      </c>
      <c r="Y30" s="21">
        <f>$O$42*J30</f>
        <v>105.94362527214503</v>
      </c>
      <c r="Z30" s="21">
        <f>$P$42*I30</f>
        <v>1035.7057208319443</v>
      </c>
      <c r="AA30" s="21">
        <f>$Q$42*H30</f>
        <v>0</v>
      </c>
      <c r="AB30" s="21">
        <f>$R$42*G30</f>
        <v>1930.7261936361256</v>
      </c>
      <c r="AC30" s="21">
        <f>$S$42*F30</f>
        <v>-341.47159950323402</v>
      </c>
      <c r="AD30" s="21">
        <f>$T$42</f>
        <v>1605.4931803061395</v>
      </c>
      <c r="AE30" s="21">
        <f>SUM(X30:AD30)</f>
        <v>4587.3150152060571</v>
      </c>
      <c r="AF30" s="21">
        <f>AE30-B30</f>
        <v>150.41501520605743</v>
      </c>
      <c r="AG30" s="50">
        <f>AF30/B30</f>
        <v>3.3900925241961151E-2</v>
      </c>
      <c r="AH30" s="51">
        <f>AF30^2</f>
        <v>22624.67679943849</v>
      </c>
      <c r="AI30" s="50"/>
    </row>
    <row r="31" spans="1:35" ht="13">
      <c r="A31" s="18">
        <v>28</v>
      </c>
      <c r="B31" s="21">
        <v>5427.97</v>
      </c>
      <c r="C31" s="21">
        <v>200</v>
      </c>
      <c r="D31" s="21">
        <v>50</v>
      </c>
      <c r="E31" s="21">
        <v>70</v>
      </c>
      <c r="F31" s="20">
        <v>0.5</v>
      </c>
      <c r="G31" s="16">
        <v>77.099999999999994</v>
      </c>
      <c r="H31" s="18">
        <v>1</v>
      </c>
      <c r="I31" s="57">
        <f>(I30*$I$1+C31)^$I$2</f>
        <v>285.02</v>
      </c>
      <c r="J31" s="57">
        <f>(J30*$J$1+D31)^$J$2</f>
        <v>50</v>
      </c>
      <c r="K31" s="57">
        <f>(K30*$K$1+E31)^$K$2</f>
        <v>12.79554604618191</v>
      </c>
      <c r="M31" s="18" t="str">
        <v>Price Change</v>
      </c>
      <c r="N31" s="21">
        <v>-3073.2443955291055</v>
      </c>
      <c r="O31" s="50">
        <f>N31/SUM($N$26:$N$32)</f>
        <v>-1.7158213818053356E-2</v>
      </c>
      <c r="X31" s="21">
        <f>$N$42*K31</f>
        <v>250.91789466293579</v>
      </c>
      <c r="Y31" s="21">
        <f>$O$42*J31</f>
        <v>105.94362527214503</v>
      </c>
      <c r="Z31" s="21">
        <f>$P$42*I31</f>
        <v>1041.6261275635877</v>
      </c>
      <c r="AA31" s="21">
        <f>$Q$42*H31</f>
        <v>822.96782381786284</v>
      </c>
      <c r="AB31" s="21">
        <f>$R$42*G31</f>
        <v>1974.2571555616082</v>
      </c>
      <c r="AC31" s="21">
        <f>$S$42*F31</f>
        <v>-341.47159950323402</v>
      </c>
      <c r="AD31" s="21">
        <f>$T$42</f>
        <v>1605.4931803061395</v>
      </c>
      <c r="AE31" s="21">
        <f>SUM(X31:AD31)</f>
        <v>5459.7342076810455</v>
      </c>
      <c r="AF31" s="21">
        <f>AE31-B31</f>
        <v>31.764207681045264</v>
      </c>
      <c r="AG31" s="50">
        <f>AF31/B31</f>
        <v>5.8519497493621482E-3</v>
      </c>
      <c r="AH31" s="51">
        <f>AF31^2</f>
        <v>1008.964889604575</v>
      </c>
      <c r="AI31" s="50"/>
    </row>
    <row r="32" spans="1:35" ht="13">
      <c r="A32" s="18">
        <v>29</v>
      </c>
      <c r="B32" s="21">
        <v>4758.76</v>
      </c>
      <c r="C32" s="21">
        <v>200</v>
      </c>
      <c r="D32" s="21">
        <v>50</v>
      </c>
      <c r="E32" s="21">
        <v>70</v>
      </c>
      <c r="F32" s="20">
        <v>0.5</v>
      </c>
      <c r="G32" s="16">
        <v>75.400000000000006</v>
      </c>
      <c r="H32" s="18">
        <v>0</v>
      </c>
      <c r="I32" s="57">
        <f>(I31*$I$1+C32)^$I$2</f>
        <v>285.50599999999997</v>
      </c>
      <c r="J32" s="57">
        <f>(J31*$J$1+D32)^$J$2</f>
        <v>50</v>
      </c>
      <c r="K32" s="57">
        <f>(K31*$K$1+E32)^$K$2</f>
        <v>12.79554604618191</v>
      </c>
      <c r="M32" s="18" t="str">
        <v>Baseline</v>
      </c>
      <c r="N32" s="21">
        <v>83485.645375919223</v>
      </c>
      <c r="O32" s="50">
        <f>N32/SUM($N$26:$N$32)</f>
        <v>0.46610824579461374</v>
      </c>
      <c r="X32" s="21">
        <f>$N$42*K32</f>
        <v>250.91789466293579</v>
      </c>
      <c r="Y32" s="21">
        <f>$O$42*J32</f>
        <v>105.94362527214503</v>
      </c>
      <c r="Z32" s="21">
        <f>$P$42*I32</f>
        <v>1043.4022495830807</v>
      </c>
      <c r="AA32" s="21">
        <f>$Q$42*H32</f>
        <v>0</v>
      </c>
      <c r="AB32" s="21">
        <f>$R$42*G32</f>
        <v>1930.7261936361256</v>
      </c>
      <c r="AC32" s="21">
        <f>$S$42*F32</f>
        <v>-341.47159950323402</v>
      </c>
      <c r="AD32" s="21">
        <f>$T$42</f>
        <v>1605.4931803061395</v>
      </c>
      <c r="AE32" s="21">
        <f>SUM(X32:AD32)</f>
        <v>4595.0115439571928</v>
      </c>
      <c r="AF32" s="21">
        <f>AE32-B32</f>
        <v>-163.74845604280745</v>
      </c>
      <c r="AG32" s="50">
        <f>AF32/B32</f>
        <v>-3.4409900066993807E-2</v>
      </c>
      <c r="AH32" s="51">
        <f>AF32^2</f>
        <v>26813.556856403244</v>
      </c>
      <c r="AI32" s="50"/>
    </row>
    <row r="33" spans="1:35" ht="13">
      <c r="A33" s="18">
        <v>30</v>
      </c>
      <c r="B33" s="21">
        <v>4773.62</v>
      </c>
      <c r="C33" s="21">
        <v>200</v>
      </c>
      <c r="D33" s="21">
        <v>50</v>
      </c>
      <c r="E33" s="21">
        <v>140</v>
      </c>
      <c r="F33" s="20">
        <v>0.5</v>
      </c>
      <c r="G33" s="16">
        <v>79.599999999999994</v>
      </c>
      <c r="H33" s="18">
        <v>0</v>
      </c>
      <c r="I33" s="57">
        <f>(I32*$I$1+C33)^$I$2</f>
        <v>285.65179999999998</v>
      </c>
      <c r="J33" s="57">
        <f>(J32*$J$1+D33)^$J$2</f>
        <v>50</v>
      </c>
      <c r="K33" s="57">
        <f>(K32*$K$1+E33)^$K$2</f>
        <v>19.394421119744536</v>
      </c>
      <c r="X33" s="21">
        <f>$N$42*K33</f>
        <v>380.3204097745226</v>
      </c>
      <c r="Y33" s="21">
        <f>$O$42*J33</f>
        <v>105.94362527214503</v>
      </c>
      <c r="Z33" s="21">
        <f>$P$42*I33</f>
        <v>1043.9350861889286</v>
      </c>
      <c r="AA33" s="21">
        <f>$Q$42*H33</f>
        <v>0</v>
      </c>
      <c r="AB33" s="21">
        <f>$R$42*G33</f>
        <v>2038.2732760402596</v>
      </c>
      <c r="AC33" s="21">
        <f>$S$42*F33</f>
        <v>-341.47159950323402</v>
      </c>
      <c r="AD33" s="21">
        <f>$T$42</f>
        <v>1605.4931803061395</v>
      </c>
      <c r="AE33" s="21">
        <f>SUM(X33:AD33)</f>
        <v>4832.4939780787608</v>
      </c>
      <c r="AF33" s="21">
        <f>AE33-B33</f>
        <v>58.873978078760956</v>
      </c>
      <c r="AG33" s="50">
        <f>AF33/B33</f>
        <v>1.2333193274446009E-2</v>
      </c>
      <c r="AH33" s="51">
        <f>AF33^2</f>
        <v>3466.1452948184256</v>
      </c>
      <c r="AI33" s="50"/>
    </row>
    <row r="34" spans="1:35" ht="13">
      <c r="A34" s="18">
        <v>31</v>
      </c>
      <c r="B34" s="21">
        <v>4866.54</v>
      </c>
      <c r="C34" s="21">
        <v>200</v>
      </c>
      <c r="D34" s="21">
        <v>50</v>
      </c>
      <c r="E34" s="21">
        <v>140</v>
      </c>
      <c r="F34" s="20">
        <v>0.5</v>
      </c>
      <c r="G34" s="16">
        <v>80.2</v>
      </c>
      <c r="H34" s="18">
        <v>0</v>
      </c>
      <c r="I34" s="57">
        <f>(I33*$I$1+C34)^$I$2</f>
        <v>285.69553999999999</v>
      </c>
      <c r="J34" s="57">
        <f>(J33*$J$1+D34)^$J$2</f>
        <v>50</v>
      </c>
      <c r="K34" s="57">
        <f>(K33*$K$1+E34)^$K$2</f>
        <v>19.394421119744536</v>
      </c>
      <c r="X34" s="21">
        <f>$N$42*K34</f>
        <v>380.3204097745226</v>
      </c>
      <c r="Y34" s="21">
        <f>$O$42*J34</f>
        <v>105.94362527214503</v>
      </c>
      <c r="Z34" s="21">
        <f>$P$42*I34</f>
        <v>1044.0949371706831</v>
      </c>
      <c r="AA34" s="21">
        <f>$Q$42*H34</f>
        <v>0</v>
      </c>
      <c r="AB34" s="21">
        <f>$R$42*G34</f>
        <v>2053.6371449551361</v>
      </c>
      <c r="AC34" s="21">
        <f>$S$42*F34</f>
        <v>-341.47159950323402</v>
      </c>
      <c r="AD34" s="21">
        <f>$T$42</f>
        <v>1605.4931803061395</v>
      </c>
      <c r="AE34" s="21">
        <f>SUM(X34:AD34)</f>
        <v>4848.0176979753924</v>
      </c>
      <c r="AF34" s="21">
        <f>AE34-B34</f>
        <v>-18.522302024607598</v>
      </c>
      <c r="AG34" s="50">
        <f>AF34/B34</f>
        <v>-3.8060515324250077E-3</v>
      </c>
      <c r="AH34" s="51">
        <f>AF34^2</f>
        <v>343.07567229078273</v>
      </c>
      <c r="AI34" s="50"/>
    </row>
    <row r="35" spans="1:35" ht="13">
      <c r="A35" s="18">
        <v>32</v>
      </c>
      <c r="B35" s="21">
        <v>4846.53</v>
      </c>
      <c r="C35" s="21">
        <v>200</v>
      </c>
      <c r="D35" s="21">
        <v>40</v>
      </c>
      <c r="E35" s="21">
        <v>140</v>
      </c>
      <c r="F35" s="20">
        <v>0.5</v>
      </c>
      <c r="G35" s="16">
        <v>75.900000000000006</v>
      </c>
      <c r="H35" s="18">
        <v>0</v>
      </c>
      <c r="I35" s="57">
        <f>(I34*$I$1+C35)^$I$2</f>
        <v>285.708662</v>
      </c>
      <c r="J35" s="57">
        <f>(J34*$J$1+D35)^$J$2</f>
        <v>40</v>
      </c>
      <c r="K35" s="57">
        <f>(K34*$K$1+E35)^$K$2</f>
        <v>19.394421119744536</v>
      </c>
      <c r="X35" s="21">
        <f>$N$42*K35</f>
        <v>380.3204097745226</v>
      </c>
      <c r="Y35" s="21">
        <f>$O$42*J35</f>
        <v>84.754900217716028</v>
      </c>
      <c r="Z35" s="21">
        <f>$P$42*I35</f>
        <v>1044.1428924652093</v>
      </c>
      <c r="AA35" s="21">
        <f>$Q$42*H35</f>
        <v>0</v>
      </c>
      <c r="AB35" s="21">
        <f>$R$42*G35</f>
        <v>1943.529417731856</v>
      </c>
      <c r="AC35" s="21">
        <f>$S$42*F35</f>
        <v>-341.47159950323402</v>
      </c>
      <c r="AD35" s="21">
        <f>$T$42</f>
        <v>1605.4931803061395</v>
      </c>
      <c r="AE35" s="21">
        <f>SUM(X35:AD35)</f>
        <v>4716.7692009922102</v>
      </c>
      <c r="AF35" s="21">
        <f>AE35-B35</f>
        <v>-129.7607990077895</v>
      </c>
      <c r="AG35" s="50">
        <f>AF35/B35</f>
        <v>-2.6773959721241695E-2</v>
      </c>
      <c r="AH35" s="51">
        <f>AF35^2</f>
        <v>16837.864959139944</v>
      </c>
      <c r="AI35" s="50"/>
    </row>
    <row r="36" spans="1:35" ht="13">
      <c r="A36" s="18">
        <v>33</v>
      </c>
      <c r="B36" s="21">
        <v>5209.8999999999996</v>
      </c>
      <c r="C36" s="21">
        <v>200</v>
      </c>
      <c r="D36" s="21">
        <v>40</v>
      </c>
      <c r="E36" s="21">
        <v>140</v>
      </c>
      <c r="F36" s="20">
        <v>-0.2</v>
      </c>
      <c r="G36" s="16">
        <v>77.3</v>
      </c>
      <c r="H36" s="18">
        <v>0</v>
      </c>
      <c r="I36" s="57">
        <f>(I35*$I$1+C36)^$I$2</f>
        <v>285.71259859999998</v>
      </c>
      <c r="J36" s="57">
        <f>(J35*$J$1+D36)^$J$2</f>
        <v>40</v>
      </c>
      <c r="K36" s="57">
        <f>(K35*$K$1+E36)^$K$2</f>
        <v>19.394421119744536</v>
      </c>
      <c r="X36" s="21">
        <f>$N$42*K36</f>
        <v>380.3204097745226</v>
      </c>
      <c r="Y36" s="21">
        <f>$O$42*J36</f>
        <v>84.754900217716028</v>
      </c>
      <c r="Z36" s="21">
        <f>$P$42*I36</f>
        <v>1044.1572790535672</v>
      </c>
      <c r="AA36" s="21">
        <f>$Q$42*H36</f>
        <v>0</v>
      </c>
      <c r="AB36" s="21">
        <f>$R$42*G36</f>
        <v>1979.3784451999004</v>
      </c>
      <c r="AC36" s="21">
        <f>$S$42*F36</f>
        <v>136.58863980129362</v>
      </c>
      <c r="AD36" s="21">
        <f>$T$42</f>
        <v>1605.4931803061395</v>
      </c>
      <c r="AE36" s="21">
        <f>SUM(X36:AD36)</f>
        <v>5230.6928543531394</v>
      </c>
      <c r="AF36" s="21">
        <f>AE36-B36</f>
        <v>20.792854353139774</v>
      </c>
      <c r="AG36" s="50">
        <f>AF36/B36</f>
        <v>3.9910275347203933E-3</v>
      </c>
      <c r="AH36" s="51">
        <f>AF36^2</f>
        <v>432.34279215088361</v>
      </c>
      <c r="AI36" s="50"/>
    </row>
    <row r="37" spans="1:35" ht="13">
      <c r="A37" s="18">
        <v>34</v>
      </c>
      <c r="B37" s="21">
        <v>4831.16</v>
      </c>
      <c r="C37" s="21">
        <v>200</v>
      </c>
      <c r="D37" s="21">
        <v>40</v>
      </c>
      <c r="E37" s="21">
        <v>35</v>
      </c>
      <c r="F37" s="20">
        <v>-0.2</v>
      </c>
      <c r="G37" s="16">
        <v>72.7</v>
      </c>
      <c r="H37" s="18">
        <v>0</v>
      </c>
      <c r="I37" s="57">
        <f>(I36*$I$1+C37)^$I$2</f>
        <v>285.71377957999999</v>
      </c>
      <c r="J37" s="57">
        <f>(J36*$J$1+D37)^$J$2</f>
        <v>40</v>
      </c>
      <c r="K37" s="57">
        <f>(K36*$K$1+E37)^$K$2</f>
        <v>8.4419121152979244</v>
      </c>
      <c r="X37" s="21">
        <f>$N$42*K37</f>
        <v>165.54407348111167</v>
      </c>
      <c r="Y37" s="21">
        <f>$O$42*J37</f>
        <v>84.754900217716028</v>
      </c>
      <c r="Z37" s="21">
        <f>$P$42*I37</f>
        <v>1044.1615950300747</v>
      </c>
      <c r="AA37" s="21">
        <f>$Q$42*H37</f>
        <v>0</v>
      </c>
      <c r="AB37" s="21">
        <f>$R$42*G37</f>
        <v>1861.588783519182</v>
      </c>
      <c r="AC37" s="21">
        <f>$S$42*F37</f>
        <v>136.58863980129362</v>
      </c>
      <c r="AD37" s="21">
        <f>$T$42</f>
        <v>1605.4931803061395</v>
      </c>
      <c r="AE37" s="21">
        <f>SUM(X37:AD37)</f>
        <v>4898.1311723555173</v>
      </c>
      <c r="AF37" s="21">
        <f>AE37-B37</f>
        <v>66.97117235551741</v>
      </c>
      <c r="AG37" s="50">
        <f>AF37/B37</f>
        <v>1.3862337897216696E-2</v>
      </c>
      <c r="AH37" s="51">
        <f>AF37^2</f>
        <v>4485.1379266724198</v>
      </c>
      <c r="AI37" s="50"/>
    </row>
    <row r="38" spans="1:35" ht="13">
      <c r="A38" s="18">
        <v>35</v>
      </c>
      <c r="B38" s="21">
        <v>4999.6400000000003</v>
      </c>
      <c r="C38" s="21">
        <v>200</v>
      </c>
      <c r="D38" s="21">
        <v>40</v>
      </c>
      <c r="E38" s="21">
        <v>35</v>
      </c>
      <c r="F38" s="20">
        <v>-0.2</v>
      </c>
      <c r="G38" s="16">
        <v>76.7</v>
      </c>
      <c r="H38" s="18">
        <v>0</v>
      </c>
      <c r="I38" s="57">
        <f>(I37*$I$1+C38)^$I$2</f>
        <v>285.71413387400003</v>
      </c>
      <c r="J38" s="57">
        <f>(J37*$J$1+D38)^$J$2</f>
        <v>40</v>
      </c>
      <c r="K38" s="57">
        <f>(K37*$K$1+E38)^$K$2</f>
        <v>8.4419121152979244</v>
      </c>
      <c r="X38" s="21">
        <f>$N$42*K38</f>
        <v>165.54407348111167</v>
      </c>
      <c r="Y38" s="21">
        <f>$O$42*J38</f>
        <v>84.754900217716028</v>
      </c>
      <c r="Z38" s="21">
        <f>$P$42*I38</f>
        <v>1044.1628898230269</v>
      </c>
      <c r="AA38" s="21">
        <f>$Q$42*H38</f>
        <v>0</v>
      </c>
      <c r="AB38" s="21">
        <f>$R$42*G38</f>
        <v>1964.0145762850243</v>
      </c>
      <c r="AC38" s="21">
        <f>$S$42*F38</f>
        <v>136.58863980129362</v>
      </c>
      <c r="AD38" s="21">
        <f>$T$42</f>
        <v>1605.4931803061395</v>
      </c>
      <c r="AE38" s="21">
        <f>SUM(X38:AD38)</f>
        <v>5000.5582599143127</v>
      </c>
      <c r="AF38" s="21">
        <f>AE38-B38</f>
        <v>0.91825991431232978</v>
      </c>
      <c r="AG38" s="50">
        <f>AF38/B38</f>
        <v>1.8366520675735246E-4</v>
      </c>
      <c r="AH38" s="51">
        <f>AF38^2</f>
        <v>0.84320127023288727</v>
      </c>
      <c r="AI38" s="50"/>
    </row>
    <row r="39" spans="1:35" ht="13">
      <c r="A39" s="18">
        <v>36</v>
      </c>
      <c r="B39" s="21">
        <v>4073.66</v>
      </c>
      <c r="C39" s="21">
        <v>0</v>
      </c>
      <c r="D39" s="21">
        <v>20</v>
      </c>
      <c r="E39" s="21">
        <v>35</v>
      </c>
      <c r="F39" s="20">
        <v>-0.2</v>
      </c>
      <c r="G39" s="16">
        <v>72.7</v>
      </c>
      <c r="H39" s="18">
        <v>0</v>
      </c>
      <c r="I39" s="57">
        <f>(I38*$I$1+C39)^$I$2</f>
        <v>85.714240162199999</v>
      </c>
      <c r="J39" s="57">
        <f>(J38*$J$1+D39)^$J$2</f>
        <v>20</v>
      </c>
      <c r="K39" s="57">
        <f>(K38*$K$1+E39)^$K$2</f>
        <v>8.4419121152979244</v>
      </c>
      <c r="X39" s="21">
        <f>$N$42*K39</f>
        <v>165.54407348111167</v>
      </c>
      <c r="Y39" s="21">
        <f>$O$42*J39</f>
        <v>42.377450108858014</v>
      </c>
      <c r="Z39" s="21">
        <f>$P$42*I39</f>
        <v>313.24886694690804</v>
      </c>
      <c r="AA39" s="21">
        <f>$Q$42*H39</f>
        <v>0</v>
      </c>
      <c r="AB39" s="21">
        <f>$R$42*G39</f>
        <v>1861.588783519182</v>
      </c>
      <c r="AC39" s="21">
        <f>$S$42*F39</f>
        <v>136.58863980129362</v>
      </c>
      <c r="AD39" s="21">
        <f>$T$42</f>
        <v>1605.4931803061395</v>
      </c>
      <c r="AE39" s="21">
        <f>SUM(X39:AD39)</f>
        <v>4124.8409941634927</v>
      </c>
      <c r="AF39" s="21">
        <f>AE39-B39</f>
        <v>51.180994163492869</v>
      </c>
      <c r="AG39" s="50">
        <f>AF39/B39</f>
        <v>1.2563884605856373E-2</v>
      </c>
      <c r="AH39" s="51">
        <f>AF39^2</f>
        <v>2619.4941635634909</v>
      </c>
      <c r="AI39" s="50"/>
    </row>
    <row r="40" spans="1:35" ht="13">
      <c r="A40" s="18">
        <v>37</v>
      </c>
      <c r="B40" s="21">
        <v>3885.19</v>
      </c>
      <c r="C40" s="21">
        <v>0</v>
      </c>
      <c r="D40" s="21">
        <v>20</v>
      </c>
      <c r="E40" s="21">
        <v>35</v>
      </c>
      <c r="F40" s="20">
        <v>-0.2</v>
      </c>
      <c r="G40" s="16">
        <v>71.7</v>
      </c>
      <c r="H40" s="18">
        <v>0</v>
      </c>
      <c r="I40" s="57">
        <f>(I39*$I$1+C40)^$I$2</f>
        <v>25.71427204866</v>
      </c>
      <c r="J40" s="57">
        <f>(J39*$J$1+D40)^$J$2</f>
        <v>20</v>
      </c>
      <c r="K40" s="57">
        <f>(K39*$K$1+E40)^$K$2</f>
        <v>8.4419121152979244</v>
      </c>
      <c r="X40" s="21">
        <f>$N$42*K40</f>
        <v>165.54407348111167</v>
      </c>
      <c r="Y40" s="21">
        <f>$O$42*J40</f>
        <v>42.377450108858014</v>
      </c>
      <c r="Z40" s="21">
        <f>$P$42*I40</f>
        <v>93.974660084072411</v>
      </c>
      <c r="AA40" s="21">
        <f>$Q$42*H40</f>
        <v>0</v>
      </c>
      <c r="AB40" s="21">
        <f>$R$42*G40</f>
        <v>1835.9823353277216</v>
      </c>
      <c r="AC40" s="21">
        <f>$S$42*F40</f>
        <v>136.58863980129362</v>
      </c>
      <c r="AD40" s="21">
        <f>$T$42</f>
        <v>1605.4931803061395</v>
      </c>
      <c r="AE40" s="21">
        <f>SUM(X40:AD40)</f>
        <v>3879.9603391091969</v>
      </c>
      <c r="AF40" s="21">
        <f>AE40-B40</f>
        <v>-5.2296608908031885</v>
      </c>
      <c r="AG40" s="50">
        <f>AF40/B40</f>
        <v>-1.3460502294104506E-3</v>
      </c>
      <c r="AH40" s="51">
        <f>AF40^2</f>
        <v>27.349353032796401</v>
      </c>
      <c r="AI40" s="50"/>
    </row>
    <row r="41" spans="1:35" ht="13">
      <c r="A41" s="18">
        <v>38</v>
      </c>
      <c r="B41" s="21">
        <v>3395.17</v>
      </c>
      <c r="C41" s="21">
        <v>0</v>
      </c>
      <c r="D41" s="21">
        <v>20</v>
      </c>
      <c r="E41" s="21">
        <v>0</v>
      </c>
      <c r="F41" s="20">
        <v>-0.2</v>
      </c>
      <c r="G41" s="16">
        <v>64.5</v>
      </c>
      <c r="H41" s="18">
        <v>0</v>
      </c>
      <c r="I41" s="57">
        <f>(I40*$I$1+C41)^$I$2</f>
        <v>7.7142816145979998</v>
      </c>
      <c r="J41" s="57">
        <f>(J40*$J$1+D41)^$J$2</f>
        <v>20</v>
      </c>
      <c r="K41" s="57">
        <f>(K40*$K$1+E41)^$K$2</f>
        <v>0</v>
      </c>
      <c r="N41" s="18" t="str">
        <f>K3</f>
        <v>Social Ads, AR=0, DR=0.6</v>
      </c>
      <c r="O41" s="18" t="str">
        <f>J3</f>
        <v>Search Ads, AR=0, DR=1</v>
      </c>
      <c r="P41" s="18" t="str">
        <f>I3</f>
        <v>Newspaper Ads, AR=0.3, DR=1</v>
      </c>
      <c r="Q41" s="18" t="str">
        <f>H3</f>
        <v>Holiday</v>
      </c>
      <c r="R41" s="18" t="str">
        <f>G3</f>
        <v>Temperature</v>
      </c>
      <c r="S41" s="18" t="str">
        <f>F3</f>
        <v>Price Change</v>
      </c>
      <c r="T41" s="18" t="s">
        <v>29</v>
      </c>
      <c r="X41" s="21">
        <f>$N$42*K41</f>
        <v>0</v>
      </c>
      <c r="Y41" s="21">
        <f>$O$42*J41</f>
        <v>42.377450108858014</v>
      </c>
      <c r="Z41" s="21">
        <f>$P$42*I41</f>
        <v>28.192398025221724</v>
      </c>
      <c r="AA41" s="21">
        <f>$Q$42*H41</f>
        <v>0</v>
      </c>
      <c r="AB41" s="21">
        <f>$R$42*G41</f>
        <v>1651.6159083492055</v>
      </c>
      <c r="AC41" s="21">
        <f>$S$42*F41</f>
        <v>136.58863980129362</v>
      </c>
      <c r="AD41" s="21">
        <f>$T$42</f>
        <v>1605.4931803061395</v>
      </c>
      <c r="AE41" s="21">
        <f>SUM(X41:AD41)</f>
        <v>3464.2675765907184</v>
      </c>
      <c r="AF41" s="21">
        <f>AE41-B41</f>
        <v>69.09757659071829</v>
      </c>
      <c r="AG41" s="50">
        <f>AF41/B41</f>
        <v>2.0351728069792761E-2</v>
      </c>
      <c r="AH41" s="51">
        <f>AF41^2</f>
        <v>4774.4750907101807</v>
      </c>
      <c r="AI41" s="50"/>
    </row>
    <row r="42" spans="1:35" ht="13">
      <c r="A42" s="18">
        <v>39</v>
      </c>
      <c r="B42" s="21">
        <v>3543.52</v>
      </c>
      <c r="C42" s="21">
        <v>0</v>
      </c>
      <c r="D42" s="21">
        <v>20</v>
      </c>
      <c r="E42" s="21">
        <v>0</v>
      </c>
      <c r="F42" s="20">
        <v>-0.2</v>
      </c>
      <c r="G42" s="16">
        <v>62.5</v>
      </c>
      <c r="H42" s="18">
        <v>0</v>
      </c>
      <c r="I42" s="57">
        <f>(I41*$I$1+C42)^$I$2</f>
        <v>2.3142844843793999</v>
      </c>
      <c r="J42" s="57">
        <f>(J41*$J$1+D42)^$J$2</f>
        <v>20</v>
      </c>
      <c r="K42" s="57">
        <f>(K41*$K$1+E42)^$K$2</f>
        <v>0</v>
      </c>
      <c r="M42" s="52" t="s">
        <v>41</v>
      </c>
      <c r="N42" s="53">
        <f t="array" ref="N42:T46">LINEST(B4:B55,F4:K55,1,1)</f>
        <v>19.609784041831315</v>
      </c>
      <c r="O42" s="53">
        <v>2.1188725054429005</v>
      </c>
      <c r="P42" s="53">
        <v>3.6545720565700224</v>
      </c>
      <c r="Q42" s="53">
        <v>822.96782381786284</v>
      </c>
      <c r="R42" s="53">
        <v>25.606448191460551</v>
      </c>
      <c r="S42" s="53">
        <v>-682.94319900646803</v>
      </c>
      <c r="T42" s="53">
        <v>1605.4931803061395</v>
      </c>
      <c r="X42" s="21">
        <f>$N$42*K42</f>
        <v>0</v>
      </c>
      <c r="Y42" s="21">
        <f>$O$42*J42</f>
        <v>42.377450108858014</v>
      </c>
      <c r="Z42" s="21">
        <f>$P$42*I42</f>
        <v>8.4577194075665183</v>
      </c>
      <c r="AA42" s="21">
        <f>$Q$42*H42</f>
        <v>0</v>
      </c>
      <c r="AB42" s="21">
        <f>$R$42*G42</f>
        <v>1600.4030119662843</v>
      </c>
      <c r="AC42" s="21">
        <f>$S$42*F42</f>
        <v>136.58863980129362</v>
      </c>
      <c r="AD42" s="21">
        <f>$T$42</f>
        <v>1605.4931803061395</v>
      </c>
      <c r="AE42" s="21">
        <f>SUM(X42:AD42)</f>
        <v>3393.3200015901421</v>
      </c>
      <c r="AF42" s="21">
        <f>AE42-B42</f>
        <v>-150.19999840985793</v>
      </c>
      <c r="AG42" s="50">
        <f>AF42/B42</f>
        <v>-4.2387230327430893E-2</v>
      </c>
      <c r="AH42" s="51">
        <f>AF42^2</f>
        <v>22560.039522321324</v>
      </c>
      <c r="AI42" s="50"/>
    </row>
    <row r="43" spans="1:35" ht="13">
      <c r="A43" s="18">
        <v>40</v>
      </c>
      <c r="B43" s="21">
        <v>3318.82</v>
      </c>
      <c r="C43" s="21">
        <v>0</v>
      </c>
      <c r="D43" s="21">
        <v>20</v>
      </c>
      <c r="E43" s="21">
        <v>0</v>
      </c>
      <c r="F43" s="20">
        <v>-0.2</v>
      </c>
      <c r="G43" s="16">
        <v>65.5</v>
      </c>
      <c r="H43" s="18">
        <v>0</v>
      </c>
      <c r="I43" s="57">
        <f>(I42*$I$1+C43)^$I$2</f>
        <v>0.69428534531381991</v>
      </c>
      <c r="J43" s="57">
        <f>(J42*$J$1+D43)^$J$2</f>
        <v>20</v>
      </c>
      <c r="K43" s="57">
        <f>(K42*$K$1+E43)^$K$2</f>
        <v>0</v>
      </c>
      <c r="M43" s="18" t="s">
        <v>86</v>
      </c>
      <c r="N43" s="18">
        <v>6.7548235320358563</v>
      </c>
      <c r="O43" s="18">
        <v>5.1946231175972981</v>
      </c>
      <c r="P43" s="18">
        <v>0.51643692800123786</v>
      </c>
      <c r="Q43" s="18">
        <v>52.418473069815725</v>
      </c>
      <c r="R43" s="18">
        <v>3.3262589140365639</v>
      </c>
      <c r="S43" s="18">
        <v>91.129781691087189</v>
      </c>
      <c r="T43" s="18">
        <v>125.96549661992545</v>
      </c>
      <c r="X43" s="21">
        <f>$N$42*K43</f>
        <v>0</v>
      </c>
      <c r="Y43" s="21">
        <f>$O$42*J43</f>
        <v>42.377450108858014</v>
      </c>
      <c r="Z43" s="21">
        <f>$P$42*I43</f>
        <v>2.5373158222699548</v>
      </c>
      <c r="AA43" s="21">
        <f>$Q$42*H43</f>
        <v>0</v>
      </c>
      <c r="AB43" s="21">
        <f>$R$42*G43</f>
        <v>1677.2223565406662</v>
      </c>
      <c r="AC43" s="21">
        <f>$S$42*F43</f>
        <v>136.58863980129362</v>
      </c>
      <c r="AD43" s="21">
        <f>$T$42</f>
        <v>1605.4931803061395</v>
      </c>
      <c r="AE43" s="21">
        <f>SUM(X43:AD43)</f>
        <v>3464.2189425792271</v>
      </c>
      <c r="AF43" s="21">
        <f>AE43-B43</f>
        <v>145.39894257922697</v>
      </c>
      <c r="AG43" s="50">
        <f>AF43/B43</f>
        <v>4.381043340079515E-2</v>
      </c>
      <c r="AH43" s="51">
        <f>AF43^2</f>
        <v>21140.852503157341</v>
      </c>
      <c r="AI43" s="50"/>
    </row>
    <row r="44" spans="1:35" ht="13">
      <c r="A44" s="18">
        <v>41</v>
      </c>
      <c r="B44" s="21">
        <v>3439.85</v>
      </c>
      <c r="C44" s="21">
        <v>0</v>
      </c>
      <c r="D44" s="21">
        <v>15</v>
      </c>
      <c r="E44" s="21">
        <v>0</v>
      </c>
      <c r="F44" s="20">
        <v>-0.2</v>
      </c>
      <c r="G44" s="16">
        <v>60.9</v>
      </c>
      <c r="H44" s="18">
        <v>0</v>
      </c>
      <c r="I44" s="57">
        <f>(I43*$I$1+C44)^$I$2</f>
        <v>0.20828560359414597</v>
      </c>
      <c r="J44" s="57">
        <f>(J43*$J$1+D44)^$J$2</f>
        <v>15</v>
      </c>
      <c r="K44" s="57">
        <f>(K43*$K$1+E44)^$K$2</f>
        <v>0</v>
      </c>
      <c r="M44" s="52" t="s">
        <v>14</v>
      </c>
      <c r="N44" s="53">
        <v>0.9760027249769283</v>
      </c>
      <c r="O44" s="18">
        <v>143.61718136805939</v>
      </c>
      <c r="P44" s="18" t="e">
        <v>#N/A</v>
      </c>
      <c r="Q44" s="18" t="e">
        <v>#N/A</v>
      </c>
      <c r="R44" s="18" t="e">
        <v>#N/A</v>
      </c>
      <c r="S44" s="18" t="e">
        <v>#N/A</v>
      </c>
      <c r="T44" s="18" t="e">
        <v>#N/A</v>
      </c>
      <c r="U44" s="18" t="s">
        <v>84</v>
      </c>
      <c r="X44" s="21">
        <f>$N$42*K44</f>
        <v>0</v>
      </c>
      <c r="Y44" s="21">
        <f>$O$42*J44</f>
        <v>31.783087581643507</v>
      </c>
      <c r="Z44" s="21">
        <f>$P$42*I44</f>
        <v>0.76119474668098652</v>
      </c>
      <c r="AA44" s="21">
        <f>$Q$42*H44</f>
        <v>0</v>
      </c>
      <c r="AB44" s="21">
        <f>$R$42*G44</f>
        <v>1559.4326948599476</v>
      </c>
      <c r="AC44" s="21">
        <f>$S$42*F44</f>
        <v>136.58863980129362</v>
      </c>
      <c r="AD44" s="21">
        <f>$T$42</f>
        <v>1605.4931803061395</v>
      </c>
      <c r="AE44" s="21">
        <f>SUM(X44:AD44)</f>
        <v>3334.0587972957051</v>
      </c>
      <c r="AF44" s="21">
        <f>AE44-B44</f>
        <v>-105.79120270429485</v>
      </c>
      <c r="AG44" s="50">
        <f>AF44/B44</f>
        <v>-3.0754597643587612E-2</v>
      </c>
      <c r="AH44" s="51">
        <f>AF44^2</f>
        <v>11191.778569621201</v>
      </c>
      <c r="AI44" s="50"/>
    </row>
    <row r="45" spans="1:35" ht="13">
      <c r="A45" s="18">
        <v>42</v>
      </c>
      <c r="B45" s="21">
        <v>3396.71</v>
      </c>
      <c r="C45" s="21">
        <v>0</v>
      </c>
      <c r="D45" s="21">
        <v>15</v>
      </c>
      <c r="E45" s="21">
        <v>0</v>
      </c>
      <c r="F45" s="20">
        <v>-0.2</v>
      </c>
      <c r="G45" s="16">
        <v>58.1</v>
      </c>
      <c r="H45" s="18">
        <v>0</v>
      </c>
      <c r="I45" s="57">
        <f>(I44*$I$1+C45)^$I$2</f>
        <v>6.2485681078243788E-2</v>
      </c>
      <c r="J45" s="57">
        <f>(J44*$J$1+D45)^$J$2</f>
        <v>15</v>
      </c>
      <c r="K45" s="57">
        <f>(K44*$K$1+E45)^$K$2</f>
        <v>0</v>
      </c>
      <c r="M45" s="18" t="s">
        <v>82</v>
      </c>
      <c r="N45" s="18">
        <v>305.03548549946839</v>
      </c>
      <c r="O45" s="18">
        <v>45</v>
      </c>
      <c r="P45" s="18" t="e">
        <v>#N/A</v>
      </c>
      <c r="Q45" s="18" t="e">
        <v>#N/A</v>
      </c>
      <c r="R45" s="18" t="e">
        <v>#N/A</v>
      </c>
      <c r="S45" s="18" t="e">
        <v>#N/A</v>
      </c>
      <c r="T45" s="18" t="e">
        <v>#N/A</v>
      </c>
      <c r="U45" s="18" t="s">
        <v>78</v>
      </c>
      <c r="X45" s="21">
        <f>$N$42*K45</f>
        <v>0</v>
      </c>
      <c r="Y45" s="21">
        <f>$O$42*J45</f>
        <v>31.783087581643507</v>
      </c>
      <c r="Z45" s="21">
        <f>$P$42*I45</f>
        <v>0.22835842400429593</v>
      </c>
      <c r="AA45" s="21">
        <f>$Q$42*H45</f>
        <v>0</v>
      </c>
      <c r="AB45" s="21">
        <f>$R$42*G45</f>
        <v>1487.7346399238581</v>
      </c>
      <c r="AC45" s="21">
        <f>$S$42*F45</f>
        <v>136.58863980129362</v>
      </c>
      <c r="AD45" s="21">
        <f>$T$42</f>
        <v>1605.4931803061395</v>
      </c>
      <c r="AE45" s="21">
        <f>SUM(X45:AD45)</f>
        <v>3261.8279060369387</v>
      </c>
      <c r="AF45" s="21">
        <f>AE45-B45</f>
        <v>-134.88209396306138</v>
      </c>
      <c r="AG45" s="50">
        <f>AF45/B45</f>
        <v>-3.9709629012503682E-2</v>
      </c>
      <c r="AH45" s="51">
        <f>AF45^2</f>
        <v>18193.179271860117</v>
      </c>
      <c r="AI45" s="50"/>
    </row>
    <row r="46" spans="1:35" ht="13">
      <c r="A46" s="18">
        <v>43</v>
      </c>
      <c r="B46" s="21">
        <v>3249.66</v>
      </c>
      <c r="C46" s="21">
        <v>0</v>
      </c>
      <c r="D46" s="21">
        <v>15</v>
      </c>
      <c r="E46" s="21">
        <v>0</v>
      </c>
      <c r="F46" s="20">
        <v>-0.2</v>
      </c>
      <c r="G46" s="16">
        <v>61.1</v>
      </c>
      <c r="H46" s="18">
        <v>0</v>
      </c>
      <c r="I46" s="57">
        <f>(I45*$I$1+C46)^$I$2</f>
        <v>1.8745704323473136E-2</v>
      </c>
      <c r="J46" s="57">
        <f>(J45*$J$1+D46)^$J$2</f>
        <v>15</v>
      </c>
      <c r="K46" s="57">
        <f>(K45*$K$1+E46)^$K$2</f>
        <v>0</v>
      </c>
      <c r="M46" s="18" t="s">
        <v>76</v>
      </c>
      <c r="N46" s="18">
        <v>37749778.975984469</v>
      </c>
      <c r="O46" s="18">
        <v>928165.26528477273</v>
      </c>
      <c r="P46" s="18" t="e">
        <v>#N/A</v>
      </c>
      <c r="Q46" s="18" t="e">
        <v>#N/A</v>
      </c>
      <c r="R46" s="18" t="e">
        <v>#N/A</v>
      </c>
      <c r="S46" s="18" t="e">
        <v>#N/A</v>
      </c>
      <c r="T46" s="18" t="e">
        <v>#N/A</v>
      </c>
      <c r="U46" s="18" t="s">
        <v>74</v>
      </c>
      <c r="X46" s="21">
        <f>$N$42*K46</f>
        <v>0</v>
      </c>
      <c r="Y46" s="21">
        <f>$O$42*J46</f>
        <v>31.783087581643507</v>
      </c>
      <c r="Z46" s="21">
        <f>$P$42*I46</f>
        <v>6.8507527201288776E-2</v>
      </c>
      <c r="AA46" s="21">
        <f>$Q$42*H46</f>
        <v>0</v>
      </c>
      <c r="AB46" s="21">
        <f>$R$42*G46</f>
        <v>1564.5539844982397</v>
      </c>
      <c r="AC46" s="21">
        <f>$S$42*F46</f>
        <v>136.58863980129362</v>
      </c>
      <c r="AD46" s="21">
        <f>$T$42</f>
        <v>1605.4931803061395</v>
      </c>
      <c r="AE46" s="21">
        <f>SUM(X46:AD46)</f>
        <v>3338.4873997145178</v>
      </c>
      <c r="AF46" s="21">
        <f>AE46-B46</f>
        <v>88.827399714517924</v>
      </c>
      <c r="AG46" s="50">
        <f>AF46/B46</f>
        <v>2.7334367199804879E-2</v>
      </c>
      <c r="AH46" s="51">
        <f>AF46^2</f>
        <v>7890.3069400427385</v>
      </c>
      <c r="AI46" s="50"/>
    </row>
    <row r="47" spans="1:35" ht="13">
      <c r="A47" s="18">
        <v>44</v>
      </c>
      <c r="B47" s="21">
        <v>2931.35</v>
      </c>
      <c r="C47" s="21">
        <v>0</v>
      </c>
      <c r="D47" s="21">
        <v>15</v>
      </c>
      <c r="E47" s="21">
        <v>0</v>
      </c>
      <c r="F47" s="20">
        <v>-0.2</v>
      </c>
      <c r="G47" s="16">
        <v>50.2</v>
      </c>
      <c r="H47" s="18">
        <v>0</v>
      </c>
      <c r="I47" s="57">
        <f>(I46*$I$1+C47)^$I$2</f>
        <v>5.6237112970419405E-3</v>
      </c>
      <c r="J47" s="57">
        <f>(J46*$J$1+D47)^$J$2</f>
        <v>15</v>
      </c>
      <c r="K47" s="57">
        <f>(K46*$K$1+E47)^$K$2</f>
        <v>0</v>
      </c>
      <c r="M47" s="18"/>
      <c r="X47" s="21">
        <f>$N$42*K47</f>
        <v>0</v>
      </c>
      <c r="Y47" s="21">
        <f>$O$42*J47</f>
        <v>31.783087581643507</v>
      </c>
      <c r="Z47" s="21">
        <f>$P$42*I47</f>
        <v>2.0552258160386631E-2</v>
      </c>
      <c r="AA47" s="21">
        <f>$Q$42*H47</f>
        <v>0</v>
      </c>
      <c r="AB47" s="21">
        <f>$R$42*G47</f>
        <v>1285.4436992113197</v>
      </c>
      <c r="AC47" s="21">
        <f>$S$42*F47</f>
        <v>136.58863980129362</v>
      </c>
      <c r="AD47" s="21">
        <f>$T$42</f>
        <v>1605.4931803061395</v>
      </c>
      <c r="AE47" s="21">
        <f>SUM(X47:AD47)</f>
        <v>3059.3291591585566</v>
      </c>
      <c r="AF47" s="21">
        <f>AE47-B47</f>
        <v>127.97915915855674</v>
      </c>
      <c r="AG47" s="50">
        <f>AF47/B47</f>
        <v>4.3658778091513036E-2</v>
      </c>
      <c r="AH47" s="51">
        <f>AF47^2</f>
        <v>16378.665178931198</v>
      </c>
      <c r="AI47" s="50"/>
    </row>
    <row r="48" spans="1:35" ht="13">
      <c r="A48" s="18">
        <v>45</v>
      </c>
      <c r="B48" s="21">
        <v>3933.05</v>
      </c>
      <c r="C48" s="21">
        <v>0</v>
      </c>
      <c r="D48" s="21">
        <v>10</v>
      </c>
      <c r="E48" s="21">
        <v>0</v>
      </c>
      <c r="F48" s="20">
        <v>-0.2</v>
      </c>
      <c r="G48" s="16">
        <v>50.4</v>
      </c>
      <c r="H48" s="18">
        <v>1</v>
      </c>
      <c r="I48" s="57">
        <f>(I47*$I$1+C48)^$I$2</f>
        <v>1.6871133891125821E-3</v>
      </c>
      <c r="J48" s="57">
        <f>(J47*$J$1+D48)^$J$2</f>
        <v>10</v>
      </c>
      <c r="K48" s="57">
        <f>(K47*$K$1+E48)^$K$2</f>
        <v>0</v>
      </c>
      <c r="M48" s="18" t="s">
        <v>100</v>
      </c>
      <c r="N48" s="58">
        <f>N42/N43</f>
        <v>2.903078659098747</v>
      </c>
      <c r="O48" s="58">
        <f>O42/O43</f>
        <v>0.40789725404043481</v>
      </c>
      <c r="P48" s="58">
        <f>P42/P43</f>
        <v>7.0765118805781109</v>
      </c>
      <c r="Q48" s="58">
        <f>Q42/Q43</f>
        <v>15.699957965615651</v>
      </c>
      <c r="R48" s="58">
        <f>R42/R43</f>
        <v>7.698272700120623</v>
      </c>
      <c r="S48" s="58">
        <f>S42/S43</f>
        <v>-7.4941823225421187</v>
      </c>
      <c r="T48" s="58">
        <f>T42/T43</f>
        <v>12.74549954858178</v>
      </c>
      <c r="X48" s="21">
        <f>$N$42*K48</f>
        <v>0</v>
      </c>
      <c r="Y48" s="21">
        <f>$O$42*J48</f>
        <v>21.188725054429007</v>
      </c>
      <c r="Z48" s="21">
        <f>$P$42*I48</f>
        <v>6.1656774481159892E-3</v>
      </c>
      <c r="AA48" s="21">
        <f>$Q$42*H48</f>
        <v>822.96782381786284</v>
      </c>
      <c r="AB48" s="21">
        <f>$R$42*G48</f>
        <v>1290.5649888496118</v>
      </c>
      <c r="AC48" s="21">
        <f>$S$42*F48</f>
        <v>136.58863980129362</v>
      </c>
      <c r="AD48" s="21">
        <f>$T$42</f>
        <v>1605.4931803061395</v>
      </c>
      <c r="AE48" s="21">
        <f>SUM(X48:AD48)</f>
        <v>3876.8095235067849</v>
      </c>
      <c r="AF48" s="21">
        <f>AE48-B48</f>
        <v>-56.240476493215283</v>
      </c>
      <c r="AG48" s="50">
        <f>AF48/B48</f>
        <v>-1.4299456272667594E-2</v>
      </c>
      <c r="AH48" s="51">
        <f>AF48^2</f>
        <v>3162.9911961839007</v>
      </c>
      <c r="AI48" s="50"/>
    </row>
    <row r="49" spans="1:35" ht="13">
      <c r="A49" s="18">
        <v>46</v>
      </c>
      <c r="B49" s="21">
        <v>3506.81</v>
      </c>
      <c r="C49" s="21">
        <v>0</v>
      </c>
      <c r="D49" s="21">
        <v>10</v>
      </c>
      <c r="E49" s="21">
        <v>0</v>
      </c>
      <c r="F49" s="20">
        <v>-0.2</v>
      </c>
      <c r="G49" s="16">
        <v>55</v>
      </c>
      <c r="H49" s="18">
        <v>0</v>
      </c>
      <c r="I49" s="57">
        <f>(I48*$I$1+C49)^$I$2</f>
        <v>5.0613401673377462E-4</v>
      </c>
      <c r="J49" s="57">
        <f>(J48*$J$1+D49)^$J$2</f>
        <v>10</v>
      </c>
      <c r="K49" s="57">
        <f>(K48*$K$1+E49)^$K$2</f>
        <v>0</v>
      </c>
      <c r="M49" s="52" t="s">
        <v>99</v>
      </c>
      <c r="N49" s="65">
        <f>TDIST(ABS(N48),$O$45,2)</f>
        <v>5.7055583408100472E-3</v>
      </c>
      <c r="O49" s="65">
        <f>TDIST(ABS(O48),$O$45,2)</f>
        <v>0.68528336940406043</v>
      </c>
      <c r="P49" s="65">
        <f>TDIST(ABS(P48),$O$45,2)</f>
        <v>7.8481275450143131E-9</v>
      </c>
      <c r="Q49" s="65">
        <f>TDIST(ABS(Q48),$O$45,2)</f>
        <v>7.0950494764136115E-20</v>
      </c>
      <c r="R49" s="65">
        <f>TDIST(ABS(R48),$O$45,2)</f>
        <v>9.5091819015463941E-10</v>
      </c>
      <c r="S49" s="65">
        <f>TDIST(ABS(S48),$O$45,2)</f>
        <v>1.8962627004375689E-9</v>
      </c>
      <c r="T49" s="65">
        <f>TDIST(ABS(T48),$O$45,2)</f>
        <v>1.5499896218965181E-16</v>
      </c>
      <c r="X49" s="21">
        <f>$N$42*K49</f>
        <v>0</v>
      </c>
      <c r="Y49" s="21">
        <f>$O$42*J49</f>
        <v>21.188725054429007</v>
      </c>
      <c r="Z49" s="21">
        <f>$P$42*I49</f>
        <v>1.8497032344347967E-3</v>
      </c>
      <c r="AA49" s="21">
        <f>$Q$42*H49</f>
        <v>0</v>
      </c>
      <c r="AB49" s="21">
        <f>$R$42*G49</f>
        <v>1408.3546505303302</v>
      </c>
      <c r="AC49" s="21">
        <f>$S$42*F49</f>
        <v>136.58863980129362</v>
      </c>
      <c r="AD49" s="21">
        <f>$T$42</f>
        <v>1605.4931803061395</v>
      </c>
      <c r="AE49" s="21">
        <f>SUM(X49:AD49)</f>
        <v>3171.6270453954266</v>
      </c>
      <c r="AF49" s="21">
        <f>AE49-B49</f>
        <v>-335.1829546045733</v>
      </c>
      <c r="AG49" s="50">
        <f>AF49/B49</f>
        <v>-9.5580585946935623E-2</v>
      </c>
      <c r="AH49" s="51">
        <f>AF49^2</f>
        <v>112347.61305745144</v>
      </c>
      <c r="AI49" s="50"/>
    </row>
    <row r="50" spans="1:35" ht="13">
      <c r="A50" s="18">
        <v>47</v>
      </c>
      <c r="B50" s="21">
        <v>2818.97</v>
      </c>
      <c r="C50" s="21">
        <v>0</v>
      </c>
      <c r="D50" s="21">
        <v>10</v>
      </c>
      <c r="E50" s="21">
        <v>0</v>
      </c>
      <c r="F50" s="20">
        <v>-0.2</v>
      </c>
      <c r="G50" s="16">
        <v>44.4</v>
      </c>
      <c r="H50" s="18">
        <v>0</v>
      </c>
      <c r="I50" s="57">
        <f>(I49*$I$1+C50)^$I$2</f>
        <v>1.5184020502013239E-4</v>
      </c>
      <c r="J50" s="57">
        <f>(J49*$J$1+D50)^$J$2</f>
        <v>10</v>
      </c>
      <c r="K50" s="57">
        <f>(K49*$K$1+E50)^$K$2</f>
        <v>0</v>
      </c>
      <c r="M50" s="18" t="s">
        <v>98</v>
      </c>
      <c r="N50" s="19" t="b">
        <f>N49&lt;=0.05</f>
        <v>1</v>
      </c>
      <c r="O50" s="19" t="b">
        <f>O49&lt;=0.05</f>
        <v>0</v>
      </c>
      <c r="P50" s="19" t="b">
        <f>P49&lt;=0.05</f>
        <v>1</v>
      </c>
      <c r="Q50" s="19" t="b">
        <f>Q49&lt;=0.05</f>
        <v>1</v>
      </c>
      <c r="R50" s="19" t="b">
        <f>R49&lt;=0.05</f>
        <v>1</v>
      </c>
      <c r="S50" s="19" t="b">
        <f>S49&lt;=0.05</f>
        <v>1</v>
      </c>
      <c r="T50" s="19" t="b">
        <f>T49&lt;=0.05</f>
        <v>1</v>
      </c>
      <c r="X50" s="21">
        <f>$N$42*K50</f>
        <v>0</v>
      </c>
      <c r="Y50" s="21">
        <f>$O$42*J50</f>
        <v>21.188725054429007</v>
      </c>
      <c r="Z50" s="21">
        <f>$P$42*I50</f>
        <v>5.5491097033043908E-4</v>
      </c>
      <c r="AA50" s="21">
        <f>$Q$42*H50</f>
        <v>0</v>
      </c>
      <c r="AB50" s="21">
        <f>$R$42*G50</f>
        <v>1136.9262997008484</v>
      </c>
      <c r="AC50" s="21">
        <f>$S$42*F50</f>
        <v>136.58863980129362</v>
      </c>
      <c r="AD50" s="21">
        <f>$T$42</f>
        <v>1605.4931803061395</v>
      </c>
      <c r="AE50" s="21">
        <f>SUM(X50:AD50)</f>
        <v>2900.1973997736804</v>
      </c>
      <c r="AF50" s="21">
        <f>AE50-B50</f>
        <v>81.227399773680645</v>
      </c>
      <c r="AG50" s="50">
        <f>AF50/B50</f>
        <v>2.8814566942422463E-2</v>
      </c>
      <c r="AH50" s="51">
        <f>AF50^2</f>
        <v>6597.8904739933341</v>
      </c>
      <c r="AI50" s="50"/>
    </row>
    <row r="51" spans="1:35" ht="13">
      <c r="A51" s="18">
        <v>48</v>
      </c>
      <c r="B51" s="21">
        <v>3856.38</v>
      </c>
      <c r="C51" s="21">
        <v>0</v>
      </c>
      <c r="D51" s="21">
        <v>10</v>
      </c>
      <c r="E51" s="21">
        <v>0</v>
      </c>
      <c r="F51" s="20">
        <v>-0.2</v>
      </c>
      <c r="G51" s="16">
        <v>48.5</v>
      </c>
      <c r="H51" s="18">
        <v>1</v>
      </c>
      <c r="I51" s="57">
        <f>(I50*$I$1+C51)^$I$2</f>
        <v>4.5552061506039716E-5</v>
      </c>
      <c r="J51" s="57">
        <f>(J50*$J$1+D51)^$J$2</f>
        <v>10</v>
      </c>
      <c r="K51" s="57">
        <f>(K50*$K$1+E51)^$K$2</f>
        <v>0</v>
      </c>
      <c r="M51" s="18"/>
      <c r="X51" s="21">
        <f>$N$42*K51</f>
        <v>0</v>
      </c>
      <c r="Y51" s="21">
        <f>$O$42*J51</f>
        <v>21.188725054429007</v>
      </c>
      <c r="Z51" s="21">
        <f>$P$42*I51</f>
        <v>1.6647329109913171E-4</v>
      </c>
      <c r="AA51" s="21">
        <f>$Q$42*H51</f>
        <v>822.96782381786284</v>
      </c>
      <c r="AB51" s="21">
        <f>$R$42*G51</f>
        <v>1241.9127372858368</v>
      </c>
      <c r="AC51" s="21">
        <f>$S$42*F51</f>
        <v>136.58863980129362</v>
      </c>
      <c r="AD51" s="21">
        <f>$T$42</f>
        <v>1605.4931803061395</v>
      </c>
      <c r="AE51" s="21">
        <f>SUM(X51:AD51)</f>
        <v>3828.1512727388526</v>
      </c>
      <c r="AF51" s="21">
        <f>AE51-B51</f>
        <v>-28.228727261147469</v>
      </c>
      <c r="AG51" s="50">
        <f>AF51/B51</f>
        <v>-7.3200066542061385E-3</v>
      </c>
      <c r="AH51" s="51">
        <f>AF51^2</f>
        <v>796.86104278425034</v>
      </c>
      <c r="AI51" s="50"/>
    </row>
    <row r="52" spans="1:35" ht="13">
      <c r="A52" s="18">
        <v>49</v>
      </c>
      <c r="B52" s="21">
        <v>3060.15</v>
      </c>
      <c r="C52" s="21">
        <v>0</v>
      </c>
      <c r="D52" s="21">
        <v>0</v>
      </c>
      <c r="E52" s="21">
        <v>0</v>
      </c>
      <c r="F52" s="20">
        <v>-0.2</v>
      </c>
      <c r="G52" s="16">
        <v>44.5</v>
      </c>
      <c r="H52" s="18">
        <v>0</v>
      </c>
      <c r="I52" s="57">
        <f>(I51*$I$1+C52)^$I$2</f>
        <v>1.3665618451811915E-5</v>
      </c>
      <c r="J52" s="57">
        <f>(J51*$J$1+D52)^$J$2</f>
        <v>0</v>
      </c>
      <c r="K52" s="57">
        <f>(K51*$K$1+E52)^$K$2</f>
        <v>0</v>
      </c>
      <c r="M52" s="18" t="s">
        <v>97</v>
      </c>
      <c r="N52" s="18">
        <f>N43*TINV(0.05,$O$45)</f>
        <v>13.604912967165502</v>
      </c>
      <c r="O52" s="18">
        <f>O43*TINV(0.05,$O$45)</f>
        <v>10.462508025111502</v>
      </c>
      <c r="P52" s="18">
        <f>P43*TINV(0.05,$O$45)</f>
        <v>1.0401573668305064</v>
      </c>
      <c r="Q52" s="18">
        <f>Q43*TINV(0.05,$O$45)</f>
        <v>105.5762242498752</v>
      </c>
      <c r="R52" s="18">
        <f>R43*TINV(0.05,$O$45)</f>
        <v>6.6994293510561649</v>
      </c>
      <c r="S52" s="18">
        <f>S43*TINV(0.05,$O$45)</f>
        <v>183.54480213199037</v>
      </c>
      <c r="T52" s="18">
        <f>T43*TINV(0.05,$O$45)</f>
        <v>253.70753362425054</v>
      </c>
      <c r="X52" s="21">
        <f>$N$42*K52</f>
        <v>0</v>
      </c>
      <c r="Y52" s="21">
        <f>$O$42*J52</f>
        <v>0</v>
      </c>
      <c r="Z52" s="21">
        <f>$P$42*I52</f>
        <v>4.9941987329739513E-5</v>
      </c>
      <c r="AA52" s="21">
        <f>$Q$42*H52</f>
        <v>0</v>
      </c>
      <c r="AB52" s="21">
        <f>$R$42*G52</f>
        <v>1139.4869445199945</v>
      </c>
      <c r="AC52" s="21">
        <f>$S$42*F52</f>
        <v>136.58863980129362</v>
      </c>
      <c r="AD52" s="21">
        <f>$T$42</f>
        <v>1605.4931803061395</v>
      </c>
      <c r="AE52" s="21">
        <f>SUM(X52:AD52)</f>
        <v>2881.5688145694148</v>
      </c>
      <c r="AF52" s="21">
        <f>AE52-B52</f>
        <v>-178.58118543058526</v>
      </c>
      <c r="AG52" s="50">
        <f>AF52/B52</f>
        <v>-5.8357003882353889E-2</v>
      </c>
      <c r="AH52" s="51">
        <f>AF52^2</f>
        <v>31891.239789793079</v>
      </c>
      <c r="AI52" s="50"/>
    </row>
    <row r="53" spans="1:35" ht="13">
      <c r="A53" s="18">
        <v>50</v>
      </c>
      <c r="B53" s="21">
        <v>2761.15</v>
      </c>
      <c r="C53" s="21">
        <v>0</v>
      </c>
      <c r="D53" s="21">
        <v>0</v>
      </c>
      <c r="E53" s="21">
        <v>0</v>
      </c>
      <c r="F53" s="20">
        <v>-0.2</v>
      </c>
      <c r="G53" s="16">
        <v>37.6</v>
      </c>
      <c r="H53" s="18">
        <v>0</v>
      </c>
      <c r="I53" s="57">
        <f>(I52*$I$1+C53)^$I$2</f>
        <v>4.0996855355435745E-6</v>
      </c>
      <c r="J53" s="57">
        <f>(J52*$J$1+D53)^$J$2</f>
        <v>0</v>
      </c>
      <c r="K53" s="57">
        <f>(K52*$K$1+E53)^$K$2</f>
        <v>0</v>
      </c>
      <c r="M53" s="52" t="s">
        <v>96</v>
      </c>
      <c r="N53" s="58">
        <f>N42-N52</f>
        <v>6.0048710746658127</v>
      </c>
      <c r="O53" s="58">
        <f>O42-O52</f>
        <v>-8.3436355196686023</v>
      </c>
      <c r="P53" s="58">
        <f>P42-P52</f>
        <v>2.6144146897395162</v>
      </c>
      <c r="Q53" s="58">
        <f>Q42-Q52</f>
        <v>717.39159956798767</v>
      </c>
      <c r="R53" s="58">
        <f>R42-R52</f>
        <v>18.907018840404387</v>
      </c>
      <c r="S53" s="58">
        <f>S42-S52</f>
        <v>-866.48800113845846</v>
      </c>
      <c r="T53" s="58">
        <f>T42-T52</f>
        <v>1351.7856466818889</v>
      </c>
      <c r="X53" s="21">
        <f>$N$42*K53</f>
        <v>0</v>
      </c>
      <c r="Y53" s="21">
        <f>$O$42*J53</f>
        <v>0</v>
      </c>
      <c r="Z53" s="21">
        <f>$P$42*I53</f>
        <v>1.4982596198921854E-5</v>
      </c>
      <c r="AA53" s="21">
        <f>$Q$42*H53</f>
        <v>0</v>
      </c>
      <c r="AB53" s="21">
        <f>$R$42*G53</f>
        <v>962.80245199891669</v>
      </c>
      <c r="AC53" s="21">
        <f>$S$42*F53</f>
        <v>136.58863980129362</v>
      </c>
      <c r="AD53" s="21">
        <f>$T$42</f>
        <v>1605.4931803061395</v>
      </c>
      <c r="AE53" s="21">
        <f>SUM(X53:AD53)</f>
        <v>2704.8842870889457</v>
      </c>
      <c r="AF53" s="21">
        <f>AE53-B53</f>
        <v>-56.265712911054379</v>
      </c>
      <c r="AG53" s="50">
        <f>AF53/B53</f>
        <v>-2.037763718416398E-2</v>
      </c>
      <c r="AH53" s="51">
        <f>AF53^2</f>
        <v>3165.8304493891915</v>
      </c>
      <c r="AI53" s="50"/>
    </row>
    <row r="54" spans="1:35" ht="13">
      <c r="A54" s="18">
        <v>51</v>
      </c>
      <c r="B54" s="21">
        <v>2323.12</v>
      </c>
      <c r="C54" s="21">
        <v>0</v>
      </c>
      <c r="D54" s="21">
        <v>0</v>
      </c>
      <c r="E54" s="21">
        <v>0</v>
      </c>
      <c r="F54" s="20">
        <v>-0.2</v>
      </c>
      <c r="G54" s="16">
        <v>32.799999999999997</v>
      </c>
      <c r="H54" s="18">
        <v>0</v>
      </c>
      <c r="I54" s="57">
        <f>(I53*$I$1+C54)^$I$2</f>
        <v>1.2299056606630723E-6</v>
      </c>
      <c r="J54" s="57">
        <f>(J53*$J$1+D54)^$J$2</f>
        <v>0</v>
      </c>
      <c r="K54" s="57">
        <f>(K53*$K$1+E54)^$K$2</f>
        <v>0</v>
      </c>
      <c r="M54" s="52" t="s">
        <v>95</v>
      </c>
      <c r="N54" s="58">
        <f>N42+N53</f>
        <v>25.614655116497126</v>
      </c>
      <c r="O54" s="58">
        <f>O42+O53</f>
        <v>-6.2247630142257018</v>
      </c>
      <c r="P54" s="58">
        <f>P42+P53</f>
        <v>6.2689867463095386</v>
      </c>
      <c r="Q54" s="58">
        <f>Q42+Q53</f>
        <v>1540.3594233858505</v>
      </c>
      <c r="R54" s="58">
        <f>R42+R53</f>
        <v>44.513467031864934</v>
      </c>
      <c r="S54" s="58">
        <f>S42+S53</f>
        <v>-1549.4312001449266</v>
      </c>
      <c r="T54" s="58">
        <f>T42+T53</f>
        <v>2957.2788269880284</v>
      </c>
      <c r="X54" s="21">
        <f>$N$42*K54</f>
        <v>0</v>
      </c>
      <c r="Y54" s="21">
        <f>$O$42*J54</f>
        <v>0</v>
      </c>
      <c r="Z54" s="21">
        <f>$P$42*I54</f>
        <v>4.4947788596765559E-6</v>
      </c>
      <c r="AA54" s="21">
        <f>$Q$42*H54</f>
        <v>0</v>
      </c>
      <c r="AB54" s="21">
        <f>$R$42*G54</f>
        <v>839.89150067990602</v>
      </c>
      <c r="AC54" s="21">
        <f>$S$42*F54</f>
        <v>136.58863980129362</v>
      </c>
      <c r="AD54" s="21">
        <f>$T$42</f>
        <v>1605.4931803061395</v>
      </c>
      <c r="AE54" s="21">
        <f>SUM(X54:AD54)</f>
        <v>2581.9733252821179</v>
      </c>
      <c r="AF54" s="21">
        <f>AE54-B54</f>
        <v>258.85332528211802</v>
      </c>
      <c r="AG54" s="50">
        <f>AF54/B54</f>
        <v>0.11142486194519355</v>
      </c>
      <c r="AH54" s="51">
        <f>AF54^2</f>
        <v>67005.044009610006</v>
      </c>
      <c r="AI54" s="50"/>
    </row>
    <row r="55" spans="1:35" ht="13">
      <c r="A55" s="18">
        <v>52</v>
      </c>
      <c r="B55" s="21">
        <v>3577.04</v>
      </c>
      <c r="C55" s="21">
        <v>0</v>
      </c>
      <c r="D55" s="21">
        <v>0</v>
      </c>
      <c r="E55" s="21">
        <v>0</v>
      </c>
      <c r="F55" s="20">
        <v>-0.2</v>
      </c>
      <c r="G55" s="16">
        <v>35.9</v>
      </c>
      <c r="H55" s="18">
        <v>1</v>
      </c>
      <c r="I55" s="57">
        <f>(I54*$I$1+C55)^$I$2</f>
        <v>3.6897169819892168E-7</v>
      </c>
      <c r="J55" s="57">
        <f>(J54*$J$1+D55)^$J$2</f>
        <v>0</v>
      </c>
      <c r="K55" s="57">
        <f>(K54*$K$1+E55)^$K$2</f>
        <v>0</v>
      </c>
      <c r="M55" s="18"/>
      <c r="X55" s="21">
        <f>$N$42*K55</f>
        <v>0</v>
      </c>
      <c r="Y55" s="21">
        <f>$O$42*J55</f>
        <v>0</v>
      </c>
      <c r="Z55" s="21">
        <f>$P$42*I55</f>
        <v>1.3484336579029669E-6</v>
      </c>
      <c r="AA55" s="21">
        <f>$Q$42*H55</f>
        <v>822.96782381786284</v>
      </c>
      <c r="AB55" s="21">
        <f>$R$42*G55</f>
        <v>919.27149007343371</v>
      </c>
      <c r="AC55" s="21">
        <f>$S$42*F55</f>
        <v>136.58863980129362</v>
      </c>
      <c r="AD55" s="21">
        <f>$T$42</f>
        <v>1605.4931803061395</v>
      </c>
      <c r="AE55" s="21">
        <f>SUM(X55:AD55)</f>
        <v>3484.3211353471634</v>
      </c>
      <c r="AF55" s="21">
        <f>AE55-B55</f>
        <v>-92.718864652836601</v>
      </c>
      <c r="AG55" s="50">
        <f>AF55/B55</f>
        <v>-2.5920555725638127E-2</v>
      </c>
      <c r="AH55" s="51">
        <f>AF55^2</f>
        <v>8596.7878625110316</v>
      </c>
      <c r="AI55" s="50"/>
    </row>
    <row r="56" spans="1:35" ht="13">
      <c r="M56" s="52" t="s">
        <v>80</v>
      </c>
      <c r="N56" s="56">
        <f>FDIST(N45,1,O45)</f>
        <v>1.138174553648783E-21</v>
      </c>
    </row>
    <row r="57" spans="1:35" ht="13">
      <c r="A57" s="64" t="s">
        <v>94</v>
      </c>
      <c r="B57" s="64" t="s">
        <v>93</v>
      </c>
      <c r="M57" s="18" t="s">
        <v>92</v>
      </c>
      <c r="N57" s="19" t="b">
        <f>N56&lt;=0.05</f>
        <v>1</v>
      </c>
      <c r="X57" s="18"/>
    </row>
    <row r="58" spans="1:35" ht="13">
      <c r="A58" s="45">
        <v>1</v>
      </c>
      <c r="B58" s="21">
        <f>SUM(X58:AD58)</f>
        <v>3816.7597939015041</v>
      </c>
      <c r="C58" s="63">
        <f>C4</f>
        <v>0</v>
      </c>
      <c r="D58" s="63">
        <v>0</v>
      </c>
      <c r="E58" s="63">
        <v>200</v>
      </c>
      <c r="F58" s="63">
        <f>F4</f>
        <v>0</v>
      </c>
      <c r="G58" s="62">
        <f>G4*0.9</f>
        <v>35.82</v>
      </c>
      <c r="H58" s="62">
        <f>H4</f>
        <v>1</v>
      </c>
      <c r="I58" s="57">
        <f>(I55*$I$1+C58)^$I$2</f>
        <v>1.106915094596765E-7</v>
      </c>
      <c r="J58" s="57">
        <f>(J55*$J$1+D58)^$J$2</f>
        <v>0</v>
      </c>
      <c r="K58" s="57">
        <f>(K55*$K$1+E58)^$K$2</f>
        <v>24.022488679628616</v>
      </c>
      <c r="X58" s="21">
        <f>$N$42*K58</f>
        <v>471.07581515485464</v>
      </c>
      <c r="Y58" s="21">
        <f>$O$42*J58</f>
        <v>0</v>
      </c>
      <c r="Z58" s="21">
        <f>$P$42*I58</f>
        <v>4.0453009737089002E-7</v>
      </c>
      <c r="AA58" s="21">
        <f>$Q$42*H58</f>
        <v>822.96782381786284</v>
      </c>
      <c r="AB58" s="21">
        <f>$R$42*G58</f>
        <v>917.22297421811697</v>
      </c>
      <c r="AC58" s="21">
        <f>$S$42*F58</f>
        <v>0</v>
      </c>
      <c r="AD58" s="21">
        <f>$T$42</f>
        <v>1605.4931803061395</v>
      </c>
    </row>
    <row r="59" spans="1:35" ht="13">
      <c r="A59" s="45">
        <v>2</v>
      </c>
      <c r="B59" s="21">
        <f>SUM(X59:AD59)</f>
        <v>2936.1774613696839</v>
      </c>
      <c r="C59" s="63">
        <f>C5</f>
        <v>0</v>
      </c>
      <c r="D59" s="63">
        <v>0</v>
      </c>
      <c r="E59" s="63">
        <v>200</v>
      </c>
      <c r="F59" s="63">
        <f>F5</f>
        <v>0</v>
      </c>
      <c r="G59" s="62">
        <f>G5*0.9</f>
        <v>33.57</v>
      </c>
      <c r="H59" s="62">
        <f>H5</f>
        <v>0</v>
      </c>
      <c r="I59" s="57">
        <f>(I58*$I$1+C59)^$I$2</f>
        <v>3.320745283790295E-8</v>
      </c>
      <c r="J59" s="57">
        <f>(J58*$J$1+D59)^$J$2</f>
        <v>0</v>
      </c>
      <c r="K59" s="57">
        <f>(K58*$K$1+E59)^$K$2</f>
        <v>24.022488679628616</v>
      </c>
      <c r="M59" s="18" t="s">
        <v>62</v>
      </c>
      <c r="N59" s="21">
        <f>AVERAGE(B4:B55)</f>
        <v>3444.4642307692297</v>
      </c>
      <c r="X59" s="21">
        <f>$N$42*K59</f>
        <v>471.07581515485464</v>
      </c>
      <c r="Y59" s="21">
        <f>$O$42*J59</f>
        <v>0</v>
      </c>
      <c r="Z59" s="21">
        <f>$P$42*I59</f>
        <v>1.21359029211267E-7</v>
      </c>
      <c r="AA59" s="21">
        <f>$Q$42*H59</f>
        <v>0</v>
      </c>
      <c r="AB59" s="21">
        <f>$R$42*G59</f>
        <v>859.60846578733072</v>
      </c>
      <c r="AC59" s="21">
        <f>$S$42*F59</f>
        <v>0</v>
      </c>
      <c r="AD59" s="21">
        <f>$T$42</f>
        <v>1605.4931803061395</v>
      </c>
    </row>
    <row r="60" spans="1:35" ht="13">
      <c r="A60" s="45">
        <v>3</v>
      </c>
      <c r="B60" s="21">
        <f>SUM(X60:AD60)</f>
        <v>2966.1370056687415</v>
      </c>
      <c r="C60" s="63">
        <f>C6</f>
        <v>0</v>
      </c>
      <c r="D60" s="63">
        <v>0</v>
      </c>
      <c r="E60" s="63">
        <v>200</v>
      </c>
      <c r="F60" s="63">
        <f>F6</f>
        <v>0</v>
      </c>
      <c r="G60" s="62">
        <f>G6*0.9</f>
        <v>34.74</v>
      </c>
      <c r="H60" s="62">
        <f>H6</f>
        <v>0</v>
      </c>
      <c r="I60" s="57">
        <f>(I59*$I$1+C60)^$I$2</f>
        <v>9.9622358513708848E-9</v>
      </c>
      <c r="J60" s="57">
        <f>(J59*$J$1+D60)^$J$2</f>
        <v>0</v>
      </c>
      <c r="K60" s="57">
        <f>(K59*$K$1+E60)^$K$2</f>
        <v>24.022488679628616</v>
      </c>
      <c r="M60" s="18" t="s">
        <v>60</v>
      </c>
      <c r="N60" s="51">
        <f>AVERAGE(AH4:AH55)</f>
        <v>17849.332024707175</v>
      </c>
      <c r="X60" s="21">
        <f>$N$42*K60</f>
        <v>471.07581515485464</v>
      </c>
      <c r="Y60" s="21">
        <f>$O$42*J60</f>
        <v>0</v>
      </c>
      <c r="Z60" s="21">
        <f>$P$42*I60</f>
        <v>3.6407708763380103E-8</v>
      </c>
      <c r="AA60" s="21">
        <f>$Q$42*H60</f>
        <v>0</v>
      </c>
      <c r="AB60" s="21">
        <f>$R$42*G60</f>
        <v>889.56801017133955</v>
      </c>
      <c r="AC60" s="21">
        <f>$S$42*F60</f>
        <v>0</v>
      </c>
      <c r="AD60" s="21">
        <f>$T$42</f>
        <v>1605.4931803061395</v>
      </c>
    </row>
    <row r="61" spans="1:35" ht="13">
      <c r="A61" s="45">
        <v>4</v>
      </c>
      <c r="B61" s="21">
        <f>SUM(X61:AD61)</f>
        <v>2820.9484443976744</v>
      </c>
      <c r="C61" s="63">
        <f>C7</f>
        <v>0</v>
      </c>
      <c r="D61" s="63">
        <v>0</v>
      </c>
      <c r="E61" s="63">
        <v>200</v>
      </c>
      <c r="F61" s="63">
        <f>F7</f>
        <v>0</v>
      </c>
      <c r="G61" s="62">
        <f>G7*0.9</f>
        <v>29.069999999999997</v>
      </c>
      <c r="H61" s="62">
        <f>H7</f>
        <v>0</v>
      </c>
      <c r="I61" s="57">
        <f>(I60*$I$1+C61)^$I$2</f>
        <v>2.9886707554112654E-9</v>
      </c>
      <c r="J61" s="57">
        <f>(J60*$J$1+D61)^$J$2</f>
        <v>0</v>
      </c>
      <c r="K61" s="57">
        <f>(K60*$K$1+E61)^$K$2</f>
        <v>24.022488679628616</v>
      </c>
      <c r="M61" s="18" t="s">
        <v>58</v>
      </c>
      <c r="N61" s="19">
        <f>N60^0.5</f>
        <v>133.60139230078096</v>
      </c>
      <c r="X61" s="21">
        <f>$N$42*K61</f>
        <v>471.07581515485464</v>
      </c>
      <c r="Y61" s="21">
        <f>$O$42*J61</f>
        <v>0</v>
      </c>
      <c r="Z61" s="21">
        <f>$P$42*I61</f>
        <v>1.0922312629014031E-8</v>
      </c>
      <c r="AA61" s="21">
        <f>$Q$42*H61</f>
        <v>0</v>
      </c>
      <c r="AB61" s="21">
        <f>$R$42*G61</f>
        <v>744.37944892575808</v>
      </c>
      <c r="AC61" s="21">
        <f>$S$42*F61</f>
        <v>0</v>
      </c>
      <c r="AD61" s="21">
        <f>$T$42</f>
        <v>1605.4931803061395</v>
      </c>
    </row>
    <row r="62" spans="1:35" ht="13">
      <c r="A62" s="45">
        <v>5</v>
      </c>
      <c r="B62" s="21">
        <f>SUM(X62:AD62)</f>
        <v>2880.8675331580466</v>
      </c>
      <c r="C62" s="63">
        <f>C8</f>
        <v>0</v>
      </c>
      <c r="D62" s="63">
        <v>0</v>
      </c>
      <c r="E62" s="63">
        <v>200</v>
      </c>
      <c r="F62" s="63">
        <f>F8</f>
        <v>0</v>
      </c>
      <c r="G62" s="62">
        <f>G8*0.9</f>
        <v>31.41</v>
      </c>
      <c r="H62" s="62">
        <f>H8</f>
        <v>0</v>
      </c>
      <c r="I62" s="57">
        <f>(I61*$I$1+C62)^$I$2</f>
        <v>8.9660122662337955E-10</v>
      </c>
      <c r="J62" s="57">
        <f>(J61*$J$1+D62)^$J$2</f>
        <v>0</v>
      </c>
      <c r="K62" s="57">
        <f>(K61*$K$1+E62)^$K$2</f>
        <v>24.022488679628616</v>
      </c>
      <c r="M62" s="52" t="s">
        <v>56</v>
      </c>
      <c r="N62" s="50">
        <f>N61/N59</f>
        <v>3.878727818025407E-2</v>
      </c>
      <c r="X62" s="21">
        <f>$N$42*K62</f>
        <v>471.07581515485464</v>
      </c>
      <c r="Y62" s="21">
        <f>$O$42*J62</f>
        <v>0</v>
      </c>
      <c r="Z62" s="21">
        <f>$P$42*I62</f>
        <v>3.2766937887042091E-9</v>
      </c>
      <c r="AA62" s="21">
        <f>$Q$42*H62</f>
        <v>0</v>
      </c>
      <c r="AB62" s="21">
        <f>$R$42*G62</f>
        <v>804.29853769377587</v>
      </c>
      <c r="AC62" s="21">
        <f>$S$42*F62</f>
        <v>0</v>
      </c>
      <c r="AD62" s="21">
        <f>$T$42</f>
        <v>1605.4931803061395</v>
      </c>
    </row>
    <row r="63" spans="1:35" ht="13">
      <c r="A63" s="45">
        <v>6</v>
      </c>
      <c r="B63" s="21">
        <f>SUM(X63:AD63)</f>
        <v>2968.4415859705482</v>
      </c>
      <c r="C63" s="63">
        <f>C9</f>
        <v>0</v>
      </c>
      <c r="D63" s="63">
        <v>0</v>
      </c>
      <c r="E63" s="63">
        <v>200</v>
      </c>
      <c r="F63" s="63">
        <f>F9</f>
        <v>0</v>
      </c>
      <c r="G63" s="62">
        <f>G9*0.9</f>
        <v>34.830000000000005</v>
      </c>
      <c r="H63" s="62">
        <f>H9</f>
        <v>0</v>
      </c>
      <c r="I63" s="57">
        <f>(I62*$I$1+C63)^$I$2</f>
        <v>2.6898036798701388E-10</v>
      </c>
      <c r="J63" s="57">
        <f>(J62*$J$1+D63)^$J$2</f>
        <v>0</v>
      </c>
      <c r="K63" s="57">
        <f>(K62*$K$1+E63)^$K$2</f>
        <v>24.022488679628616</v>
      </c>
      <c r="X63" s="21">
        <f>$N$42*K63</f>
        <v>471.07581515485464</v>
      </c>
      <c r="Y63" s="21">
        <f>$O$42*J63</f>
        <v>0</v>
      </c>
      <c r="Z63" s="21">
        <f>$P$42*I63</f>
        <v>9.830081366112628E-10</v>
      </c>
      <c r="AA63" s="21">
        <f>$Q$42*H63</f>
        <v>0</v>
      </c>
      <c r="AB63" s="21">
        <f>$R$42*G63</f>
        <v>891.87259050857108</v>
      </c>
      <c r="AC63" s="21">
        <f>$S$42*F63</f>
        <v>0</v>
      </c>
      <c r="AD63" s="21">
        <f>$T$42</f>
        <v>1605.4931803061395</v>
      </c>
    </row>
    <row r="64" spans="1:35" ht="13">
      <c r="A64" s="45">
        <v>7</v>
      </c>
      <c r="B64" s="21">
        <f>SUM(X64:AD64)</f>
        <v>2885.4766938295279</v>
      </c>
      <c r="C64" s="63">
        <f>C10</f>
        <v>0</v>
      </c>
      <c r="D64" s="63">
        <v>0</v>
      </c>
      <c r="E64" s="63">
        <v>200</v>
      </c>
      <c r="F64" s="63">
        <f>F10</f>
        <v>0</v>
      </c>
      <c r="G64" s="62">
        <f>G10*0.9</f>
        <v>31.590000000000003</v>
      </c>
      <c r="H64" s="62">
        <f>H10</f>
        <v>0</v>
      </c>
      <c r="I64" s="57">
        <f>(I63*$I$1+C64)^$I$2</f>
        <v>8.0694110396104163E-11</v>
      </c>
      <c r="J64" s="57">
        <f>(J63*$J$1+D64)^$J$2</f>
        <v>0</v>
      </c>
      <c r="K64" s="57">
        <f>(K63*$K$1+E64)^$K$2</f>
        <v>24.022488679628616</v>
      </c>
      <c r="M64" s="18" t="s">
        <v>91</v>
      </c>
      <c r="N64" s="18">
        <f>COUNTA(A4:A55)</f>
        <v>52</v>
      </c>
      <c r="X64" s="21">
        <f>$N$42*K64</f>
        <v>471.07581515485464</v>
      </c>
      <c r="Y64" s="21">
        <f>$O$42*J64</f>
        <v>0</v>
      </c>
      <c r="Z64" s="21">
        <f>$P$42*I64</f>
        <v>2.9490244098337883E-10</v>
      </c>
      <c r="AA64" s="21">
        <f>$Q$42*H64</f>
        <v>0</v>
      </c>
      <c r="AB64" s="21">
        <f>$R$42*G64</f>
        <v>808.90769836823893</v>
      </c>
      <c r="AC64" s="21">
        <f>$S$42*F64</f>
        <v>0</v>
      </c>
      <c r="AD64" s="21">
        <f>$T$42</f>
        <v>1605.4931803061395</v>
      </c>
    </row>
    <row r="65" spans="1:30" ht="13">
      <c r="A65" s="45">
        <v>8</v>
      </c>
      <c r="B65" s="21">
        <f>SUM(X65:AD65)</f>
        <v>3692.3124552865643</v>
      </c>
      <c r="C65" s="63">
        <f>C11</f>
        <v>0</v>
      </c>
      <c r="D65" s="63">
        <v>0</v>
      </c>
      <c r="E65" s="63">
        <v>200</v>
      </c>
      <c r="F65" s="63">
        <f>F11</f>
        <v>0</v>
      </c>
      <c r="G65" s="62">
        <f>G11*0.9</f>
        <v>30.96</v>
      </c>
      <c r="H65" s="62">
        <f>H11</f>
        <v>1</v>
      </c>
      <c r="I65" s="57">
        <f>(I64*$I$1+C65)^$I$2</f>
        <v>2.4208233118831249E-11</v>
      </c>
      <c r="J65" s="57">
        <f>(J64*$J$1+D65)^$J$2</f>
        <v>0</v>
      </c>
      <c r="K65" s="57">
        <f>(K64*$K$1+E65)^$K$2</f>
        <v>24.022488679628616</v>
      </c>
      <c r="M65" s="18" t="s">
        <v>54</v>
      </c>
      <c r="N65" s="18">
        <f>SKEW(AF4:AF55)</f>
        <v>2.6639541298707225E-2</v>
      </c>
      <c r="X65" s="21">
        <f>$N$42*K65</f>
        <v>471.07581515485464</v>
      </c>
      <c r="Y65" s="21">
        <f>$O$42*J65</f>
        <v>0</v>
      </c>
      <c r="Z65" s="21">
        <f>$P$42*I65</f>
        <v>8.8470732295013644E-11</v>
      </c>
      <c r="AA65" s="21">
        <f>$Q$42*H65</f>
        <v>822.96782381786284</v>
      </c>
      <c r="AB65" s="21">
        <f>$R$42*G65</f>
        <v>792.77563600761869</v>
      </c>
      <c r="AC65" s="21">
        <f>$S$42*F65</f>
        <v>0</v>
      </c>
      <c r="AD65" s="21">
        <f>$T$42</f>
        <v>1605.4931803061395</v>
      </c>
    </row>
    <row r="66" spans="1:30" ht="13">
      <c r="A66" s="45">
        <v>9</v>
      </c>
      <c r="B66" s="21">
        <f>SUM(X66:AD66)</f>
        <v>2950.0049432717401</v>
      </c>
      <c r="C66" s="63">
        <f>C12</f>
        <v>0</v>
      </c>
      <c r="D66" s="63">
        <v>0</v>
      </c>
      <c r="E66" s="63">
        <v>200</v>
      </c>
      <c r="F66" s="63">
        <f>F12</f>
        <v>0</v>
      </c>
      <c r="G66" s="62">
        <f>G12*0.9</f>
        <v>34.11</v>
      </c>
      <c r="H66" s="62">
        <f>H12</f>
        <v>0</v>
      </c>
      <c r="I66" s="57">
        <f>(I65*$I$1+C66)^$I$2</f>
        <v>7.2624699356493746E-12</v>
      </c>
      <c r="J66" s="57">
        <f>(J65*$J$1+D66)^$J$2</f>
        <v>0</v>
      </c>
      <c r="K66" s="57">
        <f>(K65*$K$1+E66)^$K$2</f>
        <v>24.022488679628616</v>
      </c>
      <c r="M66" s="18" t="s">
        <v>52</v>
      </c>
      <c r="N66" s="18">
        <f>KURT(AF4:AF55)</f>
        <v>0.3865699172160153</v>
      </c>
      <c r="X66" s="21">
        <f>$N$42*K66</f>
        <v>471.07581515485464</v>
      </c>
      <c r="Y66" s="21">
        <f>$O$42*J66</f>
        <v>0</v>
      </c>
      <c r="Z66" s="21">
        <f>$P$42*I66</f>
        <v>2.6541219688504092E-11</v>
      </c>
      <c r="AA66" s="21">
        <f>$Q$42*H66</f>
        <v>0</v>
      </c>
      <c r="AB66" s="21">
        <f>$R$42*G66</f>
        <v>873.43594781071943</v>
      </c>
      <c r="AC66" s="21">
        <f>$S$42*F66</f>
        <v>0</v>
      </c>
      <c r="AD66" s="21">
        <f>$T$42</f>
        <v>1605.4931803061395</v>
      </c>
    </row>
    <row r="67" spans="1:30" ht="13">
      <c r="A67" s="45">
        <v>10</v>
      </c>
      <c r="B67" s="21">
        <f>SUM(X67:AD67)</f>
        <v>3012.2286123769709</v>
      </c>
      <c r="C67" s="63">
        <f>C13</f>
        <v>0</v>
      </c>
      <c r="D67" s="63">
        <v>0</v>
      </c>
      <c r="E67" s="63">
        <v>200</v>
      </c>
      <c r="F67" s="63">
        <f>F13</f>
        <v>0</v>
      </c>
      <c r="G67" s="62">
        <f>G13*0.9</f>
        <v>36.54</v>
      </c>
      <c r="H67" s="62">
        <f>H13</f>
        <v>0</v>
      </c>
      <c r="I67" s="57">
        <f>(I66*$I$1+C67)^$I$2</f>
        <v>2.1787409806948124E-12</v>
      </c>
      <c r="J67" s="57">
        <f>(J66*$J$1+D67)^$J$2</f>
        <v>0</v>
      </c>
      <c r="K67" s="57">
        <f>(K66*$K$1+E67)^$K$2</f>
        <v>24.022488679628616</v>
      </c>
      <c r="M67" s="18" t="s">
        <v>90</v>
      </c>
      <c r="N67" s="18">
        <f>(N64/6)*(N65^2+(N66^2)/4)</f>
        <v>0.32992908333410786</v>
      </c>
      <c r="X67" s="21">
        <f>$N$42*K67</f>
        <v>471.07581515485464</v>
      </c>
      <c r="Y67" s="21">
        <f>$O$42*J67</f>
        <v>0</v>
      </c>
      <c r="Z67" s="21">
        <f>$P$42*I67</f>
        <v>7.9623659065512282E-12</v>
      </c>
      <c r="AA67" s="21">
        <f>$Q$42*H67</f>
        <v>0</v>
      </c>
      <c r="AB67" s="21">
        <f>$R$42*G67</f>
        <v>935.65961691596851</v>
      </c>
      <c r="AC67" s="21">
        <f>$S$42*F67</f>
        <v>0</v>
      </c>
      <c r="AD67" s="21">
        <f>$T$42</f>
        <v>1605.4931803061395</v>
      </c>
    </row>
    <row r="68" spans="1:30" ht="13">
      <c r="A68" s="45">
        <v>11</v>
      </c>
      <c r="B68" s="21">
        <f>SUM(X68:AD68)</f>
        <v>3138.9805309246949</v>
      </c>
      <c r="C68" s="63">
        <f>C14</f>
        <v>0</v>
      </c>
      <c r="D68" s="63">
        <v>0</v>
      </c>
      <c r="E68" s="63">
        <v>200</v>
      </c>
      <c r="F68" s="63">
        <f>F14</f>
        <v>0</v>
      </c>
      <c r="G68" s="62">
        <f>G14*0.9</f>
        <v>41.49</v>
      </c>
      <c r="H68" s="62">
        <f>H14</f>
        <v>0</v>
      </c>
      <c r="I68" s="57">
        <f>(I67*$I$1+C68)^$I$2</f>
        <v>6.5362229420844366E-13</v>
      </c>
      <c r="J68" s="57">
        <f>(J67*$J$1+D68)^$J$2</f>
        <v>0</v>
      </c>
      <c r="K68" s="57">
        <f>(K67*$K$1+E68)^$K$2</f>
        <v>24.022488679628616</v>
      </c>
      <c r="M68" s="18" t="s">
        <v>89</v>
      </c>
      <c r="N68" s="19">
        <f>_xlfn.CHISQ.DIST.RT(N67,2)</f>
        <v>0.84792376951821014</v>
      </c>
      <c r="X68" s="21">
        <f>$N$42*K68</f>
        <v>471.07581515485464</v>
      </c>
      <c r="Y68" s="21">
        <f>$O$42*J68</f>
        <v>0</v>
      </c>
      <c r="Z68" s="21">
        <f>$P$42*I68</f>
        <v>2.3887097719653681E-12</v>
      </c>
      <c r="AA68" s="21">
        <f>$Q$42*H68</f>
        <v>0</v>
      </c>
      <c r="AB68" s="21">
        <f>$R$42*G68</f>
        <v>1062.4115354636983</v>
      </c>
      <c r="AC68" s="21">
        <f>$S$42*F68</f>
        <v>0</v>
      </c>
      <c r="AD68" s="21">
        <f>$T$42</f>
        <v>1605.4931803061395</v>
      </c>
    </row>
    <row r="69" spans="1:30" ht="13">
      <c r="A69" s="45">
        <v>12</v>
      </c>
      <c r="B69" s="21">
        <f>SUM(X69:AD69)</f>
        <v>3904.3338463117698</v>
      </c>
      <c r="C69" s="63">
        <f>C15</f>
        <v>0</v>
      </c>
      <c r="D69" s="63">
        <v>0</v>
      </c>
      <c r="E69" s="63">
        <v>200</v>
      </c>
      <c r="F69" s="63">
        <f>F15</f>
        <v>0</v>
      </c>
      <c r="G69" s="62">
        <f>G15*0.9</f>
        <v>39.24</v>
      </c>
      <c r="H69" s="62">
        <f>H15</f>
        <v>1</v>
      </c>
      <c r="I69" s="57">
        <f>(I68*$I$1+C69)^$I$2</f>
        <v>1.960866882625331E-13</v>
      </c>
      <c r="J69" s="57">
        <f>(J68*$J$1+D69)^$J$2</f>
        <v>0</v>
      </c>
      <c r="K69" s="57">
        <f>(K68*$K$1+E69)^$K$2</f>
        <v>24.022488679628616</v>
      </c>
      <c r="M69" s="52" t="s">
        <v>50</v>
      </c>
      <c r="N69" s="18" t="b">
        <f>N68&gt;=0.05</f>
        <v>1</v>
      </c>
      <c r="X69" s="21">
        <f>$N$42*K69</f>
        <v>471.07581515485464</v>
      </c>
      <c r="Y69" s="21">
        <f>$O$42*J69</f>
        <v>0</v>
      </c>
      <c r="Z69" s="21">
        <f>$P$42*I69</f>
        <v>7.1661293158961044E-13</v>
      </c>
      <c r="AA69" s="21">
        <f>$Q$42*H69</f>
        <v>822.96782381786284</v>
      </c>
      <c r="AB69" s="21">
        <f>$R$42*G69</f>
        <v>1004.7970270329121</v>
      </c>
      <c r="AC69" s="21">
        <f>$S$42*F69</f>
        <v>0</v>
      </c>
      <c r="AD69" s="21">
        <f>$T$42</f>
        <v>1605.4931803061395</v>
      </c>
    </row>
    <row r="70" spans="1:30" ht="13">
      <c r="X70" s="61"/>
    </row>
    <row r="71" spans="1:30" ht="13">
      <c r="B71" s="21">
        <f>SUM(B58:B69)</f>
        <v>37972.668906467465</v>
      </c>
      <c r="X71" s="61"/>
    </row>
    <row r="72" spans="1:30" ht="13">
      <c r="X72" s="61"/>
    </row>
    <row r="73" spans="1:30" ht="13">
      <c r="B73" s="50"/>
      <c r="M73" s="52" t="s">
        <v>43</v>
      </c>
      <c r="N73" s="18"/>
    </row>
    <row r="74" spans="1:30" ht="13">
      <c r="M74" s="18" t="s">
        <v>29</v>
      </c>
      <c r="N74" s="18" t="s">
        <v>42</v>
      </c>
    </row>
    <row r="75" spans="1:30" ht="13">
      <c r="M75" s="18" t="s">
        <v>41</v>
      </c>
      <c r="N75" s="18" t="s">
        <v>40</v>
      </c>
    </row>
    <row r="76" spans="1:30" ht="13">
      <c r="M76" s="18" t="s">
        <v>86</v>
      </c>
      <c r="N76" s="18" t="s">
        <v>85</v>
      </c>
    </row>
    <row r="77" spans="1:30" ht="13">
      <c r="M77" s="18" t="s">
        <v>14</v>
      </c>
      <c r="N77" s="18" t="s">
        <v>39</v>
      </c>
    </row>
    <row r="78" spans="1:30" ht="13">
      <c r="M78" s="18" t="s">
        <v>84</v>
      </c>
      <c r="N78" s="18" t="s">
        <v>83</v>
      </c>
    </row>
    <row r="79" spans="1:30" ht="13">
      <c r="M79" s="18" t="s">
        <v>82</v>
      </c>
      <c r="N79" s="18" t="s">
        <v>81</v>
      </c>
    </row>
    <row r="80" spans="1:30" ht="13">
      <c r="M80" s="18" t="s">
        <v>80</v>
      </c>
      <c r="N80" s="18" t="s">
        <v>79</v>
      </c>
    </row>
    <row r="81" spans="13:14" ht="13">
      <c r="M81" s="18" t="s">
        <v>78</v>
      </c>
      <c r="N81" s="18" t="s">
        <v>77</v>
      </c>
    </row>
    <row r="82" spans="13:14" ht="13">
      <c r="M82" s="18" t="s">
        <v>76</v>
      </c>
      <c r="N82" s="18" t="s">
        <v>75</v>
      </c>
    </row>
    <row r="83" spans="13:14" ht="13">
      <c r="M83" s="18" t="s">
        <v>74</v>
      </c>
      <c r="N83" s="18" t="s">
        <v>73</v>
      </c>
    </row>
    <row r="84" spans="13:14" ht="13">
      <c r="M84" s="18" t="s">
        <v>72</v>
      </c>
      <c r="N84" s="18" t="s">
        <v>71</v>
      </c>
    </row>
    <row r="85" spans="13:14" ht="13">
      <c r="M85" s="18" t="s">
        <v>70</v>
      </c>
      <c r="N85" s="18" t="s">
        <v>69</v>
      </c>
    </row>
    <row r="86" spans="13:14" ht="13">
      <c r="M86" s="18" t="s">
        <v>68</v>
      </c>
      <c r="N86" s="18" t="s">
        <v>67</v>
      </c>
    </row>
    <row r="87" spans="13:14" ht="13">
      <c r="M87" s="18" t="s">
        <v>66</v>
      </c>
      <c r="N87" s="18" t="s">
        <v>65</v>
      </c>
    </row>
    <row r="88" spans="13:14" ht="13">
      <c r="M88" s="18" t="s">
        <v>64</v>
      </c>
      <c r="N88" s="18" t="s">
        <v>63</v>
      </c>
    </row>
    <row r="89" spans="13:14" ht="13">
      <c r="M89" s="18" t="s">
        <v>62</v>
      </c>
      <c r="N89" s="18" t="s">
        <v>61</v>
      </c>
    </row>
    <row r="90" spans="13:14" ht="13">
      <c r="M90" s="18" t="s">
        <v>60</v>
      </c>
      <c r="N90" s="18" t="s">
        <v>59</v>
      </c>
    </row>
    <row r="91" spans="13:14" ht="13">
      <c r="M91" s="18" t="s">
        <v>58</v>
      </c>
      <c r="N91" s="18" t="s">
        <v>57</v>
      </c>
    </row>
    <row r="92" spans="13:14" ht="13">
      <c r="M92" s="18" t="s">
        <v>56</v>
      </c>
      <c r="N92" s="18" t="s">
        <v>55</v>
      </c>
    </row>
    <row r="93" spans="13:14" ht="13">
      <c r="M93" s="18" t="s">
        <v>54</v>
      </c>
      <c r="N93" s="18" t="s">
        <v>53</v>
      </c>
    </row>
    <row r="94" spans="13:14" ht="13">
      <c r="M94" s="18" t="s">
        <v>52</v>
      </c>
      <c r="N94" s="18" t="s">
        <v>51</v>
      </c>
    </row>
    <row r="95" spans="13:14" ht="13">
      <c r="M95" s="18" t="s">
        <v>50</v>
      </c>
      <c r="N95" s="18" t="s">
        <v>49</v>
      </c>
    </row>
  </sheetData>
  <conditionalFormatting sqref="N35 N51:T51">
    <cfRule type="containsText" dxfId="3" priority="1" operator="containsText" text="FALSE">
      <formula>NOT(ISERROR(SEARCH(("FALSE"),(N35))))</formula>
    </cfRule>
  </conditionalFormatting>
  <conditionalFormatting sqref="N50:T50 N57">
    <cfRule type="containsText" dxfId="2" priority="2" operator="containsText" text="FALSE">
      <formula>NOT(ISERROR(SEARCH(("FALSE"),(N50))))</formula>
    </cfRule>
  </conditionalFormatting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EA09-A958-8149-AC1E-C6A873AB435E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Trend</vt:lpstr>
      <vt:lpstr>Linear Regression</vt:lpstr>
      <vt:lpstr>Correlation</vt:lpstr>
      <vt:lpstr>Multiple Regression</vt:lpstr>
      <vt:lpstr>Model</vt:lpstr>
      <vt:lpstr>Response</vt:lpstr>
      <vt:lpstr>statistical tests</vt:lpstr>
      <vt:lpstr>Forecasting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2022-05-20T23:27:06Z</dcterms:modified>
</cp:coreProperties>
</file>