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INCHANA\Downloads\"/>
    </mc:Choice>
  </mc:AlternateContent>
  <bookViews>
    <workbookView xWindow="0" yWindow="0" windowWidth="17256" windowHeight="4992" activeTab="3"/>
  </bookViews>
  <sheets>
    <sheet name="Glossary" sheetId="2" r:id="rId1"/>
    <sheet name="Forecast Assumptions" sheetId="1" r:id="rId2"/>
    <sheet name="P&amp;L Forecast" sheetId="3" r:id="rId3"/>
    <sheet name="Cash Flow Forecast" sheetId="4" r:id="rId4"/>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2">'P&amp;L Forecast'!$A$1:$J$40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2" i="4" l="1"/>
  <c r="F12" i="4"/>
  <c r="E12" i="4"/>
  <c r="E11" i="4"/>
  <c r="E9" i="4"/>
  <c r="E21" i="4"/>
  <c r="E15" i="4"/>
  <c r="E10" i="4"/>
  <c r="F10" i="4"/>
  <c r="G10" i="4"/>
  <c r="H10" i="4"/>
  <c r="I10" i="4"/>
  <c r="E8" i="4"/>
  <c r="F8" i="4"/>
  <c r="G8" i="4"/>
  <c r="H8" i="4"/>
  <c r="I8" i="4"/>
  <c r="E38" i="1"/>
  <c r="F24" i="3" l="1"/>
  <c r="G24" i="3"/>
  <c r="H24" i="3"/>
  <c r="I24" i="3"/>
  <c r="E24" i="3"/>
  <c r="G33" i="1"/>
  <c r="H33" i="1" s="1"/>
  <c r="I33" i="1" s="1"/>
  <c r="F33" i="1"/>
  <c r="E3" i="4" l="1"/>
  <c r="F3" i="4" s="1"/>
  <c r="G3" i="4" s="1"/>
  <c r="H3" i="4" s="1"/>
  <c r="I3" i="4" s="1"/>
  <c r="F36" i="3" l="1"/>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H37" i="1" l="1"/>
  <c r="G37" i="1"/>
  <c r="F37" i="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G29" i="3"/>
  <c r="G32" i="3" s="1"/>
  <c r="G6" i="4" s="1"/>
  <c r="I15" i="3"/>
  <c r="I21" i="3"/>
  <c r="F25" i="3"/>
  <c r="F22" i="3"/>
  <c r="H25" i="3" l="1"/>
  <c r="F26" i="3"/>
  <c r="F29" i="3"/>
  <c r="F32" i="3" s="1"/>
  <c r="F6" i="4" s="1"/>
  <c r="I22" i="3"/>
  <c r="I25" i="3"/>
  <c r="H26" i="3"/>
  <c r="H29" i="3"/>
  <c r="H32" i="3" s="1"/>
  <c r="H6" i="4" s="1"/>
  <c r="G30" i="3"/>
  <c r="I26" i="3" l="1"/>
  <c r="I29" i="3"/>
  <c r="I32" i="3" s="1"/>
  <c r="I6" i="4" s="1"/>
  <c r="H30" i="3"/>
  <c r="F30" i="3"/>
  <c r="I30" i="3" l="1"/>
  <c r="E33" i="3" l="1"/>
  <c r="E37" i="3" l="1"/>
  <c r="E7" i="4" s="1"/>
  <c r="E34" i="3"/>
  <c r="E22" i="4" l="1"/>
  <c r="E23" i="4" s="1"/>
  <c r="F21" i="4" s="1"/>
  <c r="F33" i="3"/>
  <c r="E13" i="4" l="1"/>
  <c r="E16" i="4" s="1"/>
  <c r="E17" i="4" s="1"/>
  <c r="F15" i="4" s="1"/>
  <c r="F9" i="4" s="1"/>
  <c r="F37" i="3"/>
  <c r="F7" i="4" s="1"/>
  <c r="F34" i="3"/>
  <c r="F11" i="4" l="1"/>
  <c r="F22" i="4" s="1"/>
  <c r="F23" i="4" s="1"/>
  <c r="G21" i="4" s="1"/>
  <c r="G33" i="3"/>
  <c r="G37" i="3" l="1"/>
  <c r="G7" i="4" s="1"/>
  <c r="G34" i="3"/>
  <c r="H33" i="3" l="1"/>
  <c r="H37" i="3" l="1"/>
  <c r="H7" i="4" s="1"/>
  <c r="H34" i="3"/>
  <c r="I33" i="3" l="1"/>
  <c r="I37" i="3" l="1"/>
  <c r="I7" i="4" s="1"/>
  <c r="I34" i="3"/>
  <c r="F13" i="4" l="1"/>
  <c r="F16" i="4" s="1"/>
  <c r="F17" i="4" s="1"/>
  <c r="G15" i="4" s="1"/>
  <c r="G9" i="4" l="1"/>
  <c r="G11" i="4" s="1"/>
  <c r="G22" i="4" l="1"/>
  <c r="G23" i="4" s="1"/>
  <c r="H21" i="4" s="1"/>
  <c r="G13" i="4" l="1"/>
  <c r="G16" i="4" s="1"/>
  <c r="G17" i="4" s="1"/>
  <c r="H15" i="4" s="1"/>
  <c r="H9" i="4" s="1"/>
  <c r="H11" i="4" s="1"/>
  <c r="H12" i="4" l="1"/>
  <c r="H22" i="4" s="1"/>
  <c r="H23" i="4" s="1"/>
  <c r="I21" i="4" s="1"/>
  <c r="H13" i="4" l="1"/>
  <c r="H16" i="4" s="1"/>
  <c r="H17" i="4" s="1"/>
  <c r="I15" i="4" s="1"/>
  <c r="I9" i="4" s="1"/>
  <c r="I11" i="4" s="1"/>
  <c r="I12" i="4" s="1"/>
  <c r="I22" i="4" l="1"/>
  <c r="I23" i="4" s="1"/>
  <c r="I13" i="4"/>
  <c r="I16" i="4" s="1"/>
  <c r="I17" i="4" s="1"/>
</calcChain>
</file>

<file path=xl/sharedStrings.xml><?xml version="1.0" encoding="utf-8"?>
<sst xmlns="http://schemas.openxmlformats.org/spreadsheetml/2006/main" count="184" uniqueCount="90">
  <si>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</si>
  <si>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</si>
  <si>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</si>
  <si>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</si>
  <si>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</si>
  <si>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</si>
  <si>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</si>
  <si>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</si>
  <si>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</si>
  <si>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</si>
  <si>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</si>
  <si>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</si>
  <si>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</si>
  <si>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</si>
  <si>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</si>
  <si>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</si>
  <si>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</si>
  <si>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</si>
  <si>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</si>
  <si>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</si>
  <si>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</si>
  <si>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</si>
  <si>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</si>
  <si>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</si>
  <si>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</si>
  <si>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</si>
  <si>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</si>
  <si>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</si>
  <si>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</si>
  <si>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</si>
  <si>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</si>
  <si>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</si>
  <si>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</si>
  <si>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</si>
  <si>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</si>
  <si>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</si>
  <si>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</si>
  <si>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</si>
  <si>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</si>
  <si>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</si>
  <si>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</si>
  <si>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</si>
  <si>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</si>
  <si>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</si>
  <si>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</si>
  <si>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</si>
  <si>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</si>
  <si>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</si>
  <si>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</si>
  <si>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</si>
  <si>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</si>
  <si>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</si>
  <si>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</si>
  <si>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</si>
  <si>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</si>
  <si>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</si>
  <si>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</si>
  <si>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</si>
  <si>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</si>
  <si>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</si>
  <si>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</si>
  <si>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</si>
  <si>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</si>
  <si>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</si>
  <si>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</si>
  <si>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</si>
  <si>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</si>
  <si>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</si>
  <si>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</si>
  <si>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</si>
  <si>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</si>
  <si>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</si>
  <si>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</si>
  <si>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</si>
  <si>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</si>
  <si>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</si>
  <si>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Net Cash Flow</t>
  </si>
  <si>
    <t>Supporting Debt Schedule</t>
  </si>
  <si>
    <t>Opening Debt</t>
  </si>
  <si>
    <t>Opening Cash</t>
  </si>
  <si>
    <t>Closing Cash</t>
  </si>
  <si>
    <t>Debt Repayment</t>
  </si>
  <si>
    <t>Net Capital Expenditure (Capex)</t>
  </si>
  <si>
    <t>Cash to Balance Sheet</t>
  </si>
  <si>
    <t>Closing Debt</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</si>
  <si>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</si>
  <si>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</si>
  <si>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</si>
  <si>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Net CAPEX</t>
  </si>
  <si>
    <t xml:space="preserve">Dividend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</si>
</sst>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00\);\-"/>
    <numFmt numFmtId="166" formatCode="&quot;FY&quot;yy&quot;E&quot;"/>
    <numFmt numFmtId="167" formatCode="0.0%;\(0.0%\);\-"/>
    <numFmt numFmtId="168" formatCode="&quot;FY&quot;yy&quot;A&quot;"/>
    <numFmt numFmtId="169" formatCode="0%;\(0%\);\-"/>
  </numFmts>
  <fonts count="12"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
      <sz val="11"/>
      <color theme="1"/>
      <name val="Calibri"/>
      <family val="2"/>
      <scheme val="minor"/>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9" fontId="11" fillId="0" borderId="0" applyFont="0" applyFill="0" applyBorder="0" applyAlignment="0" applyProtection="0"/>
  </cellStyleXfs>
  <cellXfs count="57">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Fill="1" applyBorder="1"/>
    <xf numFmtId="0" fontId="3" fillId="0" borderId="0" xfId="0" applyFont="1" applyFill="1"/>
    <xf numFmtId="0" fontId="4" fillId="0" borderId="3" xfId="0" applyFont="1" applyFill="1" applyBorder="1"/>
    <xf numFmtId="164" fontId="4" fillId="0" borderId="3" xfId="0" applyNumberFormat="1" applyFont="1" applyFill="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0" fontId="3" fillId="0" borderId="0" xfId="0" applyFont="1" applyFill="1" applyAlignment="1">
      <alignment horizontal="center"/>
    </xf>
    <xf numFmtId="164" fontId="3" fillId="5" borderId="0" xfId="0" applyNumberFormat="1" applyFont="1" applyFill="1"/>
    <xf numFmtId="0" fontId="4" fillId="0" borderId="0" xfId="0" applyFont="1" applyFill="1" applyBorder="1"/>
    <xf numFmtId="0" fontId="3" fillId="0" borderId="0" xfId="0" applyFont="1" applyBorder="1"/>
    <xf numFmtId="164" fontId="3" fillId="5" borderId="0" xfId="0" applyNumberFormat="1" applyFont="1" applyFill="1" applyBorder="1"/>
    <xf numFmtId="0" fontId="4" fillId="4" borderId="0" xfId="0" applyFont="1" applyFill="1" applyAlignment="1">
      <alignment vertical="center"/>
    </xf>
    <xf numFmtId="0" fontId="3" fillId="0" borderId="0" xfId="0" applyFont="1" applyAlignment="1">
      <alignment horizontal="left" vertical="center" wrapText="1"/>
    </xf>
    <xf numFmtId="164" fontId="3" fillId="5" borderId="0" xfId="1" applyNumberFormat="1" applyFont="1" applyFill="1" applyAlignment="1">
      <alignment horizontal="right"/>
    </xf>
    <xf numFmtId="164" fontId="6" fillId="6" borderId="0" xfId="0" applyNumberFormat="1" applyFont="1" applyFill="1" applyBorder="1" applyAlignment="1">
      <alignment horizontal="right"/>
    </xf>
    <xf numFmtId="164" fontId="6" fillId="5" borderId="0" xfId="0" applyNumberFormat="1" applyFont="1" applyFill="1" applyBorder="1" applyAlignment="1">
      <alignment horizontal="right"/>
    </xf>
    <xf numFmtId="164" fontId="3" fillId="5" borderId="1" xfId="0" applyNumberFormat="1" applyFont="1" applyFill="1" applyBorder="1"/>
  </cellXfs>
  <cellStyles count="2">
    <cellStyle name="Normal" xfId="0" builtinId="0"/>
    <cellStyle name="Percent" xfId="1" builtinId="5"/>
  </cellStyles>
  <dxfs count="6">
    <dxf>
      <font>
        <b/>
        <i/>
        <strike val="0"/>
        <condense val="0"/>
        <extend val="0"/>
        <outline val="0"/>
        <shadow val="0"/>
        <u val="none"/>
        <vertAlign val="baseline"/>
        <sz val="10"/>
        <color theme="1"/>
        <name val="Arial"/>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258535</xdr:colOff>
      <xdr:row>26</xdr:row>
      <xdr:rowOff>108858</xdr:rowOff>
    </xdr:from>
    <xdr:to>
      <xdr:col>17</xdr:col>
      <xdr:colOff>1325337</xdr:colOff>
      <xdr:row>29</xdr:row>
      <xdr:rowOff>0</xdr:rowOff>
    </xdr:to>
    <xdr:sp macro="" textlink="">
      <xdr:nvSpPr>
        <xdr:cNvPr id="2" name="Rectangle: Rounded Corners 1">
          <a:extLst>
            <a:ext uri="{FF2B5EF4-FFF2-40B4-BE49-F238E27FC236}">
              <a16:creationId xmlns:a16="http://schemas.microsoft.com/office/drawing/2014/main" xmlns="" id="{756441E5-7713-49B3-B9DE-ABEB43F8EFEA}"/>
            </a:ext>
          </a:extLst>
        </xdr:cNvPr>
        <xdr:cNvSpPr/>
      </xdr:nvSpPr>
      <xdr:spPr>
        <a:xfrm>
          <a:off x="12246428" y="5306787"/>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Once the Cash</a:t>
          </a:r>
          <a:r>
            <a:rPr lang="en-GB" sz="1100" b="0" u="none" baseline="0">
              <a:latin typeface="Arial" panose="020B0604020202020204" pitchFamily="34" charset="0"/>
              <a:cs typeface="Arial" panose="020B0604020202020204" pitchFamily="34" charset="0"/>
            </a:rPr>
            <a:t> Flow Forecast tab is complete, link up Net Interest for each year to the calculated figures from the Cash Flow tab.</a:t>
          </a:r>
          <a:endParaRPr lang="en-GB" sz="1100" b="0" u="none">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95250</xdr:colOff>
      <xdr:row>3</xdr:row>
      <xdr:rowOff>122464</xdr:rowOff>
    </xdr:from>
    <xdr:to>
      <xdr:col>17</xdr:col>
      <xdr:colOff>1162052</xdr:colOff>
      <xdr:row>9</xdr:row>
      <xdr:rowOff>176892</xdr:rowOff>
    </xdr:to>
    <xdr:sp macro="" textlink="">
      <xdr:nvSpPr>
        <xdr:cNvPr id="2" name="Rectangle: Rounded Corners 1">
          <a:extLst>
            <a:ext uri="{FF2B5EF4-FFF2-40B4-BE49-F238E27FC236}">
              <a16:creationId xmlns:a16="http://schemas.microsoft.com/office/drawing/2014/main" xmlns="" id="{588FCA84-FCC8-488C-ACA9-DB0C8F3A5FE3}"/>
            </a:ext>
          </a:extLst>
        </xdr:cNvPr>
        <xdr:cNvSpPr/>
      </xdr:nvSpPr>
      <xdr:spPr>
        <a:xfrm>
          <a:off x="13634357" y="938893"/>
          <a:ext cx="10782302" cy="11974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Cash Flow: </a:t>
          </a:r>
          <a:r>
            <a:rPr lang="en-GB" sz="1100" b="0" u="none">
              <a:latin typeface="Arial" panose="020B0604020202020204" pitchFamily="34" charset="0"/>
              <a:cs typeface="Arial" panose="020B0604020202020204" pitchFamily="34" charset="0"/>
            </a:rPr>
            <a:t>Link up EBITDA</a:t>
          </a:r>
          <a:r>
            <a:rPr lang="en-GB" sz="1100" b="0" u="none" baseline="0">
              <a:latin typeface="Arial" panose="020B0604020202020204" pitchFamily="34" charset="0"/>
              <a:cs typeface="Arial" panose="020B0604020202020204" pitchFamily="34" charset="0"/>
            </a:rPr>
            <a:t>, Taxes and Dividends from the P&amp;L (ensure the right sign for dividends given it takes cash away from the business). For Change in NWC, use the % of revenue assumption to calculate the figure for each year. For Net Interest, calculate Interest Expense (opening debt x debt interest rate --&gt; should be negative) and Interest Income (opening cash x cash interest rate), and sum them together. For Net Capex, use the % of revenue assumption to calculate the figure for each year.</a:t>
          </a:r>
          <a:br>
            <a:rPr lang="en-GB" sz="1100" b="0" u="none" baseline="0">
              <a:latin typeface="Arial" panose="020B0604020202020204" pitchFamily="34" charset="0"/>
              <a:cs typeface="Arial" panose="020B0604020202020204" pitchFamily="34" charset="0"/>
            </a:rPr>
          </a:br>
          <a:r>
            <a:rPr lang="en-GB" sz="1100" b="0" u="none" baseline="0">
              <a:latin typeface="Arial" panose="020B0604020202020204" pitchFamily="34" charset="0"/>
              <a:cs typeface="Arial" panose="020B0604020202020204" pitchFamily="34" charset="0"/>
            </a:rPr>
            <a:t/>
          </a:r>
          <a:br>
            <a:rPr lang="en-GB" sz="1100" b="0" u="none" baseline="0">
              <a:latin typeface="Arial" panose="020B0604020202020204" pitchFamily="34" charset="0"/>
              <a:cs typeface="Arial" panose="020B0604020202020204" pitchFamily="34" charset="0"/>
            </a:rPr>
          </a:br>
          <a:r>
            <a:rPr lang="en-GB" sz="1100" b="0" u="none" baseline="0">
              <a:latin typeface="Arial" panose="020B0604020202020204" pitchFamily="34" charset="0"/>
              <a:cs typeface="Arial" panose="020B0604020202020204" pitchFamily="34" charset="0"/>
            </a:rPr>
            <a:t>Thereafter, sum all of the aforementioned line items to calculate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10</xdr:row>
      <xdr:rowOff>68036</xdr:rowOff>
    </xdr:from>
    <xdr:to>
      <xdr:col>17</xdr:col>
      <xdr:colOff>1162052</xdr:colOff>
      <xdr:row>12</xdr:row>
      <xdr:rowOff>149678</xdr:rowOff>
    </xdr:to>
    <xdr:sp macro="" textlink="">
      <xdr:nvSpPr>
        <xdr:cNvPr id="5" name="Rectangle: Rounded Corners 4">
          <a:extLst>
            <a:ext uri="{FF2B5EF4-FFF2-40B4-BE49-F238E27FC236}">
              <a16:creationId xmlns:a16="http://schemas.microsoft.com/office/drawing/2014/main" xmlns="" id="{7585B840-8F01-4223-A933-960F11E94C67}"/>
            </a:ext>
          </a:extLst>
        </xdr:cNvPr>
        <xdr:cNvSpPr/>
      </xdr:nvSpPr>
      <xdr:spPr>
        <a:xfrm>
          <a:off x="13634357" y="2217965"/>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a:t>
          </a:r>
          <a:r>
            <a:rPr lang="en-GB" sz="1100" b="1" u="none" baseline="0">
              <a:latin typeface="Arial" panose="020B0604020202020204" pitchFamily="34" charset="0"/>
              <a:cs typeface="Arial" panose="020B0604020202020204" pitchFamily="34" charset="0"/>
            </a:rPr>
            <a:t> Paydown</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Come up with a formula that takes into account</a:t>
          </a:r>
          <a:r>
            <a:rPr lang="en-GB" sz="1100" b="0" u="none" baseline="0">
              <a:latin typeface="Arial" panose="020B0604020202020204" pitchFamily="34" charset="0"/>
              <a:cs typeface="Arial" panose="020B0604020202020204" pitchFamily="34" charset="0"/>
            </a:rPr>
            <a:t> the client's wishes to use all excess net cash flow to pay down debt. HINT: Use a formula that ensures that the company pays down the entirety of its debt if it has the excess net cash flow to do so, or in the alternative, pays down whatever it can with that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14</xdr:row>
      <xdr:rowOff>1</xdr:rowOff>
    </xdr:from>
    <xdr:to>
      <xdr:col>17</xdr:col>
      <xdr:colOff>1162052</xdr:colOff>
      <xdr:row>16</xdr:row>
      <xdr:rowOff>81643</xdr:rowOff>
    </xdr:to>
    <xdr:sp macro="" textlink="">
      <xdr:nvSpPr>
        <xdr:cNvPr id="6" name="Rectangle: Rounded Corners 5">
          <a:extLst>
            <a:ext uri="{FF2B5EF4-FFF2-40B4-BE49-F238E27FC236}">
              <a16:creationId xmlns:a16="http://schemas.microsoft.com/office/drawing/2014/main" xmlns="" id="{CD6045E0-4AD1-4C80-BF57-22E9CF060DDD}"/>
            </a:ext>
          </a:extLst>
        </xdr:cNvPr>
        <xdr:cNvSpPr/>
      </xdr:nvSpPr>
      <xdr:spPr>
        <a:xfrm>
          <a:off x="13634357" y="2911930"/>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a:t>
          </a:r>
          <a:r>
            <a:rPr lang="en-GB" sz="1100" b="0" u="none">
              <a:latin typeface="Arial" panose="020B0604020202020204" pitchFamily="34" charset="0"/>
              <a:cs typeface="Arial" panose="020B0604020202020204" pitchFamily="34" charset="0"/>
            </a:rPr>
            <a:t>Ensure closing cash in one period is the opening balance in the next period. Additionally, link up cash to balance sheet</a:t>
          </a:r>
          <a:r>
            <a:rPr lang="en-GB" sz="1100" b="0" u="none" baseline="0">
              <a:latin typeface="Arial" panose="020B0604020202020204" pitchFamily="34" charset="0"/>
              <a:cs typeface="Arial" panose="020B0604020202020204" pitchFamily="34" charset="0"/>
            </a:rPr>
            <a:t> from the schedule above. Lastly, calculate closing cash for each period.</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20</xdr:row>
      <xdr:rowOff>27215</xdr:rowOff>
    </xdr:from>
    <xdr:to>
      <xdr:col>17</xdr:col>
      <xdr:colOff>1162052</xdr:colOff>
      <xdr:row>22</xdr:row>
      <xdr:rowOff>108857</xdr:rowOff>
    </xdr:to>
    <xdr:sp macro="" textlink="">
      <xdr:nvSpPr>
        <xdr:cNvPr id="7" name="Rectangle: Rounded Corners 6">
          <a:extLst>
            <a:ext uri="{FF2B5EF4-FFF2-40B4-BE49-F238E27FC236}">
              <a16:creationId xmlns:a16="http://schemas.microsoft.com/office/drawing/2014/main" xmlns="" id="{FB61BEF9-EF76-45E7-B835-F98131A96AB4}"/>
            </a:ext>
          </a:extLst>
        </xdr:cNvPr>
        <xdr:cNvSpPr/>
      </xdr:nvSpPr>
      <xdr:spPr>
        <a:xfrm>
          <a:off x="13634357" y="4082144"/>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 </a:t>
          </a:r>
          <a:r>
            <a:rPr lang="en-GB" sz="1100" b="0" u="none">
              <a:latin typeface="Arial" panose="020B0604020202020204" pitchFamily="34" charset="0"/>
              <a:cs typeface="Arial" panose="020B0604020202020204" pitchFamily="34" charset="0"/>
            </a:rPr>
            <a:t>Ensure closing debt in one period is the opening balance in the next period. Additionally, link up debt repayment </a:t>
          </a:r>
          <a:r>
            <a:rPr lang="en-GB" sz="1100" b="0" u="none" baseline="0">
              <a:latin typeface="Arial" panose="020B0604020202020204" pitchFamily="34" charset="0"/>
              <a:cs typeface="Arial" panose="020B0604020202020204" pitchFamily="34" charset="0"/>
            </a:rPr>
            <a:t>from the schedule above. Lastly, calculate closing debt for each period.</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id="1" name="Table1" displayName="Table1" ref="B3:C16" totalsRowShown="0" headerRowDxfId="5" headerRowBorderDxfId="4" tableBorderDxfId="3" totalsRowBorderDxfId="2">
  <autoFilter ref="B3:C16"/>
  <sortState ref="B4:C16">
    <sortCondition ref="B3:B16"/>
  </sortState>
  <tableColumns count="2">
    <tableColumn id="1" name="Term" dataDxfId="1"/>
    <tableColumn id="2"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7"/>
  <sheetViews>
    <sheetView showGridLines="0" topLeftCell="A6"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51" t="s">
        <v>32</v>
      </c>
      <c r="C4" s="52" t="s">
        <v>47</v>
      </c>
    </row>
    <row r="5" spans="2:3" ht="26.4" x14ac:dyDescent="0.25">
      <c r="B5" s="51" t="s">
        <v>34</v>
      </c>
      <c r="C5" s="52" t="s">
        <v>46</v>
      </c>
    </row>
    <row r="6" spans="2:3" ht="52.8" x14ac:dyDescent="0.25">
      <c r="B6" s="51" t="s">
        <v>13</v>
      </c>
      <c r="C6" s="52" t="s">
        <v>85</v>
      </c>
    </row>
    <row r="7" spans="2:3" ht="26.4" x14ac:dyDescent="0.25">
      <c r="B7" s="51" t="s">
        <v>31</v>
      </c>
      <c r="C7" s="52" t="s">
        <v>48</v>
      </c>
    </row>
    <row r="8" spans="2:3" ht="66" x14ac:dyDescent="0.25">
      <c r="B8" s="51" t="s">
        <v>38</v>
      </c>
      <c r="C8" s="52" t="s">
        <v>40</v>
      </c>
    </row>
    <row r="9" spans="2:3" ht="105.6" x14ac:dyDescent="0.25">
      <c r="B9" s="51" t="s">
        <v>4</v>
      </c>
      <c r="C9" s="52" t="s">
        <v>50</v>
      </c>
    </row>
    <row r="10" spans="2:3" ht="52.8" x14ac:dyDescent="0.25">
      <c r="B10" s="51" t="s">
        <v>5</v>
      </c>
      <c r="C10" s="52" t="s">
        <v>49</v>
      </c>
    </row>
    <row r="11" spans="2:3" ht="52.8" x14ac:dyDescent="0.25">
      <c r="B11" s="51" t="s">
        <v>86</v>
      </c>
      <c r="C11" s="52" t="s">
        <v>41</v>
      </c>
    </row>
    <row r="12" spans="2:3" ht="39.6" x14ac:dyDescent="0.25">
      <c r="B12" s="51" t="s">
        <v>26</v>
      </c>
      <c r="C12" s="52" t="s">
        <v>42</v>
      </c>
    </row>
    <row r="13" spans="2:3" ht="211.2" x14ac:dyDescent="0.25">
      <c r="B13" s="51" t="s">
        <v>35</v>
      </c>
      <c r="C13" s="52" t="s">
        <v>45</v>
      </c>
    </row>
    <row r="14" spans="2:3" ht="52.8" x14ac:dyDescent="0.25">
      <c r="B14" s="51" t="s">
        <v>21</v>
      </c>
      <c r="C14" s="52" t="s">
        <v>87</v>
      </c>
    </row>
    <row r="15" spans="2:3" ht="52.8" x14ac:dyDescent="0.25">
      <c r="B15" s="51" t="s">
        <v>25</v>
      </c>
      <c r="C15" s="52" t="s">
        <v>43</v>
      </c>
    </row>
    <row r="16" spans="2:3" ht="52.8" x14ac:dyDescent="0.25">
      <c r="B16" s="51" t="s">
        <v>39</v>
      </c>
      <c r="C16" s="52"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showGridLines="0" zoomScaleNormal="100" zoomScaleSheetLayoutView="70" workbookViewId="0">
      <pane xSplit="3" ySplit="3" topLeftCell="E31" activePane="bottomRight" state="frozenSplit"/>
      <selection pane="topRight" activeCell="C1" sqref="C1"/>
      <selection pane="bottomLeft" activeCell="A3" sqref="A3"/>
      <selection pane="bottomRight" activeCell="E39" sqref="E39"/>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82</v>
      </c>
      <c r="C37" s="15" t="s">
        <v>23</v>
      </c>
      <c r="D37" s="19"/>
      <c r="E37" s="4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43">
        <f>-1%</f>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zoomScaleNormal="100" zoomScaleSheetLayoutView="70" workbookViewId="0">
      <pane xSplit="3" ySplit="3" topLeftCell="E16" activePane="bottomRight" state="frozenSplit"/>
      <selection pane="topRight" activeCell="C1" sqref="C1"/>
      <selection pane="bottomLeft" activeCell="A3" sqref="A3"/>
      <selection pane="bottomRight" activeCell="E28" sqref="E28:I28"/>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57</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5" t="s">
        <v>58</v>
      </c>
      <c r="C5" s="36"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5" t="s">
        <v>59</v>
      </c>
      <c r="C6" s="36"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5" t="s">
        <v>60</v>
      </c>
      <c r="C7" s="36"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61</v>
      </c>
      <c r="C8" s="25" t="s">
        <v>11</v>
      </c>
      <c r="D8" s="34"/>
      <c r="E8" s="44">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62</v>
      </c>
      <c r="C9" s="15" t="s">
        <v>1</v>
      </c>
      <c r="E9" s="33"/>
      <c r="F9" s="32">
        <f t="shared" ref="F9:I9" si="2">F8/E8-1</f>
        <v>0.14399999999999991</v>
      </c>
      <c r="G9" s="32">
        <f t="shared" si="2"/>
        <v>0.13360000000000016</v>
      </c>
      <c r="H9" s="32">
        <f t="shared" si="2"/>
        <v>0.1232000000000002</v>
      </c>
      <c r="I9" s="32">
        <f t="shared" si="2"/>
        <v>0.11280000000000023</v>
      </c>
    </row>
    <row r="11" spans="2:9" ht="15" customHeight="1" x14ac:dyDescent="0.25">
      <c r="B11" s="35" t="s">
        <v>63</v>
      </c>
      <c r="C11" s="36"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5" t="s">
        <v>64</v>
      </c>
      <c r="C12" s="36"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5" t="s">
        <v>65</v>
      </c>
      <c r="C13" s="36"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66</v>
      </c>
      <c r="C14" s="25" t="s">
        <v>11</v>
      </c>
      <c r="D14" s="34"/>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5" t="s">
        <v>17</v>
      </c>
      <c r="C17" s="36"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5" t="s">
        <v>19</v>
      </c>
      <c r="C18" s="36"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5" t="s">
        <v>18</v>
      </c>
      <c r="C19" s="36"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5" t="s">
        <v>20</v>
      </c>
      <c r="C20" s="36"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5">
      <c r="B22" s="27" t="s">
        <v>67</v>
      </c>
      <c r="C22" s="15" t="s">
        <v>1</v>
      </c>
      <c r="E22" s="32">
        <f>E21/E$8</f>
        <v>0.3219858156028369</v>
      </c>
      <c r="F22" s="32">
        <f t="shared" ref="F22:I22" si="6">F21/F$8</f>
        <v>0.35659872042850765</v>
      </c>
      <c r="G22" s="32">
        <f t="shared" si="6"/>
        <v>0.38621188399582213</v>
      </c>
      <c r="H22" s="32">
        <f t="shared" si="6"/>
        <v>0.41159441440676897</v>
      </c>
      <c r="I22" s="32">
        <f t="shared" si="6"/>
        <v>0.43335260928901498</v>
      </c>
    </row>
    <row r="24" spans="2:10" ht="15" customHeight="1" x14ac:dyDescent="0.25">
      <c r="B24" s="35" t="s">
        <v>68</v>
      </c>
      <c r="C24" s="36"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5"/>
    </row>
    <row r="25" spans="2:10" ht="15" customHeight="1" x14ac:dyDescent="0.2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5"/>
    </row>
    <row r="26" spans="2:10" ht="15" customHeight="1" x14ac:dyDescent="0.25">
      <c r="B26" s="27" t="s">
        <v>67</v>
      </c>
      <c r="C26" s="15" t="s">
        <v>1</v>
      </c>
      <c r="E26" s="32">
        <f>E25/E$8</f>
        <v>0.27198581560283686</v>
      </c>
      <c r="F26" s="32">
        <f t="shared" ref="F26:I26" si="8">F25/F$8</f>
        <v>0.30909872042850767</v>
      </c>
      <c r="G26" s="32">
        <f t="shared" si="8"/>
        <v>0.34121188399582214</v>
      </c>
      <c r="H26" s="32">
        <f t="shared" si="8"/>
        <v>0.36909441440676899</v>
      </c>
      <c r="I26" s="32">
        <f t="shared" si="8"/>
        <v>0.393352609289015</v>
      </c>
      <c r="J26" s="35"/>
    </row>
    <row r="28" spans="2:10" ht="15" customHeight="1" x14ac:dyDescent="0.25">
      <c r="B28" s="4" t="s">
        <v>70</v>
      </c>
      <c r="C28" s="15" t="s">
        <v>11</v>
      </c>
      <c r="E28" s="45">
        <v>-15850</v>
      </c>
      <c r="F28" s="45">
        <v>-14342.28</v>
      </c>
      <c r="G28" s="45">
        <v>-12087.499248</v>
      </c>
      <c r="H28" s="45">
        <v>-8993.5312880256006</v>
      </c>
      <c r="I28" s="45">
        <v>-4973.1416034405565</v>
      </c>
    </row>
    <row r="29" spans="2:10" ht="15" customHeight="1" x14ac:dyDescent="0.25">
      <c r="B29" s="24" t="s">
        <v>71</v>
      </c>
      <c r="C29" s="25" t="s">
        <v>11</v>
      </c>
      <c r="D29" s="26"/>
      <c r="E29" s="26">
        <f t="shared" ref="E29" si="9">SUM(E25,E28)</f>
        <v>175900</v>
      </c>
      <c r="F29" s="26">
        <f>SUM(F25,F28)</f>
        <v>234952.02</v>
      </c>
      <c r="G29" s="26">
        <f t="shared" ref="G29:I29" si="10">SUM(G25,G28)</f>
        <v>299872.65571200004</v>
      </c>
      <c r="H29" s="26">
        <f t="shared" si="10"/>
        <v>370032.94365930255</v>
      </c>
      <c r="I29" s="26">
        <f t="shared" si="10"/>
        <v>444528.44173824223</v>
      </c>
    </row>
    <row r="30" spans="2:10" ht="15" customHeight="1" x14ac:dyDescent="0.25">
      <c r="B30" s="27" t="s">
        <v>67</v>
      </c>
      <c r="C30" s="15" t="s">
        <v>1</v>
      </c>
      <c r="E30" s="28">
        <f>E29/E$8</f>
        <v>0.24950354609929079</v>
      </c>
      <c r="F30" s="28">
        <f t="shared" ref="F30:I30" si="11">F29/F$8</f>
        <v>0.29131580122005651</v>
      </c>
      <c r="G30" s="28">
        <f t="shared" si="11"/>
        <v>0.3279909699603839</v>
      </c>
      <c r="H30" s="28">
        <f t="shared" si="11"/>
        <v>0.36033655081778337</v>
      </c>
      <c r="I30" s="28">
        <f t="shared" si="11"/>
        <v>0.38900068195755971</v>
      </c>
    </row>
    <row r="32" spans="2:10" ht="15" customHeight="1" x14ac:dyDescent="0.25">
      <c r="B32" s="35" t="s">
        <v>72</v>
      </c>
      <c r="C32" s="36" t="s">
        <v>11</v>
      </c>
      <c r="E32" s="30">
        <f>-'Forecast Assumptions'!E43*'P&amp;L Forecast'!E29</f>
        <v>-36939</v>
      </c>
      <c r="F32" s="30">
        <f>-'Forecast Assumptions'!F43*'P&amp;L Forecast'!F29</f>
        <v>-49339.924199999994</v>
      </c>
      <c r="G32" s="30">
        <f>-'Forecast Assumptions'!G43*'P&amp;L Forecast'!G29</f>
        <v>-62973.257699520007</v>
      </c>
      <c r="H32" s="30">
        <f>-'Forecast Assumptions'!H43*'P&amp;L Forecast'!H29</f>
        <v>-77706.918168453529</v>
      </c>
      <c r="I32" s="30">
        <f>-'Forecast Assumptions'!I43*'P&amp;L Forecast'!I29</f>
        <v>-93350.972765030863</v>
      </c>
    </row>
    <row r="33" spans="1:9" ht="15" customHeight="1" x14ac:dyDescent="0.25">
      <c r="B33" s="24" t="s">
        <v>73</v>
      </c>
      <c r="C33" s="25" t="s">
        <v>11</v>
      </c>
      <c r="D33" s="26"/>
      <c r="E33" s="31">
        <f t="shared" ref="E33" si="12">SUM(E29,E32)</f>
        <v>138961</v>
      </c>
      <c r="F33" s="31">
        <f>SUM(F29,F32)</f>
        <v>185612.09580000001</v>
      </c>
      <c r="G33" s="31">
        <f t="shared" ref="G33:I33" si="13">SUM(G29,G32)</f>
        <v>236899.39801248003</v>
      </c>
      <c r="H33" s="31">
        <f t="shared" si="13"/>
        <v>292326.02549084905</v>
      </c>
      <c r="I33" s="31">
        <f t="shared" si="13"/>
        <v>351177.46897321136</v>
      </c>
    </row>
    <row r="34" spans="1:9" ht="15" customHeight="1" x14ac:dyDescent="0.25">
      <c r="B34" s="27" t="s">
        <v>67</v>
      </c>
      <c r="C34" s="15" t="s">
        <v>1</v>
      </c>
      <c r="E34" s="32">
        <f>E33/E$8</f>
        <v>0.19710780141843973</v>
      </c>
      <c r="F34" s="32">
        <f t="shared" ref="F34:I34" si="14">F33/F$8</f>
        <v>0.23013948296384468</v>
      </c>
      <c r="G34" s="32">
        <f t="shared" si="14"/>
        <v>0.25911286626870328</v>
      </c>
      <c r="H34" s="32">
        <f t="shared" si="14"/>
        <v>0.28466587514604891</v>
      </c>
      <c r="I34" s="32">
        <f t="shared" si="14"/>
        <v>0.30731053874647218</v>
      </c>
    </row>
    <row r="36" spans="1:9" ht="15" customHeight="1" x14ac:dyDescent="0.25">
      <c r="B36" s="35" t="s">
        <v>38</v>
      </c>
      <c r="C36" s="36" t="s">
        <v>1</v>
      </c>
      <c r="E36" s="37">
        <f>'Forecast Assumptions'!E39</f>
        <v>0.6</v>
      </c>
      <c r="F36" s="37">
        <f>'Forecast Assumptions'!F39</f>
        <v>0.6</v>
      </c>
      <c r="G36" s="37">
        <f>'Forecast Assumptions'!G39</f>
        <v>0.6</v>
      </c>
      <c r="H36" s="37">
        <f>'Forecast Assumptions'!H39</f>
        <v>0.6</v>
      </c>
      <c r="I36" s="37">
        <f>'Forecast Assumptions'!I39</f>
        <v>0.6</v>
      </c>
    </row>
    <row r="37" spans="1:9" ht="15" customHeight="1" x14ac:dyDescent="0.25">
      <c r="B37" s="24" t="s">
        <v>74</v>
      </c>
      <c r="C37" s="25" t="s">
        <v>11</v>
      </c>
      <c r="D37" s="26"/>
      <c r="E37" s="31">
        <f t="shared" ref="E37:I37" si="15">E33*E36</f>
        <v>83376.599999999991</v>
      </c>
      <c r="F37" s="31">
        <f t="shared" si="15"/>
        <v>111367.25748</v>
      </c>
      <c r="G37" s="31">
        <f t="shared" si="15"/>
        <v>142139.63880748802</v>
      </c>
      <c r="H37" s="31">
        <f t="shared" si="15"/>
        <v>175395.61529450942</v>
      </c>
      <c r="I37" s="31">
        <f t="shared" si="15"/>
        <v>210706.48138392682</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tabSelected="1" zoomScaleNormal="100" zoomScaleSheetLayoutView="70" workbookViewId="0">
      <pane xSplit="3" ySplit="3" topLeftCell="E7" activePane="bottomRight" state="frozenSplit"/>
      <selection pane="topRight" activeCell="C1" sqref="C1"/>
      <selection pane="bottomLeft" activeCell="A3" sqref="A3"/>
      <selection pane="bottomRight" activeCell="C34" sqref="C3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10" s="1" customFormat="1" ht="35.25" customHeight="1" x14ac:dyDescent="0.3">
      <c r="B1" s="6" t="s">
        <v>75</v>
      </c>
      <c r="C1" s="2"/>
      <c r="D1" s="2"/>
      <c r="E1" s="2"/>
    </row>
    <row r="3" spans="2:10"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10" ht="15" customHeight="1" x14ac:dyDescent="0.25">
      <c r="D4" s="17"/>
      <c r="E4" s="17"/>
      <c r="F4" s="17"/>
      <c r="G4" s="17"/>
      <c r="H4" s="17"/>
      <c r="I4" s="17"/>
    </row>
    <row r="5" spans="2:10" ht="15" customHeight="1" x14ac:dyDescent="0.25">
      <c r="B5" s="24" t="s">
        <v>4</v>
      </c>
      <c r="C5" s="25" t="s">
        <v>11</v>
      </c>
      <c r="D5" s="26"/>
      <c r="E5" s="31">
        <v>227000</v>
      </c>
      <c r="F5" s="31">
        <v>287604</v>
      </c>
      <c r="G5" s="31">
        <v>353102.35320000001</v>
      </c>
      <c r="H5" s="31">
        <v>422670.11884032015</v>
      </c>
      <c r="I5" s="31">
        <v>495211.36868203245</v>
      </c>
    </row>
    <row r="6" spans="2:10" ht="15" customHeight="1" x14ac:dyDescent="0.25">
      <c r="B6" s="35" t="s">
        <v>72</v>
      </c>
      <c r="C6" s="36" t="s">
        <v>11</v>
      </c>
      <c r="E6" s="30">
        <f>'P&amp;L Forecast'!E32</f>
        <v>-36939</v>
      </c>
      <c r="F6" s="30">
        <f>'P&amp;L Forecast'!F32</f>
        <v>-49339.924199999994</v>
      </c>
      <c r="G6" s="30">
        <f>'P&amp;L Forecast'!G32</f>
        <v>-62973.257699520007</v>
      </c>
      <c r="H6" s="30">
        <f>'P&amp;L Forecast'!H32</f>
        <v>-77706.918168453529</v>
      </c>
      <c r="I6" s="30">
        <f>'P&amp;L Forecast'!I32</f>
        <v>-93350.972765030863</v>
      </c>
    </row>
    <row r="7" spans="2:10" ht="15" customHeight="1" x14ac:dyDescent="0.25">
      <c r="B7" s="35" t="s">
        <v>89</v>
      </c>
      <c r="C7" s="36" t="s">
        <v>11</v>
      </c>
      <c r="E7" s="53">
        <f>'P&amp;L Forecast'!E37*-1</f>
        <v>-83376.599999999991</v>
      </c>
      <c r="F7" s="30">
        <f>'P&amp;L Forecast'!F37*-1</f>
        <v>-111367.25748</v>
      </c>
      <c r="G7" s="30">
        <f>'P&amp;L Forecast'!G37*-1</f>
        <v>-142139.63880748802</v>
      </c>
      <c r="H7" s="30">
        <f>'P&amp;L Forecast'!H37*-1</f>
        <v>-175395.61529450942</v>
      </c>
      <c r="I7" s="30">
        <f>'P&amp;L Forecast'!I37*-1</f>
        <v>-210706.48138392682</v>
      </c>
    </row>
    <row r="8" spans="2:10" ht="15" customHeight="1" x14ac:dyDescent="0.25">
      <c r="B8" s="35" t="s">
        <v>54</v>
      </c>
      <c r="C8" s="36" t="s">
        <v>11</v>
      </c>
      <c r="D8" s="19"/>
      <c r="E8" s="54">
        <f>'Forecast Assumptions'!E38*'P&amp;L Forecast'!E8</f>
        <v>-7050</v>
      </c>
      <c r="F8" s="55">
        <f>'Forecast Assumptions'!F38*'P&amp;L Forecast'!F8</f>
        <v>-8065.2</v>
      </c>
      <c r="G8" s="55">
        <f>'Forecast Assumptions'!G38*'P&amp;L Forecast'!G8</f>
        <v>-9142.7107200000009</v>
      </c>
      <c r="H8" s="55">
        <f>'Forecast Assumptions'!H38*'P&amp;L Forecast'!H8</f>
        <v>-10269.092680704003</v>
      </c>
      <c r="I8" s="55">
        <f>'Forecast Assumptions'!I38*'P&amp;L Forecast'!I8</f>
        <v>-11427.446335087419</v>
      </c>
    </row>
    <row r="9" spans="2:10" ht="15" customHeight="1" x14ac:dyDescent="0.25">
      <c r="B9" s="35" t="s">
        <v>70</v>
      </c>
      <c r="C9" s="36" t="s">
        <v>11</v>
      </c>
      <c r="D9" s="39"/>
      <c r="E9" s="45">
        <f>('Cash Flow Forecast'!E15*'Forecast Assumptions'!E45)-('Forecast Assumptions'!E44*'Cash Flow Forecast'!E21)</f>
        <v>-15850</v>
      </c>
      <c r="F9" s="45">
        <f>('Cash Flow Forecast'!F15*'Forecast Assumptions'!F45)-('Forecast Assumptions'!F44*'Cash Flow Forecast'!F21)</f>
        <v>-13908.624</v>
      </c>
      <c r="G9" s="45">
        <f>('Cash Flow Forecast'!G15*'Forecast Assumptions'!G45)-('Forecast Assumptions'!G44*'Cash Flow Forecast'!G21)</f>
        <v>-11244.092227200001</v>
      </c>
      <c r="H9" s="45">
        <f>('Cash Flow Forecast'!H15*'Forecast Assumptions'!H45)-('Forecast Assumptions'!H44*'Cash Flow Forecast'!H21)</f>
        <v>-7785.6740069683201</v>
      </c>
      <c r="I9" s="45">
        <f>('Cash Flow Forecast'!I15*'Forecast Assumptions'!I45)-('Forecast Assumptions'!I44*'Cash Flow Forecast'!I21)</f>
        <v>-3470.907015100604</v>
      </c>
    </row>
    <row r="10" spans="2:10" ht="15" customHeight="1" x14ac:dyDescent="0.25">
      <c r="B10" s="35" t="s">
        <v>88</v>
      </c>
      <c r="C10" s="36" t="s">
        <v>11</v>
      </c>
      <c r="D10" s="39"/>
      <c r="E10" s="30">
        <f>'Forecast Assumptions'!E37*'P&amp;L Forecast'!E8</f>
        <v>-35250</v>
      </c>
      <c r="F10" s="30">
        <f>'Forecast Assumptions'!F37*'P&amp;L Forecast'!F8</f>
        <v>-38309.699999999997</v>
      </c>
      <c r="G10" s="30">
        <f>'Forecast Assumptions'!G37*'P&amp;L Forecast'!G8</f>
        <v>-41142.198240000005</v>
      </c>
      <c r="H10" s="30">
        <f>'Forecast Assumptions'!H37*'P&amp;L Forecast'!H8</f>
        <v>-43643.643892992011</v>
      </c>
      <c r="I10" s="30">
        <f>'Forecast Assumptions'!I37*'P&amp;L Forecast'!I8</f>
        <v>-45709.78534034967</v>
      </c>
    </row>
    <row r="11" spans="2:10" ht="15" customHeight="1" x14ac:dyDescent="0.25">
      <c r="B11" s="24" t="s">
        <v>76</v>
      </c>
      <c r="C11" s="25" t="s">
        <v>11</v>
      </c>
      <c r="D11" s="40"/>
      <c r="E11" s="42">
        <f>SUM(E5:E10)</f>
        <v>48534.400000000009</v>
      </c>
      <c r="F11" s="42">
        <f t="shared" ref="E11:I11" si="1">SUM(F5:F10)</f>
        <v>66613.294320000001</v>
      </c>
      <c r="G11" s="42">
        <f t="shared" si="1"/>
        <v>86460.455505791993</v>
      </c>
      <c r="H11" s="42">
        <f t="shared" si="1"/>
        <v>107869.1747966929</v>
      </c>
      <c r="I11" s="42">
        <f>SUM(I5:I10)</f>
        <v>130545.77584253707</v>
      </c>
    </row>
    <row r="12" spans="2:10" ht="15" customHeight="1" x14ac:dyDescent="0.25">
      <c r="B12" s="49" t="s">
        <v>81</v>
      </c>
      <c r="C12" s="46" t="s">
        <v>11</v>
      </c>
      <c r="D12" s="48"/>
      <c r="E12" s="50">
        <f>IF(E21&gt;E11,-E11,-E21)</f>
        <v>-48534.400000000009</v>
      </c>
      <c r="F12" s="50">
        <f>IF(F21&gt;F11,-F11,-F21)</f>
        <v>-66613.294320000001</v>
      </c>
      <c r="G12" s="50">
        <f>IF(G21&gt;G11,-G11,-G21)</f>
        <v>-86460.455505791993</v>
      </c>
      <c r="H12" s="50">
        <f t="shared" ref="F12:I12" si="2">IF(H21&gt;H11,-H11,-H21)</f>
        <v>-107869.1747966929</v>
      </c>
      <c r="I12" s="50">
        <f>IF(I21&gt;I11,-I11,-I21)</f>
        <v>-90522.675377515101</v>
      </c>
    </row>
    <row r="13" spans="2:10" ht="15" customHeight="1" x14ac:dyDescent="0.25">
      <c r="B13" s="24" t="s">
        <v>83</v>
      </c>
      <c r="C13" s="25" t="s">
        <v>11</v>
      </c>
      <c r="D13" s="40"/>
      <c r="E13" s="41">
        <f>SUM(E11:E12)</f>
        <v>0</v>
      </c>
      <c r="F13" s="41">
        <f t="shared" ref="F13:I13" si="3">SUM(F11:F12)</f>
        <v>0</v>
      </c>
      <c r="G13" s="41">
        <f t="shared" si="3"/>
        <v>0</v>
      </c>
      <c r="H13" s="41">
        <f t="shared" si="3"/>
        <v>0</v>
      </c>
      <c r="I13" s="41">
        <f>SUM(I11:I12)</f>
        <v>40023.100465021969</v>
      </c>
    </row>
    <row r="15" spans="2:10" ht="15" customHeight="1" x14ac:dyDescent="0.25">
      <c r="B15" s="39" t="s">
        <v>79</v>
      </c>
      <c r="C15" s="46" t="s">
        <v>11</v>
      </c>
      <c r="E15" s="47">
        <f>D17</f>
        <v>15000</v>
      </c>
      <c r="F15" s="47">
        <f t="shared" ref="F15:I15" si="4">E17</f>
        <v>15000</v>
      </c>
      <c r="G15" s="47">
        <f t="shared" si="4"/>
        <v>15000</v>
      </c>
      <c r="H15" s="47">
        <f t="shared" si="4"/>
        <v>15000</v>
      </c>
      <c r="I15" s="47">
        <f t="shared" si="4"/>
        <v>15000</v>
      </c>
    </row>
    <row r="16" spans="2:10" ht="15" customHeight="1" x14ac:dyDescent="0.25">
      <c r="B16" s="39" t="s">
        <v>83</v>
      </c>
      <c r="C16" s="46" t="s">
        <v>11</v>
      </c>
      <c r="E16" s="56">
        <f>E13</f>
        <v>0</v>
      </c>
      <c r="F16" s="56">
        <f t="shared" ref="F16:I16" si="5">F13</f>
        <v>0</v>
      </c>
      <c r="G16" s="56">
        <f t="shared" si="5"/>
        <v>0</v>
      </c>
      <c r="H16" s="56">
        <f t="shared" si="5"/>
        <v>0</v>
      </c>
      <c r="I16" s="56">
        <f>I13</f>
        <v>40023.100465021969</v>
      </c>
      <c r="J16" s="39"/>
    </row>
    <row r="17" spans="1:10" ht="15" customHeight="1" x14ac:dyDescent="0.25">
      <c r="B17" s="24" t="s">
        <v>80</v>
      </c>
      <c r="C17" s="25" t="s">
        <v>11</v>
      </c>
      <c r="D17" s="38">
        <v>15000</v>
      </c>
      <c r="E17" s="47">
        <f>SUM(E15:E16)</f>
        <v>15000</v>
      </c>
      <c r="F17" s="47">
        <f t="shared" ref="F17:I17" si="6">SUM(F15:F16)</f>
        <v>15000</v>
      </c>
      <c r="G17" s="47">
        <f t="shared" si="6"/>
        <v>15000</v>
      </c>
      <c r="H17" s="47">
        <f t="shared" si="6"/>
        <v>15000</v>
      </c>
      <c r="I17" s="47">
        <f t="shared" si="6"/>
        <v>55023.100465021969</v>
      </c>
      <c r="J17" s="39"/>
    </row>
    <row r="18" spans="1:10" ht="15" customHeight="1" x14ac:dyDescent="0.25">
      <c r="D18" s="17"/>
      <c r="E18" s="17"/>
      <c r="F18" s="17"/>
      <c r="G18" s="17"/>
      <c r="H18" s="17"/>
      <c r="I18" s="17"/>
    </row>
    <row r="19" spans="1:10" s="8" customFormat="1" ht="15" customHeight="1" x14ac:dyDescent="0.25">
      <c r="A19" s="7" t="s">
        <v>0</v>
      </c>
      <c r="B19" s="7" t="s">
        <v>77</v>
      </c>
      <c r="D19" s="18"/>
      <c r="E19" s="18"/>
      <c r="F19" s="18"/>
      <c r="G19" s="18"/>
      <c r="H19" s="18"/>
      <c r="I19" s="18"/>
    </row>
    <row r="20" spans="1:10" ht="15" customHeight="1" x14ac:dyDescent="0.25">
      <c r="D20" s="17"/>
      <c r="E20" s="17"/>
      <c r="F20" s="17"/>
      <c r="G20" s="17"/>
      <c r="H20" s="17"/>
      <c r="I20" s="17"/>
    </row>
    <row r="21" spans="1:10" ht="15" customHeight="1" x14ac:dyDescent="0.25">
      <c r="B21" s="4" t="s">
        <v>78</v>
      </c>
      <c r="C21" s="15" t="s">
        <v>11</v>
      </c>
      <c r="E21" s="47">
        <f>D23</f>
        <v>400000</v>
      </c>
      <c r="F21" s="47">
        <f t="shared" ref="F21:I21" si="7">E23</f>
        <v>351465.6</v>
      </c>
      <c r="G21" s="47">
        <f t="shared" si="7"/>
        <v>284852.30567999999</v>
      </c>
      <c r="H21" s="47">
        <f t="shared" si="7"/>
        <v>198391.850174208</v>
      </c>
      <c r="I21" s="47">
        <f t="shared" si="7"/>
        <v>90522.675377515101</v>
      </c>
    </row>
    <row r="22" spans="1:10" ht="15" customHeight="1" x14ac:dyDescent="0.25">
      <c r="B22" s="4" t="s">
        <v>81</v>
      </c>
      <c r="C22" s="15" t="s">
        <v>11</v>
      </c>
      <c r="E22" s="47">
        <f>E12</f>
        <v>-48534.400000000009</v>
      </c>
      <c r="F22" s="47">
        <f t="shared" ref="F22:I22" si="8">F12</f>
        <v>-66613.294320000001</v>
      </c>
      <c r="G22" s="47">
        <f t="shared" si="8"/>
        <v>-86460.455505791993</v>
      </c>
      <c r="H22" s="47">
        <f t="shared" si="8"/>
        <v>-107869.1747966929</v>
      </c>
      <c r="I22" s="47">
        <f t="shared" si="8"/>
        <v>-90522.675377515101</v>
      </c>
      <c r="J22" s="39"/>
    </row>
    <row r="23" spans="1:10" ht="15" customHeight="1" x14ac:dyDescent="0.25">
      <c r="B23" s="24" t="s">
        <v>84</v>
      </c>
      <c r="C23" s="25" t="s">
        <v>11</v>
      </c>
      <c r="D23" s="38">
        <v>400000</v>
      </c>
      <c r="E23" s="42">
        <f>SUM(E21:E22)</f>
        <v>351465.6</v>
      </c>
      <c r="F23" s="42">
        <f t="shared" ref="F23:I23" si="9">SUM(F21:F22)</f>
        <v>284852.30567999999</v>
      </c>
      <c r="G23" s="42">
        <f t="shared" si="9"/>
        <v>198391.850174208</v>
      </c>
      <c r="H23" s="42">
        <f t="shared" si="9"/>
        <v>90522.675377515101</v>
      </c>
      <c r="I23" s="42">
        <f t="shared" si="9"/>
        <v>0</v>
      </c>
      <c r="J23" s="39"/>
    </row>
    <row r="24" spans="1:10" ht="15" customHeight="1" x14ac:dyDescent="0.25">
      <c r="D24" s="17"/>
      <c r="E24" s="17"/>
      <c r="F24" s="17"/>
      <c r="G24" s="17"/>
      <c r="H24" s="17"/>
      <c r="I24" s="17"/>
    </row>
    <row r="25" spans="1:10" s="3" customFormat="1" ht="15" customHeight="1" x14ac:dyDescent="0.25">
      <c r="A25" s="2" t="s">
        <v>0</v>
      </c>
      <c r="B25"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Glossary</vt:lpstr>
      <vt:lpstr>Forecast Assumptions</vt:lpstr>
      <vt:lpstr>P&amp;L Forecast</vt:lpstr>
      <vt:lpstr>Cash Flow Forecast</vt:lpstr>
      <vt:lpstr>'Cash Flow Forecast'!Print_Area</vt:lpstr>
      <vt:lpstr>'Forecast Assumptions'!Print_Area</vt:lpstr>
      <vt:lpstr>Glossary!Print_Area</vt:lpstr>
      <vt:lpstr>'P&amp;L Forecast'!Print_Area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SINCHANA</cp:lastModifiedBy>
  <dcterms:created xsi:type="dcterms:W3CDTF">2020-07-20T11:12:49Z</dcterms:created>
  <dcterms:modified xsi:type="dcterms:W3CDTF">2023-12-08T20:05:17Z</dcterms:modified>
</cp:coreProperties>
</file>