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codeName="ThisWorkbook" defaultThemeVersion="166925"/>
  <mc:AlternateContent xmlns:mc="http://schemas.openxmlformats.org/markup-compatibility/2006">
    <mc:Choice Requires="x15">
      <x15ac:absPath xmlns:x15ac="http://schemas.microsoft.com/office/spreadsheetml/2010/11/ac" url="https://d.docs.live.net/17825a5f7f74bed9/Desktop/"/>
    </mc:Choice>
  </mc:AlternateContent>
  <xr:revisionPtr revIDLastSave="0" documentId="8_{EDDA42FC-6EE6-4E46-A685-17B4AD518484}" xr6:coauthVersionLast="47" xr6:coauthVersionMax="47" xr10:uidLastSave="{00000000-0000-0000-0000-000000000000}"/>
  <bookViews>
    <workbookView xWindow="-108" yWindow="-108" windowWidth="23256" windowHeight="13896" tabRatio="918" firstSheet="5" activeTab="5" xr2:uid="{00000000-000D-0000-FFFF-FFFF00000000}"/>
  </bookViews>
  <sheets>
    <sheet name="Balance Sheet - As Reported" sheetId="32" state="hidden" r:id="rId1"/>
    <sheet name="Balance Sheet - Standardized" sheetId="36" state="hidden" r:id="rId2"/>
    <sheet name="Cash Flow - As Reported" sheetId="33" state="hidden" r:id="rId3"/>
    <sheet name="Cash Flow - Standardized" sheetId="35" state="hidden" r:id="rId4"/>
    <sheet name="Income - As Reported" sheetId="34" state="hidden" r:id="rId5"/>
    <sheet name="Cover Sheet" sheetId="19" r:id="rId6"/>
    <sheet name="DCF - Financials (old)" sheetId="31" state="hidden" r:id="rId7"/>
    <sheet name="DCF - Assumptions (old)" sheetId="3" state="hidden" r:id="rId8"/>
    <sheet name="DCF - Outputs" sheetId="20" r:id="rId9"/>
    <sheet name="DCF - Assumptions" sheetId="30" r:id="rId10"/>
    <sheet name="DCF - Financials" sheetId="2" r:id="rId11"/>
    <sheet name="DCF - Capital Structure" sheetId="4" r:id="rId12"/>
    <sheet name="DCF - Valuation" sheetId="5" r:id="rId13"/>
    <sheet name="DCF - Assumptions Document" sheetId="6" r:id="rId14"/>
    <sheet name="Comps - Selection" sheetId="37" r:id="rId15"/>
    <sheet name="Comps - Outputs" sheetId="38" r:id="rId16"/>
    <sheet name="Comps - Dataset" sheetId="39" r:id="rId17"/>
    <sheet name="Precedents - Selection" sheetId="40" r:id="rId18"/>
    <sheet name="Precedents - Dataset" sheetId="41" r:id="rId19"/>
    <sheet name="LBO - Outputs" sheetId="21" state="hidden" r:id="rId20"/>
    <sheet name="LBO - Assumptions" sheetId="8" state="hidden" r:id="rId21"/>
    <sheet name="LBO - Financials" sheetId="9" state="hidden" r:id="rId22"/>
    <sheet name="LBO - Assumptions Document" sheetId="10" state="hidden" r:id="rId23"/>
  </sheets>
  <externalReferences>
    <externalReference r:id="rId24"/>
    <externalReference r:id="rId25"/>
    <externalReference r:id="rId26"/>
    <externalReference r:id="rId27"/>
    <externalReference r:id="rId28"/>
    <externalReference r:id="rId29"/>
    <externalReference r:id="rId30"/>
    <externalReference r:id="rId31"/>
  </externalReferences>
  <definedNames>
    <definedName name="__FDS_HYPERLINK_TOGGLE_STATE__" hidden="1">"ON"</definedName>
    <definedName name="__FDS_UNIQUE_RANGE_ID_GENERATOR_COUNTER" hidden="1">92</definedName>
    <definedName name="__FDS_USED_FOR_REUSING_RANGE_IDS_RECYCLE" localSheetId="15" hidden="1">{91}</definedName>
    <definedName name="__FDS_USED_FOR_REUSING_RANGE_IDS_RECYCLE" localSheetId="14" hidden="1">{91}</definedName>
    <definedName name="__FDS_USED_FOR_REUSING_RANGE_IDS_RECYCLE" localSheetId="5" hidden="1">{91}</definedName>
    <definedName name="__FDS_USED_FOR_REUSING_RANGE_IDS_RECYCLE" localSheetId="13" hidden="1">{91}</definedName>
    <definedName name="__FDS_USED_FOR_REUSING_RANGE_IDS_RECYCLE" localSheetId="11" hidden="1">{91}</definedName>
    <definedName name="__FDS_USED_FOR_REUSING_RANGE_IDS_RECYCLE" localSheetId="20" hidden="1">{91}</definedName>
    <definedName name="__FDS_USED_FOR_REUSING_RANGE_IDS_RECYCLE" localSheetId="21" hidden="1">{91}</definedName>
    <definedName name="__FDS_USED_FOR_REUSING_RANGE_IDS_RECYCLE" hidden="1">{91}</definedName>
    <definedName name="_12__FDSAUDITLINK__" localSheetId="15">{"fdsup://Directions/FactSet Auditing Viewer?action=AUDIT_VALUE&amp;DB=129&amp;ID1=45920010&amp;VALUEID=03051&amp;SDATE=2006&amp;PERIODTYPE=ANN_STD&amp;window=popup_no_bar&amp;width=385&amp;height=120&amp;START_MAXIMIZED=FALSE&amp;creator=factset&amp;display_string=Audit"}</definedName>
    <definedName name="_12__FDSAUDITLINK__" localSheetId="14">{"fdsup://Directions/FactSet Auditing Viewer?action=AUDIT_VALUE&amp;DB=129&amp;ID1=45920010&amp;VALUEID=03051&amp;SDATE=2006&amp;PERIODTYPE=ANN_STD&amp;window=popup_no_bar&amp;width=385&amp;height=120&amp;START_MAXIMIZED=FALSE&amp;creator=factset&amp;display_string=Audit"}</definedName>
    <definedName name="_12__FDSAUDITLINK__" localSheetId="5">{"fdsup://Directions/FactSet Auditing Viewer?action=AUDIT_VALUE&amp;DB=129&amp;ID1=45920010&amp;VALUEID=03051&amp;SDATE=2006&amp;PERIODTYPE=ANN_STD&amp;window=popup_no_bar&amp;width=385&amp;height=120&amp;START_MAXIMIZED=FALSE&amp;creator=factset&amp;display_string=Audit"}</definedName>
    <definedName name="_12__FDSAUDITLINK__" localSheetId="13">{"fdsup://Directions/FactSet Auditing Viewer?action=AUDIT_VALUE&amp;DB=129&amp;ID1=45920010&amp;VALUEID=03051&amp;SDATE=2006&amp;PERIODTYPE=ANN_STD&amp;window=popup_no_bar&amp;width=385&amp;height=120&amp;START_MAXIMIZED=FALSE&amp;creator=factset&amp;display_string=Audit"}</definedName>
    <definedName name="_12__FDSAUDITLINK__" localSheetId="11">{"fdsup://Directions/FactSet Auditing Viewer?action=AUDIT_VALUE&amp;DB=129&amp;ID1=45920010&amp;VALUEID=03051&amp;SDATE=2006&amp;PERIODTYPE=ANN_STD&amp;window=popup_no_bar&amp;width=385&amp;height=120&amp;START_MAXIMIZED=FALSE&amp;creator=factset&amp;display_string=Audit"}</definedName>
    <definedName name="_12__FDSAUDITLINK__" localSheetId="20">{"fdsup://Directions/FactSet Auditing Viewer?action=AUDIT_VALUE&amp;DB=129&amp;ID1=45920010&amp;VALUEID=03051&amp;SDATE=2006&amp;PERIODTYPE=ANN_STD&amp;window=popup_no_bar&amp;width=385&amp;height=120&amp;START_MAXIMIZED=FALSE&amp;creator=factset&amp;display_string=Audit"}</definedName>
    <definedName name="_12__FDSAUDITLINK__" localSheetId="21">{"fdsup://Directions/FactSet Auditing Viewer?action=AUDIT_VALUE&amp;DB=129&amp;ID1=45920010&amp;VALUEID=03051&amp;SDATE=2006&amp;PERIODTYPE=ANN_STD&amp;window=popup_no_bar&amp;width=385&amp;height=120&amp;START_MAXIMIZED=FALSE&amp;creator=factset&amp;display_string=Audit"}</definedName>
    <definedName name="_12__FDSAUDITLINK__">{"fdsup://Directions/FactSet Auditing Viewer?action=AUDIT_VALUE&amp;DB=129&amp;ID1=45920010&amp;VALUEID=03051&amp;SDATE=2006&amp;PERIODTYPE=ANN_STD&amp;window=popup_no_bar&amp;width=385&amp;height=120&amp;START_MAXIMIZED=FALSE&amp;creator=factset&amp;display_string=Audit"}</definedName>
    <definedName name="_13__FDSAUDITLINK__" localSheetId="15">{"fdsup://Directions/FactSet Auditing Viewer?action=AUDIT_VALUE&amp;DB=129&amp;ID1=45920010&amp;VALUEID=03101&amp;SDATE=2009&amp;PERIODTYPE=ANN_STD&amp;window=popup_no_bar&amp;width=385&amp;height=120&amp;START_MAXIMIZED=FALSE&amp;creator=factset&amp;display_string=Audit"}</definedName>
    <definedName name="_13__FDSAUDITLINK__" localSheetId="14">{"fdsup://Directions/FactSet Auditing Viewer?action=AUDIT_VALUE&amp;DB=129&amp;ID1=45920010&amp;VALUEID=03101&amp;SDATE=2009&amp;PERIODTYPE=ANN_STD&amp;window=popup_no_bar&amp;width=385&amp;height=120&amp;START_MAXIMIZED=FALSE&amp;creator=factset&amp;display_string=Audit"}</definedName>
    <definedName name="_13__FDSAUDITLINK__" localSheetId="5">{"fdsup://Directions/FactSet Auditing Viewer?action=AUDIT_VALUE&amp;DB=129&amp;ID1=45920010&amp;VALUEID=03101&amp;SDATE=2009&amp;PERIODTYPE=ANN_STD&amp;window=popup_no_bar&amp;width=385&amp;height=120&amp;START_MAXIMIZED=FALSE&amp;creator=factset&amp;display_string=Audit"}</definedName>
    <definedName name="_13__FDSAUDITLINK__" localSheetId="13">{"fdsup://Directions/FactSet Auditing Viewer?action=AUDIT_VALUE&amp;DB=129&amp;ID1=45920010&amp;VALUEID=03101&amp;SDATE=2009&amp;PERIODTYPE=ANN_STD&amp;window=popup_no_bar&amp;width=385&amp;height=120&amp;START_MAXIMIZED=FALSE&amp;creator=factset&amp;display_string=Audit"}</definedName>
    <definedName name="_13__FDSAUDITLINK__" localSheetId="11">{"fdsup://Directions/FactSet Auditing Viewer?action=AUDIT_VALUE&amp;DB=129&amp;ID1=45920010&amp;VALUEID=03101&amp;SDATE=2009&amp;PERIODTYPE=ANN_STD&amp;window=popup_no_bar&amp;width=385&amp;height=120&amp;START_MAXIMIZED=FALSE&amp;creator=factset&amp;display_string=Audit"}</definedName>
    <definedName name="_13__FDSAUDITLINK__" localSheetId="20">{"fdsup://Directions/FactSet Auditing Viewer?action=AUDIT_VALUE&amp;DB=129&amp;ID1=45920010&amp;VALUEID=03101&amp;SDATE=2009&amp;PERIODTYPE=ANN_STD&amp;window=popup_no_bar&amp;width=385&amp;height=120&amp;START_MAXIMIZED=FALSE&amp;creator=factset&amp;display_string=Audit"}</definedName>
    <definedName name="_13__FDSAUDITLINK__" localSheetId="21">{"fdsup://Directions/FactSet Auditing Viewer?action=AUDIT_VALUE&amp;DB=129&amp;ID1=45920010&amp;VALUEID=03101&amp;SDATE=2009&amp;PERIODTYPE=ANN_STD&amp;window=popup_no_bar&amp;width=385&amp;height=120&amp;START_MAXIMIZED=FALSE&amp;creator=factset&amp;display_string=Audit"}</definedName>
    <definedName name="_13__FDSAUDITLINK__">{"fdsup://Directions/FactSet Auditing Viewer?action=AUDIT_VALUE&amp;DB=129&amp;ID1=45920010&amp;VALUEID=03101&amp;SDATE=2009&amp;PERIODTYPE=ANN_STD&amp;window=popup_no_bar&amp;width=385&amp;height=120&amp;START_MAXIMIZED=FALSE&amp;creator=factset&amp;display_string=Audit"}</definedName>
    <definedName name="_14__FDSAUDITLINK__" localSheetId="15">{"fdsup://Directions/FactSet Auditing Viewer?action=AUDIT_VALUE&amp;DB=129&amp;ID1=45920010&amp;VALUEID=03051&amp;SDATE=201004&amp;PERIODTYPE=QTR_STD&amp;window=popup_no_bar&amp;width=385&amp;height=120&amp;START_MAXIMIZED=FALSE&amp;creator=factset&amp;display_string=Audit"}</definedName>
    <definedName name="_14__FDSAUDITLINK__" localSheetId="14">{"fdsup://Directions/FactSet Auditing Viewer?action=AUDIT_VALUE&amp;DB=129&amp;ID1=45920010&amp;VALUEID=03051&amp;SDATE=201004&amp;PERIODTYPE=QTR_STD&amp;window=popup_no_bar&amp;width=385&amp;height=120&amp;START_MAXIMIZED=FALSE&amp;creator=factset&amp;display_string=Audit"}</definedName>
    <definedName name="_14__FDSAUDITLINK__" localSheetId="5">{"fdsup://Directions/FactSet Auditing Viewer?action=AUDIT_VALUE&amp;DB=129&amp;ID1=45920010&amp;VALUEID=03051&amp;SDATE=201004&amp;PERIODTYPE=QTR_STD&amp;window=popup_no_bar&amp;width=385&amp;height=120&amp;START_MAXIMIZED=FALSE&amp;creator=factset&amp;display_string=Audit"}</definedName>
    <definedName name="_14__FDSAUDITLINK__" localSheetId="13">{"fdsup://Directions/FactSet Auditing Viewer?action=AUDIT_VALUE&amp;DB=129&amp;ID1=45920010&amp;VALUEID=03051&amp;SDATE=201004&amp;PERIODTYPE=QTR_STD&amp;window=popup_no_bar&amp;width=385&amp;height=120&amp;START_MAXIMIZED=FALSE&amp;creator=factset&amp;display_string=Audit"}</definedName>
    <definedName name="_14__FDSAUDITLINK__" localSheetId="11">{"fdsup://Directions/FactSet Auditing Viewer?action=AUDIT_VALUE&amp;DB=129&amp;ID1=45920010&amp;VALUEID=03051&amp;SDATE=201004&amp;PERIODTYPE=QTR_STD&amp;window=popup_no_bar&amp;width=385&amp;height=120&amp;START_MAXIMIZED=FALSE&amp;creator=factset&amp;display_string=Audit"}</definedName>
    <definedName name="_14__FDSAUDITLINK__" localSheetId="20">{"fdsup://Directions/FactSet Auditing Viewer?action=AUDIT_VALUE&amp;DB=129&amp;ID1=45920010&amp;VALUEID=03051&amp;SDATE=201004&amp;PERIODTYPE=QTR_STD&amp;window=popup_no_bar&amp;width=385&amp;height=120&amp;START_MAXIMIZED=FALSE&amp;creator=factset&amp;display_string=Audit"}</definedName>
    <definedName name="_14__FDSAUDITLINK__" localSheetId="21">{"fdsup://Directions/FactSet Auditing Viewer?action=AUDIT_VALUE&amp;DB=129&amp;ID1=45920010&amp;VALUEID=03051&amp;SDATE=201004&amp;PERIODTYPE=QTR_STD&amp;window=popup_no_bar&amp;width=385&amp;height=120&amp;START_MAXIMIZED=FALSE&amp;creator=factset&amp;display_string=Audit"}</definedName>
    <definedName name="_14__FDSAUDITLINK__">{"fdsup://Directions/FactSet Auditing Viewer?action=AUDIT_VALUE&amp;DB=129&amp;ID1=45920010&amp;VALUEID=03051&amp;SDATE=201004&amp;PERIODTYPE=QTR_STD&amp;window=popup_no_bar&amp;width=385&amp;height=120&amp;START_MAXIMIZED=FALSE&amp;creator=factset&amp;display_string=Audit"}</definedName>
    <definedName name="_15__FDSAUDITLINK__" localSheetId="15">{"fdsup://Directions/FactSet Auditing Viewer?action=AUDIT_VALUE&amp;DB=129&amp;ID1=45920010&amp;VALUEID=03051&amp;SDATE=2007&amp;PERIODTYPE=ANN_STD&amp;window=popup_no_bar&amp;width=385&amp;height=120&amp;START_MAXIMIZED=FALSE&amp;creator=factset&amp;display_string=Audit"}</definedName>
    <definedName name="_15__FDSAUDITLINK__" localSheetId="14">{"fdsup://Directions/FactSet Auditing Viewer?action=AUDIT_VALUE&amp;DB=129&amp;ID1=45920010&amp;VALUEID=03051&amp;SDATE=2007&amp;PERIODTYPE=ANN_STD&amp;window=popup_no_bar&amp;width=385&amp;height=120&amp;START_MAXIMIZED=FALSE&amp;creator=factset&amp;display_string=Audit"}</definedName>
    <definedName name="_15__FDSAUDITLINK__" localSheetId="5">{"fdsup://Directions/FactSet Auditing Viewer?action=AUDIT_VALUE&amp;DB=129&amp;ID1=45920010&amp;VALUEID=03051&amp;SDATE=2007&amp;PERIODTYPE=ANN_STD&amp;window=popup_no_bar&amp;width=385&amp;height=120&amp;START_MAXIMIZED=FALSE&amp;creator=factset&amp;display_string=Audit"}</definedName>
    <definedName name="_15__FDSAUDITLINK__" localSheetId="13">{"fdsup://Directions/FactSet Auditing Viewer?action=AUDIT_VALUE&amp;DB=129&amp;ID1=45920010&amp;VALUEID=03051&amp;SDATE=2007&amp;PERIODTYPE=ANN_STD&amp;window=popup_no_bar&amp;width=385&amp;height=120&amp;START_MAXIMIZED=FALSE&amp;creator=factset&amp;display_string=Audit"}</definedName>
    <definedName name="_15__FDSAUDITLINK__" localSheetId="11">{"fdsup://Directions/FactSet Auditing Viewer?action=AUDIT_VALUE&amp;DB=129&amp;ID1=45920010&amp;VALUEID=03051&amp;SDATE=2007&amp;PERIODTYPE=ANN_STD&amp;window=popup_no_bar&amp;width=385&amp;height=120&amp;START_MAXIMIZED=FALSE&amp;creator=factset&amp;display_string=Audit"}</definedName>
    <definedName name="_15__FDSAUDITLINK__" localSheetId="20">{"fdsup://Directions/FactSet Auditing Viewer?action=AUDIT_VALUE&amp;DB=129&amp;ID1=45920010&amp;VALUEID=03051&amp;SDATE=2007&amp;PERIODTYPE=ANN_STD&amp;window=popup_no_bar&amp;width=385&amp;height=120&amp;START_MAXIMIZED=FALSE&amp;creator=factset&amp;display_string=Audit"}</definedName>
    <definedName name="_15__FDSAUDITLINK__" localSheetId="21">{"fdsup://Directions/FactSet Auditing Viewer?action=AUDIT_VALUE&amp;DB=129&amp;ID1=45920010&amp;VALUEID=03051&amp;SDATE=2007&amp;PERIODTYPE=ANN_STD&amp;window=popup_no_bar&amp;width=385&amp;height=120&amp;START_MAXIMIZED=FALSE&amp;creator=factset&amp;display_string=Audit"}</definedName>
    <definedName name="_15__FDSAUDITLINK__">{"fdsup://Directions/FactSet Auditing Viewer?action=AUDIT_VALUE&amp;DB=129&amp;ID1=45920010&amp;VALUEID=03051&amp;SDATE=2007&amp;PERIODTYPE=ANN_STD&amp;window=popup_no_bar&amp;width=385&amp;height=120&amp;START_MAXIMIZED=FALSE&amp;creator=factset&amp;display_string=Audit"}</definedName>
    <definedName name="_16__FDSAUDITLINK__" localSheetId="15">{"fdsup://Directions/FactSet Auditing Viewer?action=AUDIT_VALUE&amp;DB=129&amp;ID1=45920010&amp;VALUEID=01251&amp;SDATE=2010&amp;PERIODTYPE=ANN_STD&amp;window=popup_no_bar&amp;width=385&amp;height=120&amp;START_MAXIMIZED=FALSE&amp;creator=factset&amp;display_string=Audit"}</definedName>
    <definedName name="_16__FDSAUDITLINK__" localSheetId="14">{"fdsup://Directions/FactSet Auditing Viewer?action=AUDIT_VALUE&amp;DB=129&amp;ID1=45920010&amp;VALUEID=01251&amp;SDATE=2010&amp;PERIODTYPE=ANN_STD&amp;window=popup_no_bar&amp;width=385&amp;height=120&amp;START_MAXIMIZED=FALSE&amp;creator=factset&amp;display_string=Audit"}</definedName>
    <definedName name="_16__FDSAUDITLINK__" localSheetId="5">{"fdsup://Directions/FactSet Auditing Viewer?action=AUDIT_VALUE&amp;DB=129&amp;ID1=45920010&amp;VALUEID=01251&amp;SDATE=2010&amp;PERIODTYPE=ANN_STD&amp;window=popup_no_bar&amp;width=385&amp;height=120&amp;START_MAXIMIZED=FALSE&amp;creator=factset&amp;display_string=Audit"}</definedName>
    <definedName name="_16__FDSAUDITLINK__" localSheetId="13">{"fdsup://Directions/FactSet Auditing Viewer?action=AUDIT_VALUE&amp;DB=129&amp;ID1=45920010&amp;VALUEID=01251&amp;SDATE=2010&amp;PERIODTYPE=ANN_STD&amp;window=popup_no_bar&amp;width=385&amp;height=120&amp;START_MAXIMIZED=FALSE&amp;creator=factset&amp;display_string=Audit"}</definedName>
    <definedName name="_16__FDSAUDITLINK__" localSheetId="11">{"fdsup://Directions/FactSet Auditing Viewer?action=AUDIT_VALUE&amp;DB=129&amp;ID1=45920010&amp;VALUEID=01251&amp;SDATE=2010&amp;PERIODTYPE=ANN_STD&amp;window=popup_no_bar&amp;width=385&amp;height=120&amp;START_MAXIMIZED=FALSE&amp;creator=factset&amp;display_string=Audit"}</definedName>
    <definedName name="_16__FDSAUDITLINK__" localSheetId="20">{"fdsup://Directions/FactSet Auditing Viewer?action=AUDIT_VALUE&amp;DB=129&amp;ID1=45920010&amp;VALUEID=01251&amp;SDATE=2010&amp;PERIODTYPE=ANN_STD&amp;window=popup_no_bar&amp;width=385&amp;height=120&amp;START_MAXIMIZED=FALSE&amp;creator=factset&amp;display_string=Audit"}</definedName>
    <definedName name="_16__FDSAUDITLINK__" localSheetId="21">{"fdsup://Directions/FactSet Auditing Viewer?action=AUDIT_VALUE&amp;DB=129&amp;ID1=45920010&amp;VALUEID=01251&amp;SDATE=2010&amp;PERIODTYPE=ANN_STD&amp;window=popup_no_bar&amp;width=385&amp;height=120&amp;START_MAXIMIZED=FALSE&amp;creator=factset&amp;display_string=Audit"}</definedName>
    <definedName name="_16__FDSAUDITLINK__">{"fdsup://Directions/FactSet Auditing Viewer?action=AUDIT_VALUE&amp;DB=129&amp;ID1=45920010&amp;VALUEID=01251&amp;SDATE=2010&amp;PERIODTYPE=ANN_STD&amp;window=popup_no_bar&amp;width=385&amp;height=120&amp;START_MAXIMIZED=FALSE&amp;creator=factset&amp;display_string=Audit"}</definedName>
    <definedName name="_17__FDSAUDITLINK__" localSheetId="15">{"fdsup://Directions/FactSet Auditing Viewer?action=AUDIT_VALUE&amp;DB=129&amp;ID1=45920010&amp;VALUEID=03051&amp;SDATE=2009&amp;PERIODTYPE=ANN_STD&amp;window=popup_no_bar&amp;width=385&amp;height=120&amp;START_MAXIMIZED=FALSE&amp;creator=factset&amp;display_string=Audit"}</definedName>
    <definedName name="_17__FDSAUDITLINK__" localSheetId="14">{"fdsup://Directions/FactSet Auditing Viewer?action=AUDIT_VALUE&amp;DB=129&amp;ID1=45920010&amp;VALUEID=03051&amp;SDATE=2009&amp;PERIODTYPE=ANN_STD&amp;window=popup_no_bar&amp;width=385&amp;height=120&amp;START_MAXIMIZED=FALSE&amp;creator=factset&amp;display_string=Audit"}</definedName>
    <definedName name="_17__FDSAUDITLINK__" localSheetId="5">{"fdsup://Directions/FactSet Auditing Viewer?action=AUDIT_VALUE&amp;DB=129&amp;ID1=45920010&amp;VALUEID=03051&amp;SDATE=2009&amp;PERIODTYPE=ANN_STD&amp;window=popup_no_bar&amp;width=385&amp;height=120&amp;START_MAXIMIZED=FALSE&amp;creator=factset&amp;display_string=Audit"}</definedName>
    <definedName name="_17__FDSAUDITLINK__" localSheetId="13">{"fdsup://Directions/FactSet Auditing Viewer?action=AUDIT_VALUE&amp;DB=129&amp;ID1=45920010&amp;VALUEID=03051&amp;SDATE=2009&amp;PERIODTYPE=ANN_STD&amp;window=popup_no_bar&amp;width=385&amp;height=120&amp;START_MAXIMIZED=FALSE&amp;creator=factset&amp;display_string=Audit"}</definedName>
    <definedName name="_17__FDSAUDITLINK__" localSheetId="11">{"fdsup://Directions/FactSet Auditing Viewer?action=AUDIT_VALUE&amp;DB=129&amp;ID1=45920010&amp;VALUEID=03051&amp;SDATE=2009&amp;PERIODTYPE=ANN_STD&amp;window=popup_no_bar&amp;width=385&amp;height=120&amp;START_MAXIMIZED=FALSE&amp;creator=factset&amp;display_string=Audit"}</definedName>
    <definedName name="_17__FDSAUDITLINK__" localSheetId="20">{"fdsup://Directions/FactSet Auditing Viewer?action=AUDIT_VALUE&amp;DB=129&amp;ID1=45920010&amp;VALUEID=03051&amp;SDATE=2009&amp;PERIODTYPE=ANN_STD&amp;window=popup_no_bar&amp;width=385&amp;height=120&amp;START_MAXIMIZED=FALSE&amp;creator=factset&amp;display_string=Audit"}</definedName>
    <definedName name="_17__FDSAUDITLINK__" localSheetId="21">{"fdsup://Directions/FactSet Auditing Viewer?action=AUDIT_VALUE&amp;DB=129&amp;ID1=45920010&amp;VALUEID=03051&amp;SDATE=2009&amp;PERIODTYPE=ANN_STD&amp;window=popup_no_bar&amp;width=385&amp;height=120&amp;START_MAXIMIZED=FALSE&amp;creator=factset&amp;display_string=Audit"}</definedName>
    <definedName name="_17__FDSAUDITLINK__">{"fdsup://Directions/FactSet Auditing Viewer?action=AUDIT_VALUE&amp;DB=129&amp;ID1=45920010&amp;VALUEID=03051&amp;SDATE=2009&amp;PERIODTYPE=ANN_STD&amp;window=popup_no_bar&amp;width=385&amp;height=120&amp;START_MAXIMIZED=FALSE&amp;creator=factset&amp;display_string=Audit"}</definedName>
    <definedName name="_18__FDSAUDITLINK__" localSheetId="15">{"fdsup://Directions/FactSet Auditing Viewer?action=AUDIT_VALUE&amp;DB=129&amp;ID1=45920010&amp;VALUEID=01001&amp;SDATE=2005&amp;PERIODTYPE=ANN_STD&amp;window=popup_no_bar&amp;width=385&amp;height=120&amp;START_MAXIMIZED=FALSE&amp;creator=factset&amp;display_string=Audit"}</definedName>
    <definedName name="_18__FDSAUDITLINK__" localSheetId="14">{"fdsup://Directions/FactSet Auditing Viewer?action=AUDIT_VALUE&amp;DB=129&amp;ID1=45920010&amp;VALUEID=01001&amp;SDATE=2005&amp;PERIODTYPE=ANN_STD&amp;window=popup_no_bar&amp;width=385&amp;height=120&amp;START_MAXIMIZED=FALSE&amp;creator=factset&amp;display_string=Audit"}</definedName>
    <definedName name="_18__FDSAUDITLINK__" localSheetId="5">{"fdsup://Directions/FactSet Auditing Viewer?action=AUDIT_VALUE&amp;DB=129&amp;ID1=45920010&amp;VALUEID=01001&amp;SDATE=2005&amp;PERIODTYPE=ANN_STD&amp;window=popup_no_bar&amp;width=385&amp;height=120&amp;START_MAXIMIZED=FALSE&amp;creator=factset&amp;display_string=Audit"}</definedName>
    <definedName name="_18__FDSAUDITLINK__" localSheetId="13">{"fdsup://Directions/FactSet Auditing Viewer?action=AUDIT_VALUE&amp;DB=129&amp;ID1=45920010&amp;VALUEID=01001&amp;SDATE=2005&amp;PERIODTYPE=ANN_STD&amp;window=popup_no_bar&amp;width=385&amp;height=120&amp;START_MAXIMIZED=FALSE&amp;creator=factset&amp;display_string=Audit"}</definedName>
    <definedName name="_18__FDSAUDITLINK__" localSheetId="11">{"fdsup://Directions/FactSet Auditing Viewer?action=AUDIT_VALUE&amp;DB=129&amp;ID1=45920010&amp;VALUEID=01001&amp;SDATE=2005&amp;PERIODTYPE=ANN_STD&amp;window=popup_no_bar&amp;width=385&amp;height=120&amp;START_MAXIMIZED=FALSE&amp;creator=factset&amp;display_string=Audit"}</definedName>
    <definedName name="_18__FDSAUDITLINK__" localSheetId="20">{"fdsup://Directions/FactSet Auditing Viewer?action=AUDIT_VALUE&amp;DB=129&amp;ID1=45920010&amp;VALUEID=01001&amp;SDATE=2005&amp;PERIODTYPE=ANN_STD&amp;window=popup_no_bar&amp;width=385&amp;height=120&amp;START_MAXIMIZED=FALSE&amp;creator=factset&amp;display_string=Audit"}</definedName>
    <definedName name="_18__FDSAUDITLINK__" localSheetId="21">{"fdsup://Directions/FactSet Auditing Viewer?action=AUDIT_VALUE&amp;DB=129&amp;ID1=45920010&amp;VALUEID=01001&amp;SDATE=2005&amp;PERIODTYPE=ANN_STD&amp;window=popup_no_bar&amp;width=385&amp;height=120&amp;START_MAXIMIZED=FALSE&amp;creator=factset&amp;display_string=Audit"}</definedName>
    <definedName name="_18__FDSAUDITLINK__">{"fdsup://Directions/FactSet Auditing Viewer?action=AUDIT_VALUE&amp;DB=129&amp;ID1=45920010&amp;VALUEID=01001&amp;SDATE=2005&amp;PERIODTYPE=ANN_STD&amp;window=popup_no_bar&amp;width=385&amp;height=120&amp;START_MAXIMIZED=FALSE&amp;creator=factset&amp;display_string=Audit"}</definedName>
    <definedName name="_19__FDSAUDITLINK__" localSheetId="15">{"fdsup://Directions/FactSet Auditing Viewer?action=AUDIT_VALUE&amp;DB=129&amp;ID1=45920010&amp;VALUEID=02201&amp;SDATE=2007&amp;PERIODTYPE=ANN_STD&amp;window=popup_no_bar&amp;width=385&amp;height=120&amp;START_MAXIMIZED=FALSE&amp;creator=factset&amp;display_string=Audit"}</definedName>
    <definedName name="_19__FDSAUDITLINK__" localSheetId="14">{"fdsup://Directions/FactSet Auditing Viewer?action=AUDIT_VALUE&amp;DB=129&amp;ID1=45920010&amp;VALUEID=02201&amp;SDATE=2007&amp;PERIODTYPE=ANN_STD&amp;window=popup_no_bar&amp;width=385&amp;height=120&amp;START_MAXIMIZED=FALSE&amp;creator=factset&amp;display_string=Audit"}</definedName>
    <definedName name="_19__FDSAUDITLINK__" localSheetId="5">{"fdsup://Directions/FactSet Auditing Viewer?action=AUDIT_VALUE&amp;DB=129&amp;ID1=45920010&amp;VALUEID=02201&amp;SDATE=2007&amp;PERIODTYPE=ANN_STD&amp;window=popup_no_bar&amp;width=385&amp;height=120&amp;START_MAXIMIZED=FALSE&amp;creator=factset&amp;display_string=Audit"}</definedName>
    <definedName name="_19__FDSAUDITLINK__" localSheetId="13">{"fdsup://Directions/FactSet Auditing Viewer?action=AUDIT_VALUE&amp;DB=129&amp;ID1=45920010&amp;VALUEID=02201&amp;SDATE=2007&amp;PERIODTYPE=ANN_STD&amp;window=popup_no_bar&amp;width=385&amp;height=120&amp;START_MAXIMIZED=FALSE&amp;creator=factset&amp;display_string=Audit"}</definedName>
    <definedName name="_19__FDSAUDITLINK__" localSheetId="11">{"fdsup://Directions/FactSet Auditing Viewer?action=AUDIT_VALUE&amp;DB=129&amp;ID1=45920010&amp;VALUEID=02201&amp;SDATE=2007&amp;PERIODTYPE=ANN_STD&amp;window=popup_no_bar&amp;width=385&amp;height=120&amp;START_MAXIMIZED=FALSE&amp;creator=factset&amp;display_string=Audit"}</definedName>
    <definedName name="_19__FDSAUDITLINK__" localSheetId="20">{"fdsup://Directions/FactSet Auditing Viewer?action=AUDIT_VALUE&amp;DB=129&amp;ID1=45920010&amp;VALUEID=02201&amp;SDATE=2007&amp;PERIODTYPE=ANN_STD&amp;window=popup_no_bar&amp;width=385&amp;height=120&amp;START_MAXIMIZED=FALSE&amp;creator=factset&amp;display_string=Audit"}</definedName>
    <definedName name="_19__FDSAUDITLINK__" localSheetId="21">{"fdsup://Directions/FactSet Auditing Viewer?action=AUDIT_VALUE&amp;DB=129&amp;ID1=45920010&amp;VALUEID=02201&amp;SDATE=2007&amp;PERIODTYPE=ANN_STD&amp;window=popup_no_bar&amp;width=385&amp;height=120&amp;START_MAXIMIZED=FALSE&amp;creator=factset&amp;display_string=Audit"}</definedName>
    <definedName name="_19__FDSAUDITLINK__">{"fdsup://Directions/FactSet Auditing Viewer?action=AUDIT_VALUE&amp;DB=129&amp;ID1=45920010&amp;VALUEID=02201&amp;SDATE=2007&amp;PERIODTYPE=ANN_STD&amp;window=popup_no_bar&amp;width=385&amp;height=120&amp;START_MAXIMIZED=FALSE&amp;creator=factset&amp;display_string=Audit"}</definedName>
    <definedName name="_20__FDSAUDITLINK__" localSheetId="15"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localSheetId="14"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localSheetId="5"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localSheetId="13"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localSheetId="11"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localSheetId="20"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localSheetId="21" hidden="1">{"fdsup://Directions/FactSet Auditing Viewer?action=AUDIT_VALUE&amp;DB=129&amp;ID1=20536310&amp;VALUEID=07011&amp;SDATE=2008&amp;PERIODTYPE=ANN_STD&amp;window=popup_no_bar&amp;width=385&amp;height=120&amp;START_MAXIMIZED=FALSE&amp;creator=factset&amp;display_string=Audit"}</definedName>
    <definedName name="_20__FDSAUDITLINK__" hidden="1">{"fdsup://Directions/FactSet Auditing Viewer?action=AUDIT_VALUE&amp;DB=129&amp;ID1=20536310&amp;VALUEID=07011&amp;SDATE=2008&amp;PERIODTYPE=ANN_STD&amp;window=popup_no_bar&amp;width=385&amp;height=120&amp;START_MAXIMIZED=FALSE&amp;creator=factset&amp;display_string=Audit"}</definedName>
    <definedName name="_45__FDSAUDITLINK__" localSheetId="15"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14"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5"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13"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11"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20"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21"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bdm.1C58560F61E34D9288A0BD5C54EA9E89.edm" localSheetId="10" hidden="1">'DCF - Financials'!$C$30:$J$31</definedName>
    <definedName name="_bdm.1C58560F61E34D9288A0BD5C54EA9E89.edm" localSheetId="6" hidden="1">'DCF - Financials (old)'!$C$28:$J$32</definedName>
    <definedName name="_bdm.3C0A5DFB33C143A7B0202F03660F87C5.edm" localSheetId="16" hidden="1">'Comps - Dataset'!#REF!</definedName>
    <definedName name="_bdm.3C0A5DFB33C143A7B0202F03660F87C5.edm" localSheetId="15" hidden="1">'Comps - Outputs'!#REF!</definedName>
    <definedName name="_bdm.3C0A5DFB33C143A7B0202F03660F87C5.edm" localSheetId="14" hidden="1">'Comps - Selection'!#REF!</definedName>
    <definedName name="_bdm.3C0A5DFB33C143A7B0202F03660F87C5.edm" localSheetId="13" hidden="1">#REF!</definedName>
    <definedName name="_bdm.3C0A5DFB33C143A7B0202F03660F87C5.edm" localSheetId="11" hidden="1">#REF!</definedName>
    <definedName name="_bdm.3C0A5DFB33C143A7B0202F03660F87C5.edm" localSheetId="20" hidden="1">#REF!</definedName>
    <definedName name="_bdm.3C0A5DFB33C143A7B0202F03660F87C5.edm" localSheetId="21" hidden="1">#REF!</definedName>
    <definedName name="_bdm.3C0A5DFB33C143A7B0202F03660F87C5.edm" hidden="1">#REF!</definedName>
    <definedName name="_bdm.41B7446C4C634C0CB571A940C585DD1B.edm" localSheetId="16" hidden="1">'Comps - Dataset'!#REF!</definedName>
    <definedName name="_bdm.41B7446C4C634C0CB571A940C585DD1B.edm" localSheetId="15" hidden="1">'Comps - Outputs'!#REF!</definedName>
    <definedName name="_bdm.41B7446C4C634C0CB571A940C585DD1B.edm" localSheetId="14" hidden="1">'Comps - Selection'!#REF!</definedName>
    <definedName name="_bdm.41B7446C4C634C0CB571A940C585DD1B.edm" localSheetId="11" hidden="1">#REF!</definedName>
    <definedName name="_bdm.41B7446C4C634C0CB571A940C585DD1B.edm" localSheetId="20" hidden="1">#REF!</definedName>
    <definedName name="_bdm.41B7446C4C634C0CB571A940C585DD1B.edm" localSheetId="22" hidden="1">#REF!</definedName>
    <definedName name="_bdm.41B7446C4C634C0CB571A940C585DD1B.edm" localSheetId="21" hidden="1">#REF!</definedName>
    <definedName name="_bdm.41B7446C4C634C0CB571A940C585DD1B.edm" hidden="1">#REF!</definedName>
    <definedName name="_bdm.81B7163CBAB1482A99AEE9197FE3F766.edm" localSheetId="15" hidden="1">'Comps - Outputs'!$B$3:$T$24</definedName>
    <definedName name="_bdm.81B7163CBAB1482A99AEE9197FE3F766.edm" localSheetId="14" hidden="1">'Comps - Selection'!$B$3:$G$25</definedName>
    <definedName name="_bdm.FE6090C7BB534607AA65AE506BE77591.edm" localSheetId="10" hidden="1">'DCF - Financials'!$1:$1048576</definedName>
    <definedName name="_bdm.FE6090C7BB534607AA65AE506BE77591.edm" localSheetId="6" hidden="1">'DCF - Financials (old)'!$1:$1048576</definedName>
    <definedName name="AccPayablePercentofCOGS" localSheetId="11">'[1]LGF Assumptions'!$B$81:$O$81</definedName>
    <definedName name="AccPayablePercentofCOGS" localSheetId="20">'[2]Wynn Assumptions'!$B$77:$S$77</definedName>
    <definedName name="AccPayablePercentofCOGS">'[1]LGF Assumptions'!$B$81:$O$81</definedName>
    <definedName name="ARPercentofSales" localSheetId="11">'[1]LGF Assumptions'!$B$80:$O$80</definedName>
    <definedName name="ARPercentofSales" localSheetId="20">'[2]Wynn Assumptions'!$B$74:$S$74</definedName>
    <definedName name="ARPercentofSales">'[1]LGF Assumptions'!$B$80:$O$80</definedName>
    <definedName name="CAGR_Copy" localSheetId="16">'Comps - Dataset'!#REF!,'Comps - Dataset'!#REF!,'Comps - Dataset'!#REF!</definedName>
    <definedName name="CAGR_Copy" localSheetId="15">'[3]CAGRs - Data Pull (BB)'!$D$4:$N$27,'[3]CAGRs - Data Pull (BB)'!$Q$4:$AA$27,'[3]CAGRs - Data Pull (BB)'!$AE$4:$AG$27</definedName>
    <definedName name="CAGR_Copy" localSheetId="14">'[3]CAGRs - Data Pull (BB)'!$D$4:$N$27,'[3]CAGRs - Data Pull (BB)'!$Q$4:$AA$27,'[3]CAGRs - Data Pull (BB)'!$AE$4:$AG$27</definedName>
    <definedName name="CAGR_Copy" localSheetId="11">'[4]CAGRs - Data Pull (BB)'!$D$4:$N$27,'[4]CAGRs - Data Pull (BB)'!$Q$4:$AA$27,'[4]CAGRs - Data Pull (BB)'!$AE$4:$AG$27</definedName>
    <definedName name="CAGR_Copy">'[4]CAGRs - Data Pull (BB)'!$D$4:$N$27,'[4]CAGRs - Data Pull (BB)'!$Q$4:$AA$27,'[4]CAGRs - Data Pull (BB)'!$AE$4:$AG$27</definedName>
    <definedName name="CAGR_Paste" localSheetId="16">'Comps - Dataset'!#REF!,'Comps - Dataset'!#REF!,'Comps - Dataset'!#REF!</definedName>
    <definedName name="CAGR_Paste" localSheetId="15">'[3]CAGRs - Pasted (BB)'!$D$4:$N$30,'[3]CAGRs - Pasted (BB)'!$R$4:$AB$30,'[3]CAGRs - Pasted (BB)'!$AF$4:$AH$30</definedName>
    <definedName name="CAGR_Paste" localSheetId="14">'[3]CAGRs - Pasted (BB)'!$D$4:$N$30,'[3]CAGRs - Pasted (BB)'!$R$4:$AB$30,'[3]CAGRs - Pasted (BB)'!$AF$4:$AH$30</definedName>
    <definedName name="CAGR_Paste" localSheetId="11">'[4]CAGRs - Pasted (BB)'!$D$4:$N$30,'[4]CAGRs - Pasted (BB)'!$R$4:$AB$30,'[4]CAGRs - Pasted (BB)'!$AF$4:$AH$30</definedName>
    <definedName name="CAGR_Paste">'[4]CAGRs - Pasted (BB)'!$D$4:$N$30,'[4]CAGRs - Pasted (BB)'!$R$4:$AB$30,'[4]CAGRs - Pasted (BB)'!$AF$4:$AH$30</definedName>
    <definedName name="CAPEX" localSheetId="11">'[1]LGF Financials'!$B$76:$O$76</definedName>
    <definedName name="CAPEX" localSheetId="20">'[2]Wynn Financials'!$B$75:$Q$75</definedName>
    <definedName name="CAPEX">'[1]LGF Financials'!$B$76:$O$76</definedName>
    <definedName name="CashInterestRate" localSheetId="11">'[1]LGF Assumptions'!$B$111:$O$111</definedName>
    <definedName name="CashInterestRate" localSheetId="20">'[2]Wynn Assumptions'!$B$97:$S$97</definedName>
    <definedName name="CashInterestRate">'[1]LGF Assumptions'!$B$111:$O$111</definedName>
    <definedName name="Ccy">"USD"</definedName>
    <definedName name="CIQWBGuid" hidden="1">"dc0d3d09-be8e-4cfa-aa6e-b324651c3be9"</definedName>
    <definedName name="CIQWBInfo" hidden="1">"{ ""CIQVersion"":""9.49.2423.4439"" }"</definedName>
    <definedName name="COGS" localSheetId="11">'[1]LGF Assumptions'!$B$45:$O$45</definedName>
    <definedName name="COGS" localSheetId="20">'[2]Wynn Financials'!$B$12:$S$12</definedName>
    <definedName name="COGS">'[1]LGF Assumptions'!$B$45:$O$45</definedName>
    <definedName name="COMPARANA_RWIdentifier" localSheetId="16">'Comps - Dataset'!#REF!</definedName>
    <definedName name="COMPARANA_RWIdentifier" localSheetId="15">'Comps - Outputs'!#REF!</definedName>
    <definedName name="COMPARANA_RWIdentifier" localSheetId="14">'Comps - Selection'!#REF!</definedName>
    <definedName name="COMPARANA_RWIdentifier" localSheetId="13">#REF!</definedName>
    <definedName name="COMPARANA_RWIdentifier" localSheetId="11">#REF!</definedName>
    <definedName name="COMPARANA_RWIdentifier" localSheetId="20">#REF!</definedName>
    <definedName name="COMPARANA_RWIdentifier" localSheetId="21">#REF!</definedName>
    <definedName name="COMPARANA_RWIdentifier">#REF!</definedName>
    <definedName name="COMPS_Copy" localSheetId="16">'Comps - Dataset'!$AQ$13:$AT$21,'Comps - Dataset'!#REF!,'Comps - Dataset'!#REF!,'Comps - Dataset'!#REF!,'Comps - Dataset'!$AU$13:$BI$21</definedName>
    <definedName name="COMPS_Copy" localSheetId="15">'[3]Comps - Data Pull (BB)'!$AF$6:$AG$29,'[3]Comps - Data Pull (BB)'!$AI$6:$AI$29,'[3]Comps - Data Pull (BB)'!$AL$6:$AU$29,'[3]Comps - Data Pull (BB)'!$BE$6:$BE$29,'[3]Comps - Data Pull (BB)'!$BH$6:$BW$29</definedName>
    <definedName name="COMPS_Copy" localSheetId="14">'[3]Comps - Data Pull (BB)'!$AF$6:$AG$29,'[3]Comps - Data Pull (BB)'!$AI$6:$AI$29,'[3]Comps - Data Pull (BB)'!$AL$6:$AU$29,'[3]Comps - Data Pull (BB)'!$BE$6:$BE$29,'[3]Comps - Data Pull (BB)'!$BH$6:$BW$29</definedName>
    <definedName name="COMPS_Copy" localSheetId="11">'[4]Comps - Data Pull (BB)'!$AF$6:$AG$29,'[4]Comps - Data Pull (BB)'!$AI$6:$AI$29,'[4]Comps - Data Pull (BB)'!$AL$6:$AU$29,'[4]Comps - Data Pull (BB)'!$BE$6:$BE$29,'[4]Comps - Data Pull (BB)'!$BH$6:$BW$29</definedName>
    <definedName name="COMPS_Copy">'[4]Comps - Data Pull (BB)'!$AF$6:$AG$29,'[4]Comps - Data Pull (BB)'!$AI$6:$AI$29,'[4]Comps - Data Pull (BB)'!$AL$6:$AU$29,'[4]Comps - Data Pull (BB)'!$BE$6:$BE$29,'[4]Comps - Data Pull (BB)'!$BH$6:$BW$29</definedName>
    <definedName name="COMPS_Paste" localSheetId="15">'Comps - Outputs'!#REF!,'Comps - Outputs'!#REF!,'Comps - Outputs'!#REF!,'Comps - Outputs'!#REF!,'Comps - Outputs'!#REF!</definedName>
    <definedName name="COMPS_Paste" localSheetId="14">'Comps - Selection'!#REF!,'Comps - Selection'!#REF!,'Comps - Selection'!#REF!,'Comps - Selection'!#REF!,'Comps - Selection'!#REF!</definedName>
    <definedName name="COMPS_Paste" localSheetId="13">#REF!,#REF!,#REF!,#REF!,#REF!</definedName>
    <definedName name="COMPS_Paste" localSheetId="11">#REF!,#REF!,#REF!,#REF!,#REF!</definedName>
    <definedName name="COMPS_Paste" localSheetId="20">#REF!,#REF!,#REF!,#REF!,#REF!</definedName>
    <definedName name="COMPS_Paste" localSheetId="21">#REF!,#REF!,#REF!,#REF!,#REF!</definedName>
    <definedName name="COMPS_Paste">#REF!,#REF!,#REF!,#REF!,#REF!</definedName>
    <definedName name="Conv">"h"</definedName>
    <definedName name="DeltaWorkingCapital" localSheetId="11">'[1]LGF Financials'!$B$66:$O$66</definedName>
    <definedName name="DeltaWorkingCapital" localSheetId="20">'[2]Wynn Financials'!$B$63:$Q$63</definedName>
    <definedName name="DeltaWorkingCapital">'[1]LGF Financials'!$B$66:$O$66</definedName>
    <definedName name="Depreciation" localSheetId="11">'[1]LGF Financials'!$B$47:$O$47</definedName>
    <definedName name="Depreciation" localSheetId="20">'[2]Wynn Financials'!$B$50:$Q$50</definedName>
    <definedName name="Depreciation">'[1]LGF Financials'!$B$47:$O$47</definedName>
    <definedName name="DistMarketingAsPerSales" localSheetId="11">'DCF - Capital Structure'!#REF!</definedName>
    <definedName name="DistMarketingAsPerSales">'[1]LGF Assumptions'!$B$47:$O$47</definedName>
    <definedName name="EBIT" localSheetId="11">'[1]LGF Financials'!$B$21:$O$21</definedName>
    <definedName name="EBIT" localSheetId="20">'[2]Wynn Financials'!$B$19:$Q$19</definedName>
    <definedName name="EBIT">'[1]LGF Financials'!$B$21:$O$21</definedName>
    <definedName name="Exit_Multiple" localSheetId="15">'Comps - Outputs'!#REF!</definedName>
    <definedName name="Exit_Multiple" localSheetId="14">'Comps - Selection'!#REF!</definedName>
    <definedName name="Exit_Multiple" localSheetId="13">#REF!</definedName>
    <definedName name="Exit_Multiple" localSheetId="11">#REF!</definedName>
    <definedName name="Exit_Multiple">#REF!</definedName>
    <definedName name="fact0" localSheetId="11">[5]Sheet1!$O$19:$P$34,[5]Sheet1!$O$9:'[5]Sheet1'!$O$9:$P$10,[5]Sheet1!$O$19:$P$34:'[5]Sheet1'!$P$35</definedName>
    <definedName name="fact0">[5]Sheet1!$O$19:$P$34,[5]Sheet1!$O$9:'[5]Sheet1'!$O$9:$P$10,[5]Sheet1!$O$19:$P$34:'[5]Sheet1'!$P$35</definedName>
    <definedName name="GRAPHNAME" localSheetId="16">OFFSET('[6]FI Company Debt with Ownership'!#REF!,0,0,COUNTA('[6]FI Company Debt with Ownership'!#REF!)-0)</definedName>
    <definedName name="GRAPHNAME" localSheetId="15">OFFSET('[6]FI Company Debt with Ownership'!#REF!,0,0,COUNTA('[6]FI Company Debt with Ownership'!#REF!)-0)</definedName>
    <definedName name="GRAPHNAME" localSheetId="14">OFFSET('[6]FI Company Debt with Ownership'!#REF!,0,0,COUNTA('[6]FI Company Debt with Ownership'!#REF!)-0)</definedName>
    <definedName name="GRAPHNAME" localSheetId="5">OFFSET('[5]FI Company Debt with Ownership'!#REF!,0,0,COUNTA('[5]FI Company Debt with Ownership'!#REF!)-0)</definedName>
    <definedName name="GRAPHNAME" localSheetId="13">OFFSET('[5]FI Company Debt with Ownership'!#REF!,0,0,COUNTA('[5]FI Company Debt with Ownership'!#REF!)-0)</definedName>
    <definedName name="GRAPHNAME" localSheetId="11">OFFSET('[5]FI Company Debt with Ownership'!#REF!,0,0,COUNTA('[5]FI Company Debt with Ownership'!#REF!)-0)</definedName>
    <definedName name="GRAPHNAME">OFFSET('[5]FI Company Debt with Ownership'!#REF!,0,0,COUNTA('[5]FI Company Debt with Ownership'!#REF!)-0)</definedName>
    <definedName name="GRAPHNAME2" localSheetId="16">OFFSET('[6]FI Company Debt with Ownership'!#REF!,0,0,COUNTA('[6]FI Company Debt with Ownership'!#REF!)-0)</definedName>
    <definedName name="GRAPHNAME2" localSheetId="15">OFFSET('[6]FI Company Debt with Ownership'!#REF!,0,0,COUNTA('[6]FI Company Debt with Ownership'!#REF!)-0)</definedName>
    <definedName name="GRAPHNAME2" localSheetId="14">OFFSET('[6]FI Company Debt with Ownership'!#REF!,0,0,COUNTA('[6]FI Company Debt with Ownership'!#REF!)-0)</definedName>
    <definedName name="GRAPHNAME2" localSheetId="5">OFFSET('[5]FI Company Debt with Ownership'!#REF!,0,0,COUNTA('[5]FI Company Debt with Ownership'!#REF!)-0)</definedName>
    <definedName name="GRAPHNAME2" localSheetId="13">OFFSET('[5]FI Company Debt with Ownership'!#REF!,0,0,COUNTA('[5]FI Company Debt with Ownership'!#REF!)-0)</definedName>
    <definedName name="GRAPHNAME2" localSheetId="11">OFFSET('[5]FI Company Debt with Ownership'!#REF!,0,0,COUNTA('[5]FI Company Debt with Ownership'!#REF!)-0)</definedName>
    <definedName name="GRAPHNAME2">OFFSET('[5]FI Company Debt with Ownership'!#REF!,0,0,COUNTA('[5]FI Company Debt with Ownership'!#REF!)-0)</definedName>
    <definedName name="GRAPHVALUE" localSheetId="16">OFFSET('[6]FI Company Debt with Ownership'!#REF!,0,0,COUNTA('[6]FI Company Debt with Ownership'!#REF!)-0)</definedName>
    <definedName name="GRAPHVALUE" localSheetId="15">OFFSET('[6]FI Company Debt with Ownership'!#REF!,0,0,COUNTA('[6]FI Company Debt with Ownership'!#REF!)-0)</definedName>
    <definedName name="GRAPHVALUE" localSheetId="14">OFFSET('[6]FI Company Debt with Ownership'!#REF!,0,0,COUNTA('[6]FI Company Debt with Ownership'!#REF!)-0)</definedName>
    <definedName name="GRAPHVALUE" localSheetId="5">OFFSET('[5]FI Company Debt with Ownership'!#REF!,0,0,COUNTA('[5]FI Company Debt with Ownership'!#REF!)-0)</definedName>
    <definedName name="GRAPHVALUE" localSheetId="13">OFFSET('[5]FI Company Debt with Ownership'!#REF!,0,0,COUNTA('[5]FI Company Debt with Ownership'!#REF!)-0)</definedName>
    <definedName name="GRAPHVALUE" localSheetId="11">OFFSET('[5]FI Company Debt with Ownership'!#REF!,0,0,COUNTA('[5]FI Company Debt with Ownership'!#REF!)-0)</definedName>
    <definedName name="GRAPHVALUE">OFFSET('[5]FI Company Debt with Ownership'!#REF!,0,0,COUNTA('[5]FI Company Debt with Ownership'!#REF!)-0)</definedName>
    <definedName name="GRAPHVOTES" localSheetId="16">OFFSET('[6]FI Company Debt with Ownership'!#REF!,0,0,COUNTA('[6]FI Company Debt with Ownership'!#REF!)-0)</definedName>
    <definedName name="GRAPHVOTES" localSheetId="15">OFFSET('[6]FI Company Debt with Ownership'!#REF!,0,0,COUNTA('[6]FI Company Debt with Ownership'!#REF!)-0)</definedName>
    <definedName name="GRAPHVOTES" localSheetId="14">OFFSET('[6]FI Company Debt with Ownership'!#REF!,0,0,COUNTA('[6]FI Company Debt with Ownership'!#REF!)-0)</definedName>
    <definedName name="GRAPHVOTES" localSheetId="5">OFFSET('[5]FI Company Debt with Ownership'!#REF!,0,0,COUNTA('[5]FI Company Debt with Ownership'!#REF!)-0)</definedName>
    <definedName name="GRAPHVOTES" localSheetId="13">OFFSET('[5]FI Company Debt with Ownership'!#REF!,0,0,COUNTA('[5]FI Company Debt with Ownership'!#REF!)-0)</definedName>
    <definedName name="GRAPHVOTES" localSheetId="11">OFFSET('[5]FI Company Debt with Ownership'!#REF!,0,0,COUNTA('[5]FI Company Debt with Ownership'!#REF!)-0)</definedName>
    <definedName name="GRAPHVOTES">OFFSET('[5]FI Company Debt with Ownership'!#REF!,0,0,COUNTA('[5]FI Company Debt with Ownership'!#REF!)-0)</definedName>
    <definedName name="GrossMargin" localSheetId="11">'DCF - Capital Structure'!#REF!</definedName>
    <definedName name="GrossMargin" localSheetId="22">'[7]Wynn DCF Assumptions (LBO)'!#REF!</definedName>
    <definedName name="GrossMargin">'[1]LGF Assumptions'!$B$48:$O$48</definedName>
    <definedName name="Identifier_1" localSheetId="16">'Comps - Dataset'!#REF!</definedName>
    <definedName name="Identifier_1" localSheetId="15">'Comps - Outputs'!#REF!</definedName>
    <definedName name="Identifier_1" localSheetId="14">'Comps - Selection'!#REF!</definedName>
    <definedName name="Identifier_1" localSheetId="13">#REF!</definedName>
    <definedName name="Identifier_1" localSheetId="11">#REF!</definedName>
    <definedName name="Identifier_1" localSheetId="20">#REF!</definedName>
    <definedName name="Identifier_1" localSheetId="21">#REF!</definedName>
    <definedName name="Identifier_1">#REF!</definedName>
    <definedName name="Identifier_2" localSheetId="16">'Comps - Dataset'!#REF!</definedName>
    <definedName name="Identifier_2" localSheetId="15">'Comps - Outputs'!#REF!</definedName>
    <definedName name="Identifier_2" localSheetId="14">'Comps - Selection'!#REF!</definedName>
    <definedName name="Identifier_2" localSheetId="11">#REF!</definedName>
    <definedName name="Identifier_2" localSheetId="20">#REF!</definedName>
    <definedName name="Identifier_2" localSheetId="21">#REF!</definedName>
    <definedName name="Identifier_2">#REF!</definedName>
    <definedName name="InventoryPercOfCOGS" localSheetId="11">'[7]Wynn DCF Assumptions (LBO)'!$B$90:$T$90</definedName>
    <definedName name="InventoryPercOfCOGS" localSheetId="20">'[2]Wynn Assumptions'!$B$75:$S$75</definedName>
    <definedName name="InventoryPercOfCOGS">'[7]Wynn DCF Assumptions (LBO)'!$B$90:$T$90</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"11/24/2014 02:22:42"</definedName>
    <definedName name="IQ_NTM" hidden="1">6000</definedName>
    <definedName name="IQ_OPENED55" hidden="1">1</definedName>
    <definedName name="IQ_QTD" hidden="1">750000</definedName>
    <definedName name="IQ_TODAY" hidden="1">0</definedName>
    <definedName name="IQ_WEEK" hidden="1">50000</definedName>
    <definedName name="IQ_YTD" hidden="1">3000</definedName>
    <definedName name="IQ_YTDMONTH" hidden="1">130000</definedName>
    <definedName name="OpCashFlow" localSheetId="11">'[1]LGF Financials'!$B$68:$O$68</definedName>
    <definedName name="OpCashFlow">'[1]LGF Financials'!$B$68:$O$68</definedName>
    <definedName name="OtherCurLiabPercOfCOGS" localSheetId="11">'[1]LGF Assumptions'!$B$83:$O$83</definedName>
    <definedName name="OtherCurLiabPercOfCOGS" localSheetId="20">'[2]Wynn Assumptions'!$B$78:$S$78</definedName>
    <definedName name="OtherCurLiabPercOfCOGS">'[1]LGF Assumptions'!$B$83:$O$83</definedName>
    <definedName name="PartAndResidAsPerSales" localSheetId="11">'DCF - Capital Structure'!#REF!</definedName>
    <definedName name="PartAndResidAsPerSales">'[1]LGF Assumptions'!$B$46:$O$46</definedName>
    <definedName name="_xlnm.Print_Area" localSheetId="5">'Cover Sheet'!$A$3:$I$50</definedName>
    <definedName name="RD" localSheetId="16">'[8]Wynn Financials (LBO)'!#REF!</definedName>
    <definedName name="RD" localSheetId="15">'[8]Wynn Financials (LBO)'!#REF!</definedName>
    <definedName name="RD" localSheetId="14">'[8]Wynn Financials (LBO)'!#REF!</definedName>
    <definedName name="RD" localSheetId="13">'[7]Wynn Financials (LBO)'!#REF!</definedName>
    <definedName name="RD" localSheetId="11">'[7]Wynn Financials (LBO)'!#REF!</definedName>
    <definedName name="RD" localSheetId="20">'[2]Wynn Financials'!#REF!</definedName>
    <definedName name="RD" localSheetId="22">'[7]Wynn Financials (LBO)'!#REF!</definedName>
    <definedName name="RD">'[7]Wynn Financials (LBO)'!#REF!</definedName>
    <definedName name="RDPercentofSales" localSheetId="16">'[8]Wynn DCF Assumptions (LBO)'!#REF!</definedName>
    <definedName name="RDPercentofSales" localSheetId="15">'[8]Wynn DCF Assumptions (LBO)'!#REF!</definedName>
    <definedName name="RDPercentofSales" localSheetId="14">'[8]Wynn DCF Assumptions (LBO)'!#REF!</definedName>
    <definedName name="RDPercentofSales" localSheetId="13">'[7]Wynn DCF Assumptions (LBO)'!#REF!</definedName>
    <definedName name="RDPercentofSales" localSheetId="11">'[7]Wynn DCF Assumptions (LBO)'!#REF!</definedName>
    <definedName name="RDPercentofSales" localSheetId="20">'[2]Wynn Assumptions'!#REF!</definedName>
    <definedName name="RDPercentofSales" localSheetId="22">'[7]Wynn DCF Assumptions (LBO)'!#REF!</definedName>
    <definedName name="RDPercentofSales">'[7]Wynn DCF Assumptions (LBO)'!#REF!</definedName>
    <definedName name="Rev_MP" localSheetId="16">'Comps - Dataset'!#REF!</definedName>
    <definedName name="Rev_MP" localSheetId="15">'Comps - Outputs'!#REF!</definedName>
    <definedName name="Rev_MP" localSheetId="14">'Comps - Selection'!#REF!</definedName>
    <definedName name="Rev_MP" localSheetId="5">#REF!</definedName>
    <definedName name="Rev_MP" localSheetId="13">#REF!</definedName>
    <definedName name="Rev_MP" localSheetId="11">#REF!</definedName>
    <definedName name="Rev_MP" localSheetId="20">#REF!</definedName>
    <definedName name="Rev_MP" localSheetId="22">#REF!</definedName>
    <definedName name="Rev_MP" localSheetId="21">#REF!</definedName>
    <definedName name="Rev_MP">#REF!</definedName>
    <definedName name="Rev_TV" localSheetId="16">'Comps - Dataset'!#REF!</definedName>
    <definedName name="Rev_TV" localSheetId="15">'Comps - Outputs'!#REF!</definedName>
    <definedName name="Rev_TV" localSheetId="14">'Comps - Selection'!#REF!</definedName>
    <definedName name="Rev_TV" localSheetId="13">#REF!</definedName>
    <definedName name="Rev_TV" localSheetId="11">#REF!</definedName>
    <definedName name="Rev_TV" localSheetId="20">#REF!</definedName>
    <definedName name="Rev_TV" localSheetId="22">#REF!</definedName>
    <definedName name="Rev_TV" localSheetId="21">#REF!</definedName>
    <definedName name="Rev_TV">#REF!</definedName>
    <definedName name="SGA" localSheetId="11">'[1]LGF Financials'!$B$16:$O$16</definedName>
    <definedName name="SGA" localSheetId="20">'[2]Wynn Financials'!$B$15:$Q$15</definedName>
    <definedName name="SGA" localSheetId="22">'[7]Wynn Financials (LBO)'!#REF!</definedName>
    <definedName name="SGA">'[1]LGF Financials'!$B$16:$O$16</definedName>
    <definedName name="SGAPercentofSales" localSheetId="11">'DCF - Capital Structure'!#REF!</definedName>
    <definedName name="SGAPercentofSales" localSheetId="22">'[7]Wynn DCF Assumptions (LBO)'!#REF!</definedName>
    <definedName name="SGAPercentofSales">'[1]LGF Assumptions'!$B$49:$O$49</definedName>
    <definedName name="SpreadsheetBuilder_1" hidden="1">#REF!</definedName>
    <definedName name="TaxRate" localSheetId="11">'DCF - Capital Structure'!#REF!</definedName>
    <definedName name="TaxRate" localSheetId="20">'[2]Wynn Assumptions'!$B$68:$Q$68</definedName>
    <definedName name="TaxRate">'[1]LGF Assumptions'!$B$57:$O$57</definedName>
    <definedName name="thousand">1000</definedName>
    <definedName name="thousands">1000</definedName>
    <definedName name="TotalRevenues" localSheetId="11">'[1]LGF Financials'!$B$9:$O$9</definedName>
    <definedName name="TotalRevenues" localSheetId="20">'[2]Wynn Financials'!$B$10:$S$10</definedName>
    <definedName name="TotalRevenues">'[1]LGF Financials'!$B$9:$O$9</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3" i="39" l="1"/>
  <c r="T21" i="38"/>
  <c r="D37" i="37"/>
  <c r="D36" i="37"/>
  <c r="F36" i="37" s="1"/>
  <c r="J30" i="40"/>
  <c r="J29" i="40"/>
  <c r="F29" i="40"/>
  <c r="S20" i="5"/>
  <c r="D81" i="20"/>
  <c r="D80" i="20"/>
  <c r="D79" i="20"/>
  <c r="L45" i="30"/>
  <c r="L50" i="2"/>
  <c r="R10" i="5"/>
  <c r="L27" i="4"/>
  <c r="M45" i="30" l="1"/>
  <c r="N45" i="30" l="1"/>
  <c r="D15" i="5"/>
  <c r="D10" i="5"/>
  <c r="D12" i="5" s="1"/>
  <c r="H92" i="4"/>
  <c r="L93" i="4"/>
  <c r="M93" i="4" s="1"/>
  <c r="N93" i="4" s="1"/>
  <c r="O93" i="4" s="1"/>
  <c r="H38" i="30"/>
  <c r="H88" i="30" s="1"/>
  <c r="I38" i="30"/>
  <c r="I88" i="30" s="1"/>
  <c r="I89" i="30" s="1"/>
  <c r="J38" i="30"/>
  <c r="J88" i="30" s="1"/>
  <c r="J89" i="30" s="1"/>
  <c r="K38" i="30"/>
  <c r="K88" i="30" s="1"/>
  <c r="G38" i="30"/>
  <c r="G88" i="30" s="1"/>
  <c r="I87" i="30"/>
  <c r="J87" i="30"/>
  <c r="K87" i="30"/>
  <c r="H87" i="30"/>
  <c r="I80" i="30"/>
  <c r="J80" i="30"/>
  <c r="K80" i="30"/>
  <c r="H80" i="30"/>
  <c r="G81" i="30"/>
  <c r="H81" i="30"/>
  <c r="I81" i="30"/>
  <c r="J81" i="30"/>
  <c r="K81" i="30"/>
  <c r="K82" i="30" s="1"/>
  <c r="K89" i="30" l="1"/>
  <c r="O45" i="30"/>
  <c r="D17" i="5"/>
  <c r="P93" i="4"/>
  <c r="H89" i="30"/>
  <c r="I82" i="30"/>
  <c r="H82" i="30"/>
  <c r="J82" i="30"/>
  <c r="I52" i="30"/>
  <c r="J52" i="30"/>
  <c r="K52" i="30"/>
  <c r="H52" i="30"/>
  <c r="I47" i="30"/>
  <c r="J47" i="30"/>
  <c r="K47" i="30"/>
  <c r="H47" i="30"/>
  <c r="I42" i="30"/>
  <c r="J42" i="30"/>
  <c r="K42" i="30"/>
  <c r="H42" i="30"/>
  <c r="I37" i="30"/>
  <c r="J37" i="30"/>
  <c r="K37" i="30"/>
  <c r="H37" i="30"/>
  <c r="H10" i="20"/>
  <c r="C69" i="30"/>
  <c r="C64" i="30"/>
  <c r="U41" i="5"/>
  <c r="U35" i="5"/>
  <c r="T43" i="20"/>
  <c r="S43" i="20"/>
  <c r="R43" i="20"/>
  <c r="Q43" i="20"/>
  <c r="P43" i="20"/>
  <c r="O43" i="20"/>
  <c r="N43" i="20"/>
  <c r="M43" i="20"/>
  <c r="K43" i="20"/>
  <c r="U108" i="2"/>
  <c r="L32" i="20"/>
  <c r="K32" i="20"/>
  <c r="J32" i="20"/>
  <c r="I32" i="20"/>
  <c r="H32" i="20"/>
  <c r="T22" i="20"/>
  <c r="S22" i="20"/>
  <c r="R22" i="20"/>
  <c r="Q22" i="20"/>
  <c r="P22" i="20"/>
  <c r="O22" i="20"/>
  <c r="N22" i="20"/>
  <c r="M22" i="20"/>
  <c r="L22" i="20"/>
  <c r="K22" i="20"/>
  <c r="J22" i="20"/>
  <c r="I22" i="20"/>
  <c r="H22" i="20"/>
  <c r="C22" i="20"/>
  <c r="L18" i="20"/>
  <c r="K18" i="20"/>
  <c r="J18" i="20"/>
  <c r="I18" i="20"/>
  <c r="H18" i="20"/>
  <c r="L17" i="20"/>
  <c r="K17" i="20"/>
  <c r="J17" i="20"/>
  <c r="I17" i="20"/>
  <c r="H17" i="20"/>
  <c r="L16" i="20"/>
  <c r="K16" i="20"/>
  <c r="J16" i="20"/>
  <c r="I16" i="20"/>
  <c r="H16" i="20"/>
  <c r="H15" i="20"/>
  <c r="C18" i="20"/>
  <c r="C17" i="20"/>
  <c r="C16" i="20"/>
  <c r="K171" i="4"/>
  <c r="S50" i="2"/>
  <c r="R50" i="2"/>
  <c r="Q50" i="2"/>
  <c r="P50" i="2"/>
  <c r="O50" i="2"/>
  <c r="N50" i="2"/>
  <c r="M50" i="2"/>
  <c r="S47" i="2"/>
  <c r="R47" i="2"/>
  <c r="Q47" i="2"/>
  <c r="P47" i="2"/>
  <c r="O47" i="2"/>
  <c r="N47" i="2"/>
  <c r="M47" i="2"/>
  <c r="L47" i="2"/>
  <c r="S46" i="2"/>
  <c r="R46" i="2"/>
  <c r="Q46" i="2"/>
  <c r="P46" i="2"/>
  <c r="O46" i="2"/>
  <c r="N46" i="2"/>
  <c r="M46" i="2"/>
  <c r="L46" i="2"/>
  <c r="K160" i="30"/>
  <c r="L156" i="30" s="1"/>
  <c r="J160" i="30"/>
  <c r="I160" i="30"/>
  <c r="H160" i="30"/>
  <c r="G160" i="30"/>
  <c r="K151" i="30"/>
  <c r="J151" i="30"/>
  <c r="I151" i="30"/>
  <c r="H151" i="30"/>
  <c r="G151" i="30"/>
  <c r="K168" i="30"/>
  <c r="L165" i="30" s="1"/>
  <c r="K111" i="30"/>
  <c r="J111" i="30"/>
  <c r="I111" i="30"/>
  <c r="H111" i="30"/>
  <c r="G111" i="30"/>
  <c r="G116" i="30"/>
  <c r="H116" i="30"/>
  <c r="I116" i="30"/>
  <c r="J116" i="30"/>
  <c r="K116" i="30"/>
  <c r="G115" i="30"/>
  <c r="H115" i="30"/>
  <c r="I115" i="30"/>
  <c r="J115" i="30"/>
  <c r="K115" i="30"/>
  <c r="M127" i="4"/>
  <c r="N127" i="4"/>
  <c r="O127" i="4"/>
  <c r="P127" i="4"/>
  <c r="Q127" i="4"/>
  <c r="R127" i="4"/>
  <c r="S127" i="4"/>
  <c r="L127" i="4"/>
  <c r="N145" i="4"/>
  <c r="O145" i="4"/>
  <c r="P145" i="4"/>
  <c r="Q145" i="4"/>
  <c r="R145" i="4"/>
  <c r="S145" i="4"/>
  <c r="L145" i="4"/>
  <c r="M145" i="4"/>
  <c r="O128" i="4"/>
  <c r="P128" i="4"/>
  <c r="Q128" i="4"/>
  <c r="R128" i="4"/>
  <c r="S128" i="4"/>
  <c r="L128" i="4"/>
  <c r="M128" i="4"/>
  <c r="N128" i="4"/>
  <c r="O146" i="4"/>
  <c r="P146" i="4"/>
  <c r="Q146" i="4"/>
  <c r="R146" i="4"/>
  <c r="S146" i="4"/>
  <c r="L146" i="4"/>
  <c r="M146" i="4"/>
  <c r="N146" i="4"/>
  <c r="H64" i="4"/>
  <c r="I64" i="4"/>
  <c r="J64" i="4"/>
  <c r="K64" i="4"/>
  <c r="H70" i="4"/>
  <c r="H85" i="4" s="1"/>
  <c r="I70" i="4"/>
  <c r="J70" i="4"/>
  <c r="K70" i="4"/>
  <c r="G70" i="4"/>
  <c r="H53" i="4"/>
  <c r="I53" i="4"/>
  <c r="J53" i="4"/>
  <c r="K53" i="4"/>
  <c r="L50" i="4" s="1"/>
  <c r="G53" i="4"/>
  <c r="G82" i="4"/>
  <c r="G79" i="4"/>
  <c r="L146" i="2"/>
  <c r="M146" i="2"/>
  <c r="N146" i="2"/>
  <c r="O146" i="2" s="1"/>
  <c r="P146" i="2" s="1"/>
  <c r="Q146" i="2" s="1"/>
  <c r="R146" i="2" s="1"/>
  <c r="S146" i="2" s="1"/>
  <c r="L148" i="2"/>
  <c r="M148" i="2" s="1"/>
  <c r="N148" i="2" s="1"/>
  <c r="O148" i="2" s="1"/>
  <c r="P148" i="2" s="1"/>
  <c r="Q148" i="2" s="1"/>
  <c r="R148" i="2" s="1"/>
  <c r="S148" i="2" s="1"/>
  <c r="L144" i="2"/>
  <c r="M144" i="2" s="1"/>
  <c r="N144" i="2" s="1"/>
  <c r="O144" i="2" s="1"/>
  <c r="P144" i="2" s="1"/>
  <c r="Q144" i="2" s="1"/>
  <c r="R144" i="2" s="1"/>
  <c r="S144" i="2" s="1"/>
  <c r="L141" i="2"/>
  <c r="M141" i="2"/>
  <c r="N141" i="2" s="1"/>
  <c r="O141" i="2" s="1"/>
  <c r="P141" i="2" s="1"/>
  <c r="Q141" i="2" s="1"/>
  <c r="R141" i="2" s="1"/>
  <c r="S141" i="2" s="1"/>
  <c r="L140" i="2"/>
  <c r="M140" i="2" s="1"/>
  <c r="N140" i="2" s="1"/>
  <c r="O140" i="2" s="1"/>
  <c r="P140" i="2" s="1"/>
  <c r="Q140" i="2" s="1"/>
  <c r="R140" i="2" s="1"/>
  <c r="S140" i="2" s="1"/>
  <c r="L139" i="2"/>
  <c r="M139" i="2" s="1"/>
  <c r="N139" i="2" s="1"/>
  <c r="O139" i="2" s="1"/>
  <c r="P139" i="2" s="1"/>
  <c r="Q139" i="2" s="1"/>
  <c r="R139" i="2" s="1"/>
  <c r="S139" i="2" s="1"/>
  <c r="B1" i="41"/>
  <c r="B1" i="40"/>
  <c r="B1" i="39"/>
  <c r="B1" i="38"/>
  <c r="B1" i="37"/>
  <c r="B11" i="40"/>
  <c r="B12" i="40"/>
  <c r="B13" i="40"/>
  <c r="B14" i="40"/>
  <c r="B15" i="40"/>
  <c r="B16" i="40"/>
  <c r="B17" i="40"/>
  <c r="B18" i="40"/>
  <c r="F19" i="40"/>
  <c r="J11" i="40"/>
  <c r="J12" i="40"/>
  <c r="J13" i="40"/>
  <c r="J14" i="40"/>
  <c r="J15" i="40"/>
  <c r="J16" i="40"/>
  <c r="J21" i="40" s="1"/>
  <c r="J23" i="40" s="1"/>
  <c r="J24" i="40" s="1"/>
  <c r="J17" i="40"/>
  <c r="J18" i="40"/>
  <c r="J19" i="40"/>
  <c r="M19" i="41"/>
  <c r="N19" i="41"/>
  <c r="K19" i="41"/>
  <c r="P9" i="41"/>
  <c r="Q9" i="41"/>
  <c r="P10" i="41"/>
  <c r="F18" i="40" s="1"/>
  <c r="P11" i="41"/>
  <c r="F12" i="40" s="1"/>
  <c r="Q11" i="41"/>
  <c r="P12" i="41"/>
  <c r="F16" i="40" s="1"/>
  <c r="Q12" i="41"/>
  <c r="P13" i="41"/>
  <c r="F13" i="40" s="1"/>
  <c r="Q13" i="41"/>
  <c r="P14" i="41"/>
  <c r="F15" i="40" s="1"/>
  <c r="Q14" i="41"/>
  <c r="P15" i="41"/>
  <c r="F17" i="40" s="1"/>
  <c r="P16" i="41"/>
  <c r="F14" i="40" s="1"/>
  <c r="R11" i="40"/>
  <c r="R12" i="40"/>
  <c r="R13" i="40"/>
  <c r="R14" i="40"/>
  <c r="R15" i="40"/>
  <c r="R16" i="40"/>
  <c r="R17" i="40"/>
  <c r="R18" i="40"/>
  <c r="R9" i="40"/>
  <c r="BY35" i="39"/>
  <c r="BX35" i="39"/>
  <c r="BW35" i="39"/>
  <c r="BV35" i="39"/>
  <c r="BU35" i="39"/>
  <c r="BT35" i="39"/>
  <c r="BS35" i="39"/>
  <c r="BR35" i="39"/>
  <c r="BQ35" i="39"/>
  <c r="BP35" i="39"/>
  <c r="BO35" i="39"/>
  <c r="BN35" i="39"/>
  <c r="BM35" i="39"/>
  <c r="BL35" i="39"/>
  <c r="BK35" i="39"/>
  <c r="BJ35" i="39"/>
  <c r="BI35" i="39"/>
  <c r="BH35" i="39"/>
  <c r="BG35" i="39"/>
  <c r="BF35" i="39"/>
  <c r="BE35" i="39"/>
  <c r="BD35" i="39"/>
  <c r="BC35" i="39"/>
  <c r="BB35" i="39"/>
  <c r="BA35" i="39"/>
  <c r="AZ35" i="39"/>
  <c r="AY35" i="39"/>
  <c r="AX35" i="39"/>
  <c r="AW35" i="39"/>
  <c r="AV35" i="39"/>
  <c r="AU35" i="39"/>
  <c r="AT35" i="39"/>
  <c r="AS35" i="39"/>
  <c r="AR35" i="39"/>
  <c r="AQ35" i="39"/>
  <c r="AP35" i="39"/>
  <c r="AO35" i="39"/>
  <c r="AN35" i="39"/>
  <c r="AM35" i="39"/>
  <c r="AL35" i="39"/>
  <c r="AK35" i="39"/>
  <c r="AJ35" i="39"/>
  <c r="AI35" i="39"/>
  <c r="AH35" i="39"/>
  <c r="AG35" i="39"/>
  <c r="N26" i="38" s="1"/>
  <c r="N15" i="38" s="1"/>
  <c r="AF35" i="39"/>
  <c r="AE35" i="39"/>
  <c r="AD35" i="39"/>
  <c r="AC35" i="39"/>
  <c r="AB35" i="39"/>
  <c r="AA35" i="39"/>
  <c r="Z35" i="39"/>
  <c r="Y35" i="39"/>
  <c r="W35" i="39"/>
  <c r="V35" i="39"/>
  <c r="U35" i="39"/>
  <c r="T35" i="39"/>
  <c r="S35" i="39"/>
  <c r="R35" i="39"/>
  <c r="Q35" i="39"/>
  <c r="P35" i="39"/>
  <c r="N35" i="39"/>
  <c r="M35" i="39"/>
  <c r="L35" i="39"/>
  <c r="K35" i="39"/>
  <c r="J35" i="39"/>
  <c r="I35" i="39"/>
  <c r="H35" i="39"/>
  <c r="G35" i="39"/>
  <c r="BO23" i="39"/>
  <c r="BN23" i="39"/>
  <c r="AO23" i="39"/>
  <c r="AN23" i="39"/>
  <c r="AM23" i="39"/>
  <c r="AL23" i="39"/>
  <c r="AK23" i="39"/>
  <c r="AJ23" i="39"/>
  <c r="AI23" i="39"/>
  <c r="AH23" i="39"/>
  <c r="AG23" i="39"/>
  <c r="AF23" i="39"/>
  <c r="AE23" i="39"/>
  <c r="AD23" i="39"/>
  <c r="U23" i="39"/>
  <c r="T23" i="39"/>
  <c r="F27" i="40" s="1"/>
  <c r="J27" i="40" s="1"/>
  <c r="R23" i="39"/>
  <c r="D23" i="39"/>
  <c r="BV23" i="39" s="1"/>
  <c r="BW20" i="39"/>
  <c r="BU20" i="39"/>
  <c r="BR20" i="39"/>
  <c r="BP20" i="39"/>
  <c r="BO20" i="39"/>
  <c r="BM20" i="39"/>
  <c r="AO20" i="39"/>
  <c r="AN20" i="39"/>
  <c r="AM20" i="39"/>
  <c r="AL20" i="39"/>
  <c r="AK20" i="39"/>
  <c r="AJ20" i="39"/>
  <c r="AI20" i="39"/>
  <c r="AH20" i="39"/>
  <c r="AG20" i="39"/>
  <c r="AF20" i="39"/>
  <c r="AE20" i="39"/>
  <c r="AD20" i="39"/>
  <c r="V20" i="39"/>
  <c r="U20" i="39"/>
  <c r="S20" i="39"/>
  <c r="P20" i="39"/>
  <c r="D20" i="39"/>
  <c r="BV20" i="39" s="1"/>
  <c r="BV19" i="39"/>
  <c r="BN19" i="39"/>
  <c r="AO19" i="39"/>
  <c r="AN19" i="39"/>
  <c r="AM19" i="39"/>
  <c r="AL19" i="39"/>
  <c r="AK19" i="39"/>
  <c r="AJ19" i="39"/>
  <c r="AI19" i="39"/>
  <c r="AH19" i="39"/>
  <c r="AG19" i="39"/>
  <c r="AF19" i="39"/>
  <c r="AE19" i="39"/>
  <c r="AD19" i="39"/>
  <c r="T19" i="39"/>
  <c r="D19" i="39"/>
  <c r="BW19" i="39" s="1"/>
  <c r="AO18" i="39"/>
  <c r="AN18" i="39"/>
  <c r="AM18" i="39"/>
  <c r="AL18" i="39"/>
  <c r="AK18" i="39"/>
  <c r="AJ18" i="39"/>
  <c r="AI18" i="39"/>
  <c r="AH18" i="39"/>
  <c r="AG18" i="39"/>
  <c r="AF18" i="39"/>
  <c r="AE18" i="39"/>
  <c r="AD18" i="39"/>
  <c r="D18" i="39"/>
  <c r="BX18" i="39" s="1"/>
  <c r="BR17" i="39"/>
  <c r="AO17" i="39"/>
  <c r="AN17" i="39"/>
  <c r="AM17" i="39"/>
  <c r="AL17" i="39"/>
  <c r="AK17" i="39"/>
  <c r="AJ17" i="39"/>
  <c r="AI17" i="39"/>
  <c r="AH17" i="39"/>
  <c r="AG17" i="39"/>
  <c r="AF17" i="39"/>
  <c r="AE17" i="39"/>
  <c r="AD17" i="39"/>
  <c r="D17" i="39"/>
  <c r="BY17" i="39" s="1"/>
  <c r="BS16" i="39"/>
  <c r="AO16" i="39"/>
  <c r="AN16" i="39"/>
  <c r="AM16" i="39"/>
  <c r="AL16" i="39"/>
  <c r="AK16" i="39"/>
  <c r="AJ16" i="39"/>
  <c r="AI16" i="39"/>
  <c r="AH16" i="39"/>
  <c r="AG16" i="39"/>
  <c r="AF16" i="39"/>
  <c r="AE16" i="39"/>
  <c r="AD16" i="39"/>
  <c r="D16" i="39"/>
  <c r="BR16" i="39" s="1"/>
  <c r="AO15" i="39"/>
  <c r="AN15" i="39"/>
  <c r="AM15" i="39"/>
  <c r="AL15" i="39"/>
  <c r="AK15" i="39"/>
  <c r="AJ15" i="39"/>
  <c r="AI15" i="39"/>
  <c r="AH15" i="39"/>
  <c r="AG15" i="39"/>
  <c r="AF15" i="39"/>
  <c r="AE15" i="39"/>
  <c r="AD15" i="39"/>
  <c r="D15" i="39"/>
  <c r="BY15" i="39" s="1"/>
  <c r="BO14" i="39"/>
  <c r="AO14" i="39"/>
  <c r="AN14" i="39"/>
  <c r="AM14" i="39"/>
  <c r="AL14" i="39"/>
  <c r="AK14" i="39"/>
  <c r="AJ14" i="39"/>
  <c r="AI14" i="39"/>
  <c r="AH14" i="39"/>
  <c r="AG14" i="39"/>
  <c r="AF14" i="39"/>
  <c r="AE14" i="39"/>
  <c r="AD14" i="39"/>
  <c r="D14" i="39"/>
  <c r="BR14" i="39" s="1"/>
  <c r="BW13" i="39"/>
  <c r="AO13" i="39"/>
  <c r="AN13" i="39"/>
  <c r="AM13" i="39"/>
  <c r="AL13" i="39"/>
  <c r="AK13" i="39"/>
  <c r="AJ13" i="39"/>
  <c r="AI13" i="39"/>
  <c r="AH13" i="39"/>
  <c r="AG13" i="39"/>
  <c r="AF13" i="39"/>
  <c r="AE13" i="39"/>
  <c r="AD13" i="39"/>
  <c r="D13" i="39"/>
  <c r="BU13" i="39" s="1"/>
  <c r="BW12" i="39"/>
  <c r="BU12" i="39"/>
  <c r="AO12" i="39"/>
  <c r="AN12" i="39"/>
  <c r="AM12" i="39"/>
  <c r="AL12" i="39"/>
  <c r="AK12" i="39"/>
  <c r="AJ12" i="39"/>
  <c r="AI12" i="39"/>
  <c r="AH12" i="39"/>
  <c r="AG12" i="39"/>
  <c r="AF12" i="39"/>
  <c r="AE12" i="39"/>
  <c r="AD12" i="39"/>
  <c r="D12" i="39"/>
  <c r="BV12" i="39" s="1"/>
  <c r="AO11" i="39"/>
  <c r="AN11" i="39"/>
  <c r="AM11" i="39"/>
  <c r="AL11" i="39"/>
  <c r="AK11" i="39"/>
  <c r="AJ11" i="39"/>
  <c r="AI11" i="39"/>
  <c r="AH11" i="39"/>
  <c r="AG11" i="39"/>
  <c r="AF11" i="39"/>
  <c r="AE11" i="39"/>
  <c r="AD11" i="39"/>
  <c r="D11" i="39"/>
  <c r="BW11" i="39" s="1"/>
  <c r="AO10" i="39"/>
  <c r="AN10" i="39"/>
  <c r="AM10" i="39"/>
  <c r="AL10" i="39"/>
  <c r="AK10" i="39"/>
  <c r="AJ10" i="39"/>
  <c r="AI10" i="39"/>
  <c r="AH10" i="39"/>
  <c r="AG10" i="39"/>
  <c r="AF10" i="39"/>
  <c r="AE10" i="39"/>
  <c r="AD10" i="39"/>
  <c r="D10" i="39"/>
  <c r="BX10" i="39" s="1"/>
  <c r="BU9" i="39"/>
  <c r="BT9" i="39"/>
  <c r="BR9" i="39"/>
  <c r="BL9" i="39"/>
  <c r="AO9" i="39"/>
  <c r="AN9" i="39"/>
  <c r="AM9" i="39"/>
  <c r="AL9" i="39"/>
  <c r="AK9" i="39"/>
  <c r="AJ9" i="39"/>
  <c r="AI9" i="39"/>
  <c r="AH9" i="39"/>
  <c r="AG9" i="39"/>
  <c r="AF9" i="39"/>
  <c r="AE9" i="39"/>
  <c r="AD9" i="39"/>
  <c r="S9" i="39"/>
  <c r="Y9" i="39" s="1"/>
  <c r="Q9" i="39"/>
  <c r="P9" i="39"/>
  <c r="D9" i="39"/>
  <c r="BY9" i="39" s="1"/>
  <c r="BY6" i="39"/>
  <c r="BX6" i="39"/>
  <c r="BW6" i="39"/>
  <c r="BT6" i="39"/>
  <c r="BS6" i="39"/>
  <c r="BR6" i="39"/>
  <c r="BO6" i="39"/>
  <c r="BN6" i="39"/>
  <c r="BM6" i="39"/>
  <c r="BI6" i="39"/>
  <c r="BH6" i="39"/>
  <c r="BG6" i="39"/>
  <c r="BD6" i="39"/>
  <c r="BC6" i="39"/>
  <c r="BB6" i="39"/>
  <c r="AY6" i="39"/>
  <c r="AX6" i="39"/>
  <c r="AW6" i="39"/>
  <c r="T26" i="38"/>
  <c r="S26" i="38"/>
  <c r="R26" i="38"/>
  <c r="Q26" i="38"/>
  <c r="Q17" i="38" s="1"/>
  <c r="P26" i="38"/>
  <c r="P17" i="38" s="1"/>
  <c r="O26" i="38"/>
  <c r="M26" i="38"/>
  <c r="L26" i="38"/>
  <c r="B24" i="38"/>
  <c r="O24" i="38" s="1"/>
  <c r="H19" i="38"/>
  <c r="F19" i="38"/>
  <c r="B19" i="38"/>
  <c r="S19" i="38" s="1"/>
  <c r="B18" i="38"/>
  <c r="M18" i="38" s="1"/>
  <c r="B17" i="38"/>
  <c r="O17" i="38" s="1"/>
  <c r="B16" i="38"/>
  <c r="M15" i="38"/>
  <c r="B15" i="38"/>
  <c r="S15" i="38" s="1"/>
  <c r="B14" i="38"/>
  <c r="M14" i="38" s="1"/>
  <c r="B13" i="38"/>
  <c r="O13" i="38" s="1"/>
  <c r="B12" i="38"/>
  <c r="B14" i="37" s="1"/>
  <c r="F14" i="37" s="1"/>
  <c r="M11" i="38"/>
  <c r="L11" i="38"/>
  <c r="B11" i="38"/>
  <c r="S11" i="38" s="1"/>
  <c r="B10" i="38"/>
  <c r="M10" i="38" s="1"/>
  <c r="B9" i="38"/>
  <c r="O9" i="38" s="1"/>
  <c r="B8" i="38"/>
  <c r="B6" i="38"/>
  <c r="B8" i="37" s="1"/>
  <c r="T4" i="38"/>
  <c r="S4" i="38"/>
  <c r="R4" i="38"/>
  <c r="Q4" i="38"/>
  <c r="P4" i="38"/>
  <c r="O4" i="38"/>
  <c r="N4" i="38"/>
  <c r="M4" i="38"/>
  <c r="L4" i="38"/>
  <c r="K4" i="38"/>
  <c r="J4" i="38"/>
  <c r="I4" i="38"/>
  <c r="H4" i="38"/>
  <c r="F4" i="38"/>
  <c r="T3" i="38"/>
  <c r="K3" i="38"/>
  <c r="J3" i="38"/>
  <c r="I3" i="38"/>
  <c r="H3" i="38"/>
  <c r="F3" i="38"/>
  <c r="E3" i="38"/>
  <c r="D3" i="38"/>
  <c r="F39" i="37"/>
  <c r="D39" i="37"/>
  <c r="B25" i="37"/>
  <c r="B20" i="37"/>
  <c r="D20" i="37" s="1"/>
  <c r="F19" i="37"/>
  <c r="D19" i="37"/>
  <c r="B19" i="37"/>
  <c r="B13" i="37"/>
  <c r="B11" i="37"/>
  <c r="D11" i="37" s="1"/>
  <c r="F4" i="37"/>
  <c r="D4" i="37"/>
  <c r="N10" i="38" l="1"/>
  <c r="L9" i="38"/>
  <c r="L13" i="38"/>
  <c r="L15" i="38"/>
  <c r="U12" i="39"/>
  <c r="H11" i="38" s="1"/>
  <c r="BP12" i="39"/>
  <c r="U13" i="39"/>
  <c r="H12" i="38" s="1"/>
  <c r="BT13" i="39"/>
  <c r="U14" i="39"/>
  <c r="BM14" i="39"/>
  <c r="BW14" i="39"/>
  <c r="U15" i="39"/>
  <c r="BK15" i="39"/>
  <c r="BU15" i="39"/>
  <c r="V17" i="39"/>
  <c r="I16" i="38" s="1"/>
  <c r="BM17" i="39"/>
  <c r="BS9" i="39"/>
  <c r="BN11" i="39"/>
  <c r="V12" i="39"/>
  <c r="BR12" i="39"/>
  <c r="BV13" i="39"/>
  <c r="V14" i="39"/>
  <c r="AQ14" i="39" s="1"/>
  <c r="T13" i="38" s="1"/>
  <c r="BN14" i="39"/>
  <c r="BX14" i="39"/>
  <c r="V15" i="39"/>
  <c r="BL15" i="39"/>
  <c r="BV15" i="39"/>
  <c r="BK16" i="39"/>
  <c r="BP17" i="39"/>
  <c r="BP11" i="39"/>
  <c r="BM15" i="39"/>
  <c r="BW15" i="39"/>
  <c r="T11" i="39"/>
  <c r="BV11" i="39"/>
  <c r="BP14" i="39"/>
  <c r="P15" i="39"/>
  <c r="BN15" i="39"/>
  <c r="BS17" i="39"/>
  <c r="AQ20" i="39"/>
  <c r="T19" i="38" s="1"/>
  <c r="L24" i="38"/>
  <c r="R9" i="39"/>
  <c r="BK9" i="39"/>
  <c r="BX9" i="39"/>
  <c r="V11" i="39"/>
  <c r="BX11" i="39"/>
  <c r="BX12" i="39"/>
  <c r="Q14" i="39"/>
  <c r="BS14" i="39"/>
  <c r="Q15" i="39"/>
  <c r="BO15" i="39"/>
  <c r="Q16" i="39"/>
  <c r="P17" i="39"/>
  <c r="BT17" i="39"/>
  <c r="BP19" i="39"/>
  <c r="G14" i="38"/>
  <c r="H24" i="38"/>
  <c r="O10" i="38"/>
  <c r="H14" i="38"/>
  <c r="B15" i="37"/>
  <c r="D15" i="37" s="1"/>
  <c r="D13" i="38"/>
  <c r="N14" i="38"/>
  <c r="R17" i="38"/>
  <c r="P24" i="38"/>
  <c r="BL13" i="39"/>
  <c r="R14" i="39"/>
  <c r="BT14" i="39"/>
  <c r="R15" i="39"/>
  <c r="E14" i="38" s="1"/>
  <c r="BR15" i="39"/>
  <c r="Q17" i="39"/>
  <c r="BU17" i="39"/>
  <c r="P45" i="30"/>
  <c r="Q45" i="30" s="1"/>
  <c r="V9" i="39"/>
  <c r="I8" i="38" s="1"/>
  <c r="BM9" i="39"/>
  <c r="P12" i="39"/>
  <c r="BM12" i="39"/>
  <c r="R13" i="39"/>
  <c r="BN13" i="39"/>
  <c r="S14" i="39"/>
  <c r="BK14" i="39"/>
  <c r="BU14" i="39"/>
  <c r="S15" i="39"/>
  <c r="BS15" i="39"/>
  <c r="R17" i="39"/>
  <c r="BK17" i="39"/>
  <c r="BX17" i="39"/>
  <c r="V19" i="39"/>
  <c r="BX19" i="39"/>
  <c r="BX20" i="39"/>
  <c r="G10" i="38"/>
  <c r="H13" i="38"/>
  <c r="B17" i="37"/>
  <c r="D15" i="38"/>
  <c r="BP9" i="39"/>
  <c r="S12" i="39"/>
  <c r="F11" i="38" s="1"/>
  <c r="BO12" i="39"/>
  <c r="T13" i="39"/>
  <c r="G12" i="38" s="1"/>
  <c r="BO13" i="39"/>
  <c r="T14" i="39"/>
  <c r="BL14" i="39"/>
  <c r="BV14" i="39"/>
  <c r="T15" i="39"/>
  <c r="BT15" i="39"/>
  <c r="S17" i="39"/>
  <c r="Y17" i="39" s="1"/>
  <c r="BL17" i="39"/>
  <c r="BL23" i="39"/>
  <c r="G72" i="30"/>
  <c r="G71" i="30"/>
  <c r="G70" i="30"/>
  <c r="H70" i="30"/>
  <c r="H71" i="30"/>
  <c r="H72" i="30"/>
  <c r="H73" i="30" s="1"/>
  <c r="R18" i="38"/>
  <c r="I70" i="30"/>
  <c r="I71" i="30"/>
  <c r="I72" i="30"/>
  <c r="R9" i="38"/>
  <c r="L17" i="38"/>
  <c r="P18" i="38"/>
  <c r="P19" i="38"/>
  <c r="J70" i="30"/>
  <c r="J71" i="30"/>
  <c r="J72" i="30"/>
  <c r="O18" i="38"/>
  <c r="N19" i="38"/>
  <c r="K71" i="30"/>
  <c r="K70" i="30"/>
  <c r="K72" i="30"/>
  <c r="F25" i="37"/>
  <c r="B12" i="37"/>
  <c r="R13" i="38"/>
  <c r="F11" i="37"/>
  <c r="B21" i="37"/>
  <c r="F21" i="37" s="1"/>
  <c r="P9" i="38"/>
  <c r="R10" i="38"/>
  <c r="P11" i="38"/>
  <c r="Q13" i="38"/>
  <c r="P14" i="38"/>
  <c r="N18" i="38"/>
  <c r="M19" i="38"/>
  <c r="R24" i="38"/>
  <c r="F13" i="37"/>
  <c r="D25" i="37"/>
  <c r="Q9" i="38"/>
  <c r="R14" i="38"/>
  <c r="B16" i="37"/>
  <c r="F20" i="37"/>
  <c r="M9" i="38"/>
  <c r="P10" i="38"/>
  <c r="N11" i="38"/>
  <c r="P13" i="38"/>
  <c r="O14" i="38"/>
  <c r="P15" i="38"/>
  <c r="G18" i="38"/>
  <c r="L19" i="38"/>
  <c r="Q24" i="38"/>
  <c r="Q93" i="4"/>
  <c r="R93" i="4" s="1"/>
  <c r="N42" i="30"/>
  <c r="M47" i="30"/>
  <c r="L42" i="30"/>
  <c r="L52" i="30"/>
  <c r="N37" i="30"/>
  <c r="M42" i="30"/>
  <c r="M52" i="30"/>
  <c r="N47" i="30"/>
  <c r="N52" i="30"/>
  <c r="L47" i="30"/>
  <c r="O46" i="30" s="1"/>
  <c r="M37" i="30"/>
  <c r="L37" i="30"/>
  <c r="L53" i="4"/>
  <c r="L52" i="4" s="1"/>
  <c r="Q19" i="41"/>
  <c r="F11" i="40"/>
  <c r="F21" i="40" s="1"/>
  <c r="F23" i="40" s="1"/>
  <c r="F24" i="40" s="1"/>
  <c r="P19" i="41"/>
  <c r="D17" i="37"/>
  <c r="F17" i="37"/>
  <c r="L8" i="38"/>
  <c r="D8" i="38"/>
  <c r="R8" i="38"/>
  <c r="J8" i="38"/>
  <c r="Q8" i="38"/>
  <c r="F8" i="38"/>
  <c r="P8" i="38"/>
  <c r="O8" i="38"/>
  <c r="N8" i="38"/>
  <c r="B10" i="37"/>
  <c r="M8" i="38"/>
  <c r="E8" i="38"/>
  <c r="L12" i="38"/>
  <c r="R12" i="38"/>
  <c r="Q12" i="38"/>
  <c r="S12" i="38"/>
  <c r="P12" i="38"/>
  <c r="O12" i="38"/>
  <c r="N12" i="38"/>
  <c r="M12" i="38"/>
  <c r="E12" i="38"/>
  <c r="D14" i="37"/>
  <c r="S8" i="38"/>
  <c r="W10" i="39"/>
  <c r="J9" i="38" s="1"/>
  <c r="BQ10" i="39"/>
  <c r="BY10" i="39"/>
  <c r="W18" i="39"/>
  <c r="J17" i="38" s="1"/>
  <c r="BQ18" i="39"/>
  <c r="BY18" i="39"/>
  <c r="S9" i="38"/>
  <c r="I10" i="38"/>
  <c r="Q10" i="38"/>
  <c r="O11" i="38"/>
  <c r="S13" i="38"/>
  <c r="I14" i="38"/>
  <c r="Q14" i="38"/>
  <c r="O15" i="38"/>
  <c r="E16" i="38"/>
  <c r="M16" i="38"/>
  <c r="S17" i="38"/>
  <c r="I18" i="38"/>
  <c r="Q18" i="38"/>
  <c r="O19" i="38"/>
  <c r="S24" i="38"/>
  <c r="P10" i="39"/>
  <c r="BR10" i="39"/>
  <c r="W11" i="39"/>
  <c r="J10" i="38" s="1"/>
  <c r="BQ11" i="39"/>
  <c r="BY11" i="39"/>
  <c r="R16" i="39"/>
  <c r="E15" i="38" s="1"/>
  <c r="BL16" i="39"/>
  <c r="BT16" i="39"/>
  <c r="P18" i="39"/>
  <c r="BR18" i="39"/>
  <c r="W19" i="39"/>
  <c r="J18" i="38" s="1"/>
  <c r="BQ19" i="39"/>
  <c r="BY19" i="39"/>
  <c r="BW23" i="39"/>
  <c r="AA9" i="39"/>
  <c r="Q10" i="39"/>
  <c r="D9" i="38" s="1"/>
  <c r="BK10" i="39"/>
  <c r="BS10" i="39"/>
  <c r="P11" i="39"/>
  <c r="BR11" i="39"/>
  <c r="W12" i="39"/>
  <c r="J11" i="38" s="1"/>
  <c r="BQ12" i="39"/>
  <c r="BY12" i="39"/>
  <c r="V13" i="39"/>
  <c r="BP13" i="39"/>
  <c r="BX13" i="39"/>
  <c r="S16" i="39"/>
  <c r="BM16" i="39"/>
  <c r="BU16" i="39"/>
  <c r="AA17" i="39"/>
  <c r="Q18" i="39"/>
  <c r="D17" i="38" s="1"/>
  <c r="BK18" i="39"/>
  <c r="BS18" i="39"/>
  <c r="P19" i="39"/>
  <c r="BR19" i="39"/>
  <c r="W20" i="39"/>
  <c r="BQ20" i="39"/>
  <c r="BY20" i="39"/>
  <c r="V23" i="39"/>
  <c r="BP23" i="39"/>
  <c r="BX23" i="39"/>
  <c r="B18" i="37"/>
  <c r="Q11" i="38"/>
  <c r="E13" i="38"/>
  <c r="M13" i="38"/>
  <c r="S14" i="38"/>
  <c r="Q15" i="38"/>
  <c r="G16" i="38"/>
  <c r="O16" i="38"/>
  <c r="M17" i="38"/>
  <c r="S18" i="38"/>
  <c r="I19" i="38"/>
  <c r="Q19" i="38"/>
  <c r="E24" i="38"/>
  <c r="M24" i="38"/>
  <c r="R10" i="39"/>
  <c r="E9" i="38" s="1"/>
  <c r="BL10" i="39"/>
  <c r="BT10" i="39"/>
  <c r="Q11" i="39"/>
  <c r="BK11" i="39"/>
  <c r="BS11" i="39"/>
  <c r="W13" i="39"/>
  <c r="J12" i="38" s="1"/>
  <c r="BQ13" i="39"/>
  <c r="BY13" i="39"/>
  <c r="T16" i="39"/>
  <c r="G15" i="38" s="1"/>
  <c r="BN16" i="39"/>
  <c r="BV16" i="39"/>
  <c r="R18" i="39"/>
  <c r="E17" i="38" s="1"/>
  <c r="BL18" i="39"/>
  <c r="BT18" i="39"/>
  <c r="Q19" i="39"/>
  <c r="D18" i="38" s="1"/>
  <c r="BK19" i="39"/>
  <c r="BS19" i="39"/>
  <c r="W23" i="39"/>
  <c r="J24" i="38" s="1"/>
  <c r="BQ23" i="39"/>
  <c r="BY23" i="39"/>
  <c r="S10" i="38"/>
  <c r="D13" i="37"/>
  <c r="D21" i="37"/>
  <c r="N9" i="38"/>
  <c r="D10" i="38"/>
  <c r="L10" i="38"/>
  <c r="R11" i="38"/>
  <c r="F13" i="38"/>
  <c r="N13" i="38"/>
  <c r="D14" i="38"/>
  <c r="L14" i="38"/>
  <c r="R15" i="38"/>
  <c r="P16" i="38"/>
  <c r="N17" i="38"/>
  <c r="L18" i="38"/>
  <c r="J19" i="38"/>
  <c r="R19" i="38"/>
  <c r="N24" i="38"/>
  <c r="T9" i="39"/>
  <c r="BN9" i="39"/>
  <c r="BV9" i="39"/>
  <c r="S10" i="39"/>
  <c r="BM10" i="39"/>
  <c r="BU10" i="39"/>
  <c r="R11" i="39"/>
  <c r="E10" i="38" s="1"/>
  <c r="BL11" i="39"/>
  <c r="BT11" i="39"/>
  <c r="Q12" i="39"/>
  <c r="D11" i="38" s="1"/>
  <c r="Z12" i="39"/>
  <c r="BK12" i="39"/>
  <c r="BS12" i="39"/>
  <c r="P13" i="39"/>
  <c r="BR13" i="39"/>
  <c r="W14" i="39"/>
  <c r="J13" i="38" s="1"/>
  <c r="BQ14" i="39"/>
  <c r="BY14" i="39"/>
  <c r="BP15" i="39"/>
  <c r="BX15" i="39"/>
  <c r="U16" i="39"/>
  <c r="H15" i="38" s="1"/>
  <c r="BO16" i="39"/>
  <c r="BW16" i="39"/>
  <c r="T17" i="39"/>
  <c r="BN17" i="39"/>
  <c r="BV17" i="39"/>
  <c r="S18" i="39"/>
  <c r="F17" i="38" s="1"/>
  <c r="BM18" i="39"/>
  <c r="BU18" i="39"/>
  <c r="R19" i="39"/>
  <c r="BL19" i="39"/>
  <c r="BT19" i="39"/>
  <c r="Q20" i="39"/>
  <c r="D19" i="38" s="1"/>
  <c r="BK20" i="39"/>
  <c r="BS20" i="39"/>
  <c r="P23" i="39"/>
  <c r="BR23" i="39"/>
  <c r="F16" i="38"/>
  <c r="N16" i="38"/>
  <c r="G13" i="38"/>
  <c r="Q16" i="38"/>
  <c r="G17" i="38"/>
  <c r="E18" i="38"/>
  <c r="G24" i="38"/>
  <c r="D33" i="37" s="1"/>
  <c r="F33" i="37" s="1"/>
  <c r="U9" i="39"/>
  <c r="BO9" i="39"/>
  <c r="BW9" i="39"/>
  <c r="T10" i="39"/>
  <c r="G9" i="38" s="1"/>
  <c r="BN10" i="39"/>
  <c r="BV10" i="39"/>
  <c r="S11" i="39"/>
  <c r="BM11" i="39"/>
  <c r="BU11" i="39"/>
  <c r="R12" i="39"/>
  <c r="E11" i="38" s="1"/>
  <c r="BL12" i="39"/>
  <c r="BT12" i="39"/>
  <c r="Q13" i="39"/>
  <c r="D12" i="38" s="1"/>
  <c r="BK13" i="39"/>
  <c r="BS13" i="39"/>
  <c r="P14" i="39"/>
  <c r="Y14" i="39"/>
  <c r="W15" i="39"/>
  <c r="J14" i="38" s="1"/>
  <c r="BQ15" i="39"/>
  <c r="V16" i="39"/>
  <c r="BP16" i="39"/>
  <c r="BX16" i="39"/>
  <c r="U17" i="39"/>
  <c r="BO17" i="39"/>
  <c r="BW17" i="39"/>
  <c r="T18" i="39"/>
  <c r="BN18" i="39"/>
  <c r="BV18" i="39"/>
  <c r="S19" i="39"/>
  <c r="BM19" i="39"/>
  <c r="BU19" i="39"/>
  <c r="R20" i="39"/>
  <c r="E19" i="38" s="1"/>
  <c r="BL20" i="39"/>
  <c r="BT20" i="39"/>
  <c r="Q23" i="39"/>
  <c r="D24" i="38" s="1"/>
  <c r="BK23" i="39"/>
  <c r="BS23" i="39"/>
  <c r="J16" i="38"/>
  <c r="R16" i="38"/>
  <c r="U10" i="39"/>
  <c r="H9" i="38" s="1"/>
  <c r="BO10" i="39"/>
  <c r="BW10" i="39"/>
  <c r="W16" i="39"/>
  <c r="J15" i="38" s="1"/>
  <c r="BQ16" i="39"/>
  <c r="BY16" i="39"/>
  <c r="U18" i="39"/>
  <c r="H17" i="38" s="1"/>
  <c r="BO18" i="39"/>
  <c r="BW18" i="39"/>
  <c r="BT23" i="39"/>
  <c r="W9" i="39"/>
  <c r="BQ9" i="39"/>
  <c r="V10" i="39"/>
  <c r="BP10" i="39"/>
  <c r="U11" i="39"/>
  <c r="H10" i="38" s="1"/>
  <c r="BO11" i="39"/>
  <c r="T12" i="39"/>
  <c r="G11" i="38" s="1"/>
  <c r="BN12" i="39"/>
  <c r="S13" i="39"/>
  <c r="BM13" i="39"/>
  <c r="P16" i="39"/>
  <c r="W17" i="39"/>
  <c r="BQ17" i="39"/>
  <c r="V18" i="39"/>
  <c r="BP18" i="39"/>
  <c r="U19" i="39"/>
  <c r="H18" i="38" s="1"/>
  <c r="BO19" i="39"/>
  <c r="T20" i="39"/>
  <c r="BN20" i="39"/>
  <c r="S23" i="39"/>
  <c r="F25" i="40" s="1"/>
  <c r="J25" i="40" s="1"/>
  <c r="J28" i="40" s="1"/>
  <c r="BM23" i="39"/>
  <c r="BU23" i="39"/>
  <c r="S16" i="38"/>
  <c r="D16" i="38"/>
  <c r="L16" i="38"/>
  <c r="Q46" i="30" l="1"/>
  <c r="AQ17" i="39"/>
  <c r="T16" i="38" s="1"/>
  <c r="AQ13" i="39"/>
  <c r="T12" i="38" s="1"/>
  <c r="Z15" i="39"/>
  <c r="Y15" i="39"/>
  <c r="AQ16" i="39"/>
  <c r="T15" i="38" s="1"/>
  <c r="AB15" i="39"/>
  <c r="K14" i="38" s="1"/>
  <c r="I12" i="38"/>
  <c r="J73" i="30"/>
  <c r="AA14" i="39"/>
  <c r="AQ12" i="39"/>
  <c r="T11" i="38" s="1"/>
  <c r="I11" i="38"/>
  <c r="AB20" i="39"/>
  <c r="K19" i="38" s="1"/>
  <c r="P46" i="30"/>
  <c r="R45" i="30"/>
  <c r="Z9" i="39"/>
  <c r="AB14" i="39"/>
  <c r="K13" i="38" s="1"/>
  <c r="I13" i="38"/>
  <c r="F14" i="38"/>
  <c r="F28" i="40"/>
  <c r="F30" i="40" s="1"/>
  <c r="AQ15" i="39"/>
  <c r="T14" i="38" s="1"/>
  <c r="AA15" i="39"/>
  <c r="Z14" i="39"/>
  <c r="L46" i="30"/>
  <c r="M46" i="30"/>
  <c r="N46" i="30"/>
  <c r="AQ9" i="39"/>
  <c r="T8" i="38" s="1"/>
  <c r="Z17" i="39"/>
  <c r="K73" i="30"/>
  <c r="F15" i="37"/>
  <c r="S93" i="4"/>
  <c r="L71" i="30"/>
  <c r="O73" i="30"/>
  <c r="D16" i="37"/>
  <c r="F16" i="37"/>
  <c r="F23" i="37" s="1"/>
  <c r="F27" i="37" s="1"/>
  <c r="D12" i="37"/>
  <c r="F12" i="37"/>
  <c r="P21" i="38"/>
  <c r="I73" i="30"/>
  <c r="L138" i="2"/>
  <c r="L51" i="4"/>
  <c r="M53" i="4"/>
  <c r="M50" i="4"/>
  <c r="AB23" i="39"/>
  <c r="K24" i="38" s="1"/>
  <c r="AA23" i="39"/>
  <c r="Z23" i="39"/>
  <c r="Y23" i="39"/>
  <c r="AB10" i="39"/>
  <c r="K9" i="38" s="1"/>
  <c r="AA10" i="39"/>
  <c r="Z10" i="39"/>
  <c r="Y10" i="39"/>
  <c r="AQ10" i="39"/>
  <c r="T9" i="38" s="1"/>
  <c r="I9" i="38"/>
  <c r="F10" i="38"/>
  <c r="AB11" i="39"/>
  <c r="K10" i="38" s="1"/>
  <c r="AA11" i="39"/>
  <c r="Z11" i="39"/>
  <c r="Y11" i="39"/>
  <c r="F18" i="38"/>
  <c r="AB19" i="39"/>
  <c r="K18" i="38" s="1"/>
  <c r="AA19" i="39"/>
  <c r="Z19" i="39"/>
  <c r="Y19" i="39"/>
  <c r="Z20" i="39"/>
  <c r="AB13" i="39"/>
  <c r="K12" i="38" s="1"/>
  <c r="AA13" i="39"/>
  <c r="Z13" i="39"/>
  <c r="Y13" i="39"/>
  <c r="F9" i="38"/>
  <c r="Y20" i="39"/>
  <c r="I17" i="38"/>
  <c r="AQ18" i="39"/>
  <c r="T17" i="38" s="1"/>
  <c r="AA20" i="39"/>
  <c r="H16" i="38"/>
  <c r="F12" i="38"/>
  <c r="O21" i="38"/>
  <c r="G19" i="38"/>
  <c r="AQ11" i="39"/>
  <c r="T10" i="38" s="1"/>
  <c r="H8" i="38"/>
  <c r="L21" i="38"/>
  <c r="F15" i="38"/>
  <c r="Y16" i="39"/>
  <c r="AB16" i="39"/>
  <c r="K15" i="38" s="1"/>
  <c r="AA16" i="39"/>
  <c r="Z16" i="39"/>
  <c r="Y12" i="39"/>
  <c r="F18" i="37"/>
  <c r="D18" i="37"/>
  <c r="AQ19" i="39"/>
  <c r="T18" i="38" s="1"/>
  <c r="S21" i="38"/>
  <c r="M21" i="38"/>
  <c r="AB17" i="39"/>
  <c r="K16" i="38" s="1"/>
  <c r="I15" i="38"/>
  <c r="F10" i="37"/>
  <c r="D10" i="37"/>
  <c r="Q21" i="38"/>
  <c r="AB12" i="39"/>
  <c r="K11" i="38" s="1"/>
  <c r="AB18" i="39"/>
  <c r="K17" i="38" s="1"/>
  <c r="AA18" i="39"/>
  <c r="Z18" i="39"/>
  <c r="Y18" i="39"/>
  <c r="I24" i="38"/>
  <c r="T24" i="38"/>
  <c r="AB9" i="39"/>
  <c r="K8" i="38" s="1"/>
  <c r="N21" i="38"/>
  <c r="AA12" i="39"/>
  <c r="F24" i="38"/>
  <c r="D31" i="37" s="1"/>
  <c r="G8" i="38"/>
  <c r="R21" i="38"/>
  <c r="N73" i="30" l="1"/>
  <c r="M73" i="30"/>
  <c r="L70" i="30" s="1"/>
  <c r="L73" i="30"/>
  <c r="L72" i="30" s="1"/>
  <c r="D23" i="37"/>
  <c r="D27" i="37" s="1"/>
  <c r="D29" i="37" s="1"/>
  <c r="D35" i="37" s="1"/>
  <c r="S45" i="30"/>
  <c r="S46" i="30" s="1"/>
  <c r="R46" i="30"/>
  <c r="F29" i="37"/>
  <c r="F31" i="37"/>
  <c r="M71" i="30"/>
  <c r="M52" i="4"/>
  <c r="M138" i="2"/>
  <c r="M51" i="4"/>
  <c r="N53" i="4"/>
  <c r="O50" i="4" s="1"/>
  <c r="N50" i="4"/>
  <c r="K21" i="38"/>
  <c r="N71" i="30" l="1"/>
  <c r="N72" i="30" s="1"/>
  <c r="M72" i="30"/>
  <c r="M70" i="30"/>
  <c r="F35" i="37"/>
  <c r="F37" i="37" s="1"/>
  <c r="N52" i="4"/>
  <c r="N138" i="2"/>
  <c r="N51" i="4"/>
  <c r="O53" i="4"/>
  <c r="O51" i="4" s="1"/>
  <c r="G102" i="2"/>
  <c r="G93" i="2"/>
  <c r="H43" i="20" s="1"/>
  <c r="H93" i="2"/>
  <c r="I43" i="20" s="1"/>
  <c r="G173" i="30"/>
  <c r="H173" i="30"/>
  <c r="I173" i="30"/>
  <c r="J173" i="30"/>
  <c r="K173" i="30"/>
  <c r="I93" i="2"/>
  <c r="J43" i="20" s="1"/>
  <c r="I90" i="2"/>
  <c r="J41" i="20" s="1"/>
  <c r="K93" i="2"/>
  <c r="L43" i="20" s="1"/>
  <c r="L123" i="2"/>
  <c r="M123" i="2" s="1"/>
  <c r="N123" i="2" s="1"/>
  <c r="O123" i="2" s="1"/>
  <c r="P123" i="2" s="1"/>
  <c r="Q123" i="2" s="1"/>
  <c r="R123" i="2" s="1"/>
  <c r="S123" i="2" s="1"/>
  <c r="M214" i="30"/>
  <c r="N214" i="30"/>
  <c r="O214" i="30"/>
  <c r="P214" i="30"/>
  <c r="Q214" i="30"/>
  <c r="R214" i="30"/>
  <c r="S214" i="30"/>
  <c r="L214" i="30"/>
  <c r="H206" i="30"/>
  <c r="H207" i="30" s="1"/>
  <c r="I206" i="30"/>
  <c r="I207" i="30" s="1"/>
  <c r="J206" i="30"/>
  <c r="J207" i="30" s="1"/>
  <c r="K206" i="30"/>
  <c r="K207" i="30" s="1"/>
  <c r="G206" i="30"/>
  <c r="G207" i="30" s="1"/>
  <c r="M202" i="30"/>
  <c r="M169" i="4" s="1"/>
  <c r="M89" i="2" s="1"/>
  <c r="N202" i="30"/>
  <c r="N169" i="4" s="1"/>
  <c r="N89" i="2" s="1"/>
  <c r="O202" i="30"/>
  <c r="O169" i="4" s="1"/>
  <c r="O89" i="2" s="1"/>
  <c r="P202" i="30"/>
  <c r="P169" i="4" s="1"/>
  <c r="P89" i="2" s="1"/>
  <c r="Q202" i="30"/>
  <c r="Q169" i="4" s="1"/>
  <c r="Q89" i="2" s="1"/>
  <c r="R202" i="30"/>
  <c r="R169" i="4" s="1"/>
  <c r="R89" i="2" s="1"/>
  <c r="S202" i="30"/>
  <c r="S169" i="4" s="1"/>
  <c r="S89" i="2" s="1"/>
  <c r="L202" i="30"/>
  <c r="K52" i="2"/>
  <c r="J52" i="2"/>
  <c r="I52" i="2"/>
  <c r="H52" i="2"/>
  <c r="G52" i="2"/>
  <c r="H50" i="2"/>
  <c r="I50" i="2"/>
  <c r="J50" i="2"/>
  <c r="K50" i="2"/>
  <c r="G50" i="2"/>
  <c r="H47" i="2"/>
  <c r="I47" i="2"/>
  <c r="J47" i="2"/>
  <c r="K47" i="2"/>
  <c r="H48" i="2"/>
  <c r="I48" i="2"/>
  <c r="J48" i="2"/>
  <c r="K48" i="2"/>
  <c r="H49" i="2"/>
  <c r="I49" i="2"/>
  <c r="J49" i="2"/>
  <c r="K49" i="2"/>
  <c r="G49" i="2"/>
  <c r="G48" i="2"/>
  <c r="G47" i="2"/>
  <c r="H51" i="2"/>
  <c r="I51" i="2"/>
  <c r="J51" i="2"/>
  <c r="K51" i="2"/>
  <c r="G51" i="2"/>
  <c r="G46" i="2"/>
  <c r="H46" i="2"/>
  <c r="I46" i="2"/>
  <c r="J46" i="2"/>
  <c r="K46" i="2"/>
  <c r="C51" i="2"/>
  <c r="C50" i="2"/>
  <c r="C49" i="2"/>
  <c r="C48" i="2"/>
  <c r="C47" i="2"/>
  <c r="C46" i="2"/>
  <c r="L150" i="2"/>
  <c r="M150" i="2" s="1"/>
  <c r="N150" i="2" s="1"/>
  <c r="O150" i="2" s="1"/>
  <c r="P150" i="2" s="1"/>
  <c r="Q150" i="2" s="1"/>
  <c r="R150" i="2" s="1"/>
  <c r="S150" i="2" s="1"/>
  <c r="L127" i="2"/>
  <c r="M167" i="30"/>
  <c r="M29" i="2" s="1"/>
  <c r="M67" i="2" s="1"/>
  <c r="N32" i="20" s="1"/>
  <c r="N167" i="30"/>
  <c r="N29" i="2" s="1"/>
  <c r="N67" i="2" s="1"/>
  <c r="O32" i="20" s="1"/>
  <c r="O167" i="30"/>
  <c r="O29" i="2" s="1"/>
  <c r="O67" i="2" s="1"/>
  <c r="P32" i="20" s="1"/>
  <c r="P167" i="30"/>
  <c r="P29" i="2" s="1"/>
  <c r="P67" i="2" s="1"/>
  <c r="Q32" i="20" s="1"/>
  <c r="Q167" i="30"/>
  <c r="Q29" i="2" s="1"/>
  <c r="Q67" i="2" s="1"/>
  <c r="R32" i="20" s="1"/>
  <c r="R167" i="30"/>
  <c r="R29" i="2" s="1"/>
  <c r="R67" i="2" s="1"/>
  <c r="S32" i="20" s="1"/>
  <c r="S167" i="30"/>
  <c r="S29" i="2" s="1"/>
  <c r="S67" i="2" s="1"/>
  <c r="T32" i="20" s="1"/>
  <c r="L167" i="30"/>
  <c r="L29" i="2" s="1"/>
  <c r="L67" i="2" s="1"/>
  <c r="M32" i="20" s="1"/>
  <c r="M166" i="30"/>
  <c r="N166" i="30"/>
  <c r="O166" i="30"/>
  <c r="P166" i="30"/>
  <c r="Q166" i="30"/>
  <c r="R166" i="30"/>
  <c r="S166" i="30"/>
  <c r="L166" i="30"/>
  <c r="I46" i="20"/>
  <c r="J46" i="20"/>
  <c r="K46" i="20"/>
  <c r="L46" i="20"/>
  <c r="H46" i="20"/>
  <c r="I41" i="20"/>
  <c r="K41" i="20"/>
  <c r="L41" i="20"/>
  <c r="H41" i="20"/>
  <c r="H39" i="20"/>
  <c r="I38" i="20"/>
  <c r="J38" i="20"/>
  <c r="K38" i="20"/>
  <c r="L38" i="20"/>
  <c r="H38" i="20"/>
  <c r="I33" i="20"/>
  <c r="J33" i="20"/>
  <c r="K33" i="20"/>
  <c r="L33" i="20"/>
  <c r="H33" i="20"/>
  <c r="I10" i="20"/>
  <c r="J10" i="20"/>
  <c r="K10" i="20"/>
  <c r="L10" i="20"/>
  <c r="C10" i="20"/>
  <c r="I9" i="20"/>
  <c r="J9" i="20"/>
  <c r="K9" i="20"/>
  <c r="L9" i="20"/>
  <c r="H9" i="20"/>
  <c r="C9" i="20"/>
  <c r="H61" i="4"/>
  <c r="J195" i="30"/>
  <c r="K195" i="30"/>
  <c r="I158" i="30"/>
  <c r="J158" i="30"/>
  <c r="H163" i="4"/>
  <c r="I42" i="20" s="1"/>
  <c r="I163" i="4"/>
  <c r="J42" i="20" s="1"/>
  <c r="J163" i="4"/>
  <c r="K42" i="20" s="1"/>
  <c r="K163" i="4"/>
  <c r="L42" i="20" s="1"/>
  <c r="G163" i="4"/>
  <c r="H179" i="4"/>
  <c r="I179" i="4"/>
  <c r="J179" i="4"/>
  <c r="K179" i="4"/>
  <c r="G179" i="4"/>
  <c r="I92" i="4"/>
  <c r="J92" i="4"/>
  <c r="K92" i="4"/>
  <c r="H56" i="4"/>
  <c r="I56" i="4"/>
  <c r="J56" i="4"/>
  <c r="K56" i="4"/>
  <c r="G56" i="4"/>
  <c r="H179" i="30"/>
  <c r="I179" i="30"/>
  <c r="J179" i="30"/>
  <c r="K179" i="30"/>
  <c r="G179" i="30"/>
  <c r="H92" i="30"/>
  <c r="H110" i="30" s="1"/>
  <c r="I92" i="30"/>
  <c r="I110" i="30" s="1"/>
  <c r="J92" i="30"/>
  <c r="J110" i="30" s="1"/>
  <c r="K92" i="30"/>
  <c r="K110" i="30" s="1"/>
  <c r="G92" i="30"/>
  <c r="G110" i="30" s="1"/>
  <c r="G110" i="31"/>
  <c r="H75" i="2"/>
  <c r="I75" i="2"/>
  <c r="J75" i="2"/>
  <c r="K75" i="2"/>
  <c r="G75" i="2"/>
  <c r="C139" i="30"/>
  <c r="H119" i="2"/>
  <c r="I119" i="2"/>
  <c r="J119" i="2"/>
  <c r="K119" i="2"/>
  <c r="G119" i="2"/>
  <c r="H149" i="2"/>
  <c r="K149" i="2"/>
  <c r="K135" i="2"/>
  <c r="C51" i="30"/>
  <c r="C50" i="30"/>
  <c r="C49" i="30"/>
  <c r="C46" i="30"/>
  <c r="C45" i="30"/>
  <c r="C44" i="30"/>
  <c r="C41" i="30"/>
  <c r="C40" i="30"/>
  <c r="C39" i="30"/>
  <c r="C36" i="30"/>
  <c r="C35" i="30"/>
  <c r="C34" i="30"/>
  <c r="J149" i="2"/>
  <c r="G149" i="2"/>
  <c r="C7" i="36"/>
  <c r="D7" i="36"/>
  <c r="E7" i="36"/>
  <c r="F7" i="36"/>
  <c r="G7" i="36"/>
  <c r="H7" i="36"/>
  <c r="C8" i="36"/>
  <c r="D8" i="36"/>
  <c r="E8" i="36"/>
  <c r="F8" i="36"/>
  <c r="G8" i="36"/>
  <c r="H8" i="36"/>
  <c r="C9" i="36"/>
  <c r="D9" i="36"/>
  <c r="E9" i="36"/>
  <c r="F9" i="36"/>
  <c r="G9" i="36"/>
  <c r="H9" i="36"/>
  <c r="C10" i="36"/>
  <c r="D10" i="36"/>
  <c r="E10" i="36"/>
  <c r="F10" i="36"/>
  <c r="G10" i="36"/>
  <c r="H10" i="36"/>
  <c r="C11" i="36"/>
  <c r="D11" i="36"/>
  <c r="E11" i="36"/>
  <c r="F11" i="36"/>
  <c r="G11" i="36"/>
  <c r="H11" i="36"/>
  <c r="C12" i="36"/>
  <c r="D12" i="36"/>
  <c r="E12" i="36"/>
  <c r="F12" i="36"/>
  <c r="G12" i="36"/>
  <c r="H12" i="36"/>
  <c r="C13" i="36"/>
  <c r="D13" i="36"/>
  <c r="E13" i="36"/>
  <c r="F13" i="36"/>
  <c r="G13" i="36"/>
  <c r="H13" i="36"/>
  <c r="C14" i="36"/>
  <c r="D14" i="36"/>
  <c r="E14" i="36"/>
  <c r="F14" i="36"/>
  <c r="G14" i="36"/>
  <c r="H14" i="36"/>
  <c r="C15" i="36"/>
  <c r="D15" i="36"/>
  <c r="E15" i="36"/>
  <c r="F15" i="36"/>
  <c r="G15" i="36"/>
  <c r="H15" i="36"/>
  <c r="C16" i="36"/>
  <c r="D16" i="36"/>
  <c r="E16" i="36"/>
  <c r="F16" i="36"/>
  <c r="G16" i="36"/>
  <c r="H16" i="36"/>
  <c r="C17" i="36"/>
  <c r="D17" i="36"/>
  <c r="E17" i="36"/>
  <c r="F17" i="36"/>
  <c r="G17" i="36"/>
  <c r="H17" i="36"/>
  <c r="C18" i="36"/>
  <c r="D18" i="36"/>
  <c r="E18" i="36"/>
  <c r="F18" i="36"/>
  <c r="G18" i="36"/>
  <c r="H18" i="36"/>
  <c r="C19" i="36"/>
  <c r="D19" i="36"/>
  <c r="E19" i="36"/>
  <c r="F19" i="36"/>
  <c r="G19" i="36"/>
  <c r="H19" i="36"/>
  <c r="C20" i="36"/>
  <c r="D20" i="36"/>
  <c r="E20" i="36"/>
  <c r="F20" i="36"/>
  <c r="G20" i="36"/>
  <c r="H20" i="36"/>
  <c r="C21" i="36"/>
  <c r="D21" i="36"/>
  <c r="E21" i="36"/>
  <c r="F21" i="36"/>
  <c r="G21" i="36"/>
  <c r="H21" i="36"/>
  <c r="C22" i="36"/>
  <c r="D22" i="36"/>
  <c r="E22" i="36"/>
  <c r="F22" i="36"/>
  <c r="G22" i="36"/>
  <c r="H22" i="36"/>
  <c r="C23" i="36"/>
  <c r="D23" i="36"/>
  <c r="E23" i="36"/>
  <c r="F23" i="36"/>
  <c r="G23" i="36"/>
  <c r="H23" i="36"/>
  <c r="C24" i="36"/>
  <c r="D24" i="36"/>
  <c r="E24" i="36"/>
  <c r="F24" i="36"/>
  <c r="G24" i="36"/>
  <c r="H24" i="36"/>
  <c r="C25" i="36"/>
  <c r="D25" i="36"/>
  <c r="E25" i="36"/>
  <c r="F25" i="36"/>
  <c r="G25" i="36"/>
  <c r="H25" i="36"/>
  <c r="C26" i="36"/>
  <c r="D26" i="36"/>
  <c r="E26" i="36"/>
  <c r="F26" i="36"/>
  <c r="G26" i="36"/>
  <c r="H26" i="36"/>
  <c r="C27" i="36"/>
  <c r="D27" i="36"/>
  <c r="E27" i="36"/>
  <c r="F27" i="36"/>
  <c r="G27" i="36"/>
  <c r="H27" i="36"/>
  <c r="C28" i="36"/>
  <c r="D28" i="36"/>
  <c r="E28" i="36"/>
  <c r="F28" i="36"/>
  <c r="G28" i="36"/>
  <c r="H28" i="36"/>
  <c r="C29" i="36"/>
  <c r="D29" i="36"/>
  <c r="E29" i="36"/>
  <c r="F29" i="36"/>
  <c r="G29" i="36"/>
  <c r="H29" i="36"/>
  <c r="C30" i="36"/>
  <c r="D30" i="36"/>
  <c r="E30" i="36"/>
  <c r="F30" i="36"/>
  <c r="G30" i="36"/>
  <c r="H30" i="36"/>
  <c r="C31" i="36"/>
  <c r="D31" i="36"/>
  <c r="E31" i="36"/>
  <c r="F31" i="36"/>
  <c r="G31" i="36"/>
  <c r="H31" i="36"/>
  <c r="C32" i="36"/>
  <c r="D32" i="36"/>
  <c r="E32" i="36"/>
  <c r="F32" i="36"/>
  <c r="G32" i="36"/>
  <c r="H32" i="36"/>
  <c r="C33" i="36"/>
  <c r="D33" i="36"/>
  <c r="E33" i="36"/>
  <c r="F33" i="36"/>
  <c r="G33" i="36"/>
  <c r="H33" i="36"/>
  <c r="C34" i="36"/>
  <c r="D34" i="36"/>
  <c r="E34" i="36"/>
  <c r="F34" i="36"/>
  <c r="G34" i="36"/>
  <c r="H34" i="36"/>
  <c r="C35" i="36"/>
  <c r="D35" i="36"/>
  <c r="E35" i="36"/>
  <c r="F35" i="36"/>
  <c r="G35" i="36"/>
  <c r="H35" i="36"/>
  <c r="C36" i="36"/>
  <c r="D36" i="36"/>
  <c r="E36" i="36"/>
  <c r="F36" i="36"/>
  <c r="G36" i="36"/>
  <c r="H36" i="36"/>
  <c r="C39" i="36"/>
  <c r="D39" i="36"/>
  <c r="E39" i="36"/>
  <c r="F39" i="36"/>
  <c r="G39" i="36"/>
  <c r="H39" i="36"/>
  <c r="C40" i="36"/>
  <c r="D40" i="36"/>
  <c r="E40" i="36"/>
  <c r="F40" i="36"/>
  <c r="G40" i="36"/>
  <c r="H40" i="36"/>
  <c r="C41" i="36"/>
  <c r="D41" i="36"/>
  <c r="E41" i="36"/>
  <c r="F41" i="36"/>
  <c r="G41" i="36"/>
  <c r="H41" i="36"/>
  <c r="C42" i="36"/>
  <c r="D42" i="36"/>
  <c r="E42" i="36"/>
  <c r="F42" i="36"/>
  <c r="G42" i="36"/>
  <c r="H42" i="36"/>
  <c r="C43" i="36"/>
  <c r="D43" i="36"/>
  <c r="E43" i="36"/>
  <c r="F43" i="36"/>
  <c r="G43" i="36"/>
  <c r="H43" i="36"/>
  <c r="C44" i="36"/>
  <c r="D44" i="36"/>
  <c r="E44" i="36"/>
  <c r="F44" i="36"/>
  <c r="G44" i="36"/>
  <c r="H44" i="36"/>
  <c r="C45" i="36"/>
  <c r="D45" i="36"/>
  <c r="E45" i="36"/>
  <c r="F45" i="36"/>
  <c r="G45" i="36"/>
  <c r="H45" i="36"/>
  <c r="C46" i="36"/>
  <c r="D46" i="36"/>
  <c r="E46" i="36"/>
  <c r="F46" i="36"/>
  <c r="G46" i="36"/>
  <c r="H46" i="36"/>
  <c r="C47" i="36"/>
  <c r="D47" i="36"/>
  <c r="E47" i="36"/>
  <c r="F47" i="36"/>
  <c r="G47" i="36"/>
  <c r="H47" i="36"/>
  <c r="C48" i="36"/>
  <c r="D48" i="36"/>
  <c r="E48" i="36"/>
  <c r="F48" i="36"/>
  <c r="G48" i="36"/>
  <c r="H48" i="36"/>
  <c r="C49" i="36"/>
  <c r="D49" i="36"/>
  <c r="E49" i="36"/>
  <c r="F49" i="36"/>
  <c r="G49" i="36"/>
  <c r="H49" i="36"/>
  <c r="C50" i="36"/>
  <c r="D50" i="36"/>
  <c r="E50" i="36"/>
  <c r="F50" i="36"/>
  <c r="G50" i="36"/>
  <c r="H50" i="36"/>
  <c r="C51" i="36"/>
  <c r="D51" i="36"/>
  <c r="E51" i="36"/>
  <c r="F51" i="36"/>
  <c r="G51" i="36"/>
  <c r="H51" i="36"/>
  <c r="C52" i="36"/>
  <c r="D52" i="36"/>
  <c r="E52" i="36"/>
  <c r="F52" i="36"/>
  <c r="G52" i="36"/>
  <c r="H52" i="36"/>
  <c r="C53" i="36"/>
  <c r="D53" i="36"/>
  <c r="E53" i="36"/>
  <c r="F53" i="36"/>
  <c r="G53" i="36"/>
  <c r="H53" i="36"/>
  <c r="C54" i="36"/>
  <c r="D54" i="36"/>
  <c r="E54" i="36"/>
  <c r="F54" i="36"/>
  <c r="G54" i="36"/>
  <c r="H54" i="36"/>
  <c r="C55" i="36"/>
  <c r="D55" i="36"/>
  <c r="E55" i="36"/>
  <c r="F55" i="36"/>
  <c r="G55" i="36"/>
  <c r="H55" i="36"/>
  <c r="C56" i="36"/>
  <c r="D56" i="36"/>
  <c r="E56" i="36"/>
  <c r="F56" i="36"/>
  <c r="G56" i="36"/>
  <c r="H56" i="36"/>
  <c r="C57" i="36"/>
  <c r="D57" i="36"/>
  <c r="E57" i="36"/>
  <c r="F57" i="36"/>
  <c r="G57" i="36"/>
  <c r="H57" i="36"/>
  <c r="C58" i="36"/>
  <c r="D58" i="36"/>
  <c r="E58" i="36"/>
  <c r="F58" i="36"/>
  <c r="G58" i="36"/>
  <c r="H58" i="36"/>
  <c r="C59" i="36"/>
  <c r="D59" i="36"/>
  <c r="E59" i="36"/>
  <c r="F59" i="36"/>
  <c r="G59" i="36"/>
  <c r="H59" i="36"/>
  <c r="C60" i="36"/>
  <c r="D60" i="36"/>
  <c r="E60" i="36"/>
  <c r="F60" i="36"/>
  <c r="G60" i="36"/>
  <c r="H60" i="36"/>
  <c r="C61" i="36"/>
  <c r="D61" i="36"/>
  <c r="E61" i="36"/>
  <c r="F61" i="36"/>
  <c r="G61" i="36"/>
  <c r="H61" i="36"/>
  <c r="C62" i="36"/>
  <c r="D62" i="36"/>
  <c r="E62" i="36"/>
  <c r="F62" i="36"/>
  <c r="G62" i="36"/>
  <c r="H62" i="36"/>
  <c r="C63" i="36"/>
  <c r="D63" i="36"/>
  <c r="E63" i="36"/>
  <c r="F63" i="36"/>
  <c r="G63" i="36"/>
  <c r="H63" i="36"/>
  <c r="C64" i="36"/>
  <c r="D64" i="36"/>
  <c r="E64" i="36"/>
  <c r="F64" i="36"/>
  <c r="G64" i="36"/>
  <c r="H64" i="36"/>
  <c r="C65" i="36"/>
  <c r="D65" i="36"/>
  <c r="E65" i="36"/>
  <c r="F65" i="36"/>
  <c r="G65" i="36"/>
  <c r="H65" i="36"/>
  <c r="C66" i="36"/>
  <c r="D66" i="36"/>
  <c r="E66" i="36"/>
  <c r="F66" i="36"/>
  <c r="G66" i="36"/>
  <c r="H66" i="36"/>
  <c r="C67" i="36"/>
  <c r="D67" i="36"/>
  <c r="E67" i="36"/>
  <c r="F67" i="36"/>
  <c r="G67" i="36"/>
  <c r="H67" i="36"/>
  <c r="C68" i="36"/>
  <c r="D68" i="36"/>
  <c r="E68" i="36"/>
  <c r="F68" i="36"/>
  <c r="G68" i="36"/>
  <c r="H68" i="36"/>
  <c r="C69" i="36"/>
  <c r="D69" i="36"/>
  <c r="E69" i="36"/>
  <c r="F69" i="36"/>
  <c r="G69" i="36"/>
  <c r="H69" i="36"/>
  <c r="C70" i="36"/>
  <c r="D70" i="36"/>
  <c r="E70" i="36"/>
  <c r="F70" i="36"/>
  <c r="G70" i="36"/>
  <c r="H70" i="36"/>
  <c r="C71" i="36"/>
  <c r="D71" i="36"/>
  <c r="E71" i="36"/>
  <c r="F71" i="36"/>
  <c r="G71" i="36"/>
  <c r="H71" i="36"/>
  <c r="C72" i="36"/>
  <c r="D72" i="36"/>
  <c r="E72" i="36"/>
  <c r="F72" i="36"/>
  <c r="G72" i="36"/>
  <c r="H72" i="36"/>
  <c r="C73" i="36"/>
  <c r="D73" i="36"/>
  <c r="E73" i="36"/>
  <c r="F73" i="36"/>
  <c r="G73" i="36"/>
  <c r="H73" i="36"/>
  <c r="C74" i="36"/>
  <c r="D74" i="36"/>
  <c r="E74" i="36"/>
  <c r="F74" i="36"/>
  <c r="G74" i="36"/>
  <c r="H74" i="36"/>
  <c r="C75" i="36"/>
  <c r="D75" i="36"/>
  <c r="E75" i="36"/>
  <c r="F75" i="36"/>
  <c r="G75" i="36"/>
  <c r="H75" i="36"/>
  <c r="C76" i="36"/>
  <c r="D76" i="36"/>
  <c r="E76" i="36"/>
  <c r="F76" i="36"/>
  <c r="G76" i="36"/>
  <c r="H76" i="36"/>
  <c r="C77" i="36"/>
  <c r="D77" i="36"/>
  <c r="E77" i="36"/>
  <c r="F77" i="36"/>
  <c r="G77" i="36"/>
  <c r="H77" i="36"/>
  <c r="C78" i="36"/>
  <c r="D78" i="36"/>
  <c r="E78" i="36"/>
  <c r="F78" i="36"/>
  <c r="G78" i="36"/>
  <c r="H78" i="36"/>
  <c r="C79" i="36"/>
  <c r="D79" i="36"/>
  <c r="E79" i="36"/>
  <c r="F79" i="36"/>
  <c r="G79" i="36"/>
  <c r="H79" i="36"/>
  <c r="C83" i="36"/>
  <c r="D83" i="36"/>
  <c r="E83" i="36"/>
  <c r="F83" i="36"/>
  <c r="G83" i="36"/>
  <c r="H83" i="36"/>
  <c r="C84" i="36"/>
  <c r="D84" i="36"/>
  <c r="E84" i="36"/>
  <c r="F84" i="36"/>
  <c r="G84" i="36"/>
  <c r="H84" i="36"/>
  <c r="C85" i="36"/>
  <c r="D85" i="36"/>
  <c r="E85" i="36"/>
  <c r="F85" i="36"/>
  <c r="G85" i="36"/>
  <c r="H85" i="36"/>
  <c r="C86" i="36"/>
  <c r="D86" i="36"/>
  <c r="E86" i="36"/>
  <c r="F86" i="36"/>
  <c r="G86" i="36"/>
  <c r="H86" i="36"/>
  <c r="C87" i="36"/>
  <c r="D87" i="36"/>
  <c r="E87" i="36"/>
  <c r="F87" i="36"/>
  <c r="G87" i="36"/>
  <c r="H87" i="36"/>
  <c r="C88" i="36"/>
  <c r="D88" i="36"/>
  <c r="E88" i="36"/>
  <c r="F88" i="36"/>
  <c r="G88" i="36"/>
  <c r="H88" i="36"/>
  <c r="C89" i="36"/>
  <c r="D89" i="36"/>
  <c r="E89" i="36"/>
  <c r="F89" i="36"/>
  <c r="G89" i="36"/>
  <c r="H89" i="36"/>
  <c r="C90" i="36"/>
  <c r="D90" i="36"/>
  <c r="E90" i="36"/>
  <c r="F90" i="36"/>
  <c r="G90" i="36"/>
  <c r="H90" i="36"/>
  <c r="C91" i="36"/>
  <c r="D91" i="36"/>
  <c r="E91" i="36"/>
  <c r="F91" i="36"/>
  <c r="G91" i="36"/>
  <c r="H91" i="36"/>
  <c r="C92" i="36"/>
  <c r="D92" i="36"/>
  <c r="E92" i="36"/>
  <c r="F92" i="36"/>
  <c r="G92" i="36"/>
  <c r="H92" i="36"/>
  <c r="C93" i="36"/>
  <c r="D93" i="36"/>
  <c r="E93" i="36"/>
  <c r="F93" i="36"/>
  <c r="G93" i="36"/>
  <c r="H93" i="36"/>
  <c r="G67" i="30" l="1"/>
  <c r="G66" i="30"/>
  <c r="G65" i="30"/>
  <c r="H65" i="30"/>
  <c r="H66" i="30"/>
  <c r="H67" i="30"/>
  <c r="I65" i="30"/>
  <c r="I66" i="30"/>
  <c r="I67" i="30"/>
  <c r="L207" i="30"/>
  <c r="M207" i="30" s="1"/>
  <c r="N207" i="30" s="1"/>
  <c r="O207" i="30" s="1"/>
  <c r="P207" i="30" s="1"/>
  <c r="Q207" i="30" s="1"/>
  <c r="R207" i="30" s="1"/>
  <c r="S207" i="30" s="1"/>
  <c r="O71" i="30"/>
  <c r="J65" i="30"/>
  <c r="J66" i="30"/>
  <c r="J67" i="30"/>
  <c r="N70" i="30"/>
  <c r="K65" i="30"/>
  <c r="K66" i="30"/>
  <c r="K67" i="30"/>
  <c r="M92" i="4"/>
  <c r="L92" i="4"/>
  <c r="N92" i="4" s="1"/>
  <c r="O92" i="4" s="1"/>
  <c r="L169" i="4"/>
  <c r="L89" i="2" s="1"/>
  <c r="O138" i="2"/>
  <c r="O52" i="4"/>
  <c r="P50" i="4"/>
  <c r="P53" i="4"/>
  <c r="Q53" i="4" s="1"/>
  <c r="J93" i="30"/>
  <c r="H93" i="30"/>
  <c r="K93" i="30"/>
  <c r="I93" i="30"/>
  <c r="H42" i="20"/>
  <c r="G160" i="4"/>
  <c r="I94" i="2"/>
  <c r="M127" i="2"/>
  <c r="K142" i="2"/>
  <c r="K128" i="2"/>
  <c r="I149" i="2"/>
  <c r="H135" i="2"/>
  <c r="H142" i="2" s="1"/>
  <c r="I135" i="2"/>
  <c r="I142" i="2" s="1"/>
  <c r="J135" i="2"/>
  <c r="J142" i="2" s="1"/>
  <c r="G135" i="2"/>
  <c r="G142" i="2" s="1"/>
  <c r="K94" i="2"/>
  <c r="K83" i="2"/>
  <c r="C7" i="35"/>
  <c r="D7" i="35"/>
  <c r="E7" i="35"/>
  <c r="F7" i="35"/>
  <c r="G7" i="35"/>
  <c r="H7" i="35"/>
  <c r="C8" i="35"/>
  <c r="D8" i="35"/>
  <c r="E8" i="35"/>
  <c r="F8" i="35"/>
  <c r="G8" i="35"/>
  <c r="H8" i="35"/>
  <c r="C9" i="35"/>
  <c r="D9" i="35"/>
  <c r="E9" i="35"/>
  <c r="F9" i="35"/>
  <c r="G9" i="35"/>
  <c r="H9" i="35"/>
  <c r="C10" i="35"/>
  <c r="D10" i="35"/>
  <c r="E10" i="35"/>
  <c r="F10" i="35"/>
  <c r="G10" i="35"/>
  <c r="H10" i="35"/>
  <c r="C11" i="35"/>
  <c r="D11" i="35"/>
  <c r="E11" i="35"/>
  <c r="F11" i="35"/>
  <c r="G11" i="35"/>
  <c r="H11" i="35"/>
  <c r="C12" i="35"/>
  <c r="D12" i="35"/>
  <c r="E12" i="35"/>
  <c r="F12" i="35"/>
  <c r="G12" i="35"/>
  <c r="H12" i="35"/>
  <c r="C13" i="35"/>
  <c r="D13" i="35"/>
  <c r="E13" i="35"/>
  <c r="F13" i="35"/>
  <c r="G13" i="35"/>
  <c r="H13" i="35"/>
  <c r="C14" i="35"/>
  <c r="D14" i="35"/>
  <c r="E14" i="35"/>
  <c r="F14" i="35"/>
  <c r="G14" i="35"/>
  <c r="H14" i="35"/>
  <c r="C15" i="35"/>
  <c r="D15" i="35"/>
  <c r="E15" i="35"/>
  <c r="F15" i="35"/>
  <c r="G15" i="35"/>
  <c r="H15" i="35"/>
  <c r="C16" i="35"/>
  <c r="D16" i="35"/>
  <c r="E16" i="35"/>
  <c r="F16" i="35"/>
  <c r="G16" i="35"/>
  <c r="H16" i="35"/>
  <c r="C17" i="35"/>
  <c r="D17" i="35"/>
  <c r="E17" i="35"/>
  <c r="F17" i="35"/>
  <c r="G17" i="35"/>
  <c r="H17" i="35"/>
  <c r="C18" i="35"/>
  <c r="D18" i="35"/>
  <c r="E18" i="35"/>
  <c r="F18" i="35"/>
  <c r="G18" i="35"/>
  <c r="H18" i="35"/>
  <c r="C21" i="35"/>
  <c r="D21" i="35"/>
  <c r="E21" i="35"/>
  <c r="F21" i="35"/>
  <c r="G21" i="35"/>
  <c r="H21" i="35"/>
  <c r="C22" i="35"/>
  <c r="D22" i="35"/>
  <c r="E22" i="35"/>
  <c r="F22" i="35"/>
  <c r="G22" i="35"/>
  <c r="H22" i="35"/>
  <c r="C23" i="35"/>
  <c r="D23" i="35"/>
  <c r="E23" i="35"/>
  <c r="F23" i="35"/>
  <c r="G23" i="35"/>
  <c r="H23" i="35"/>
  <c r="C24" i="35"/>
  <c r="D24" i="35"/>
  <c r="E24" i="35"/>
  <c r="F24" i="35"/>
  <c r="G24" i="35"/>
  <c r="H24" i="35"/>
  <c r="C25" i="35"/>
  <c r="D25" i="35"/>
  <c r="E25" i="35"/>
  <c r="F25" i="35"/>
  <c r="G25" i="35"/>
  <c r="H25" i="35"/>
  <c r="C26" i="35"/>
  <c r="D26" i="35"/>
  <c r="E26" i="35"/>
  <c r="F26" i="35"/>
  <c r="G26" i="35"/>
  <c r="H26" i="35"/>
  <c r="C27" i="35"/>
  <c r="D27" i="35"/>
  <c r="E27" i="35"/>
  <c r="F27" i="35"/>
  <c r="G27" i="35"/>
  <c r="H27" i="35"/>
  <c r="C28" i="35"/>
  <c r="D28" i="35"/>
  <c r="E28" i="35"/>
  <c r="F28" i="35"/>
  <c r="G28" i="35"/>
  <c r="H28" i="35"/>
  <c r="C29" i="35"/>
  <c r="D29" i="35"/>
  <c r="E29" i="35"/>
  <c r="F29" i="35"/>
  <c r="G29" i="35"/>
  <c r="H29" i="35"/>
  <c r="C30" i="35"/>
  <c r="D30" i="35"/>
  <c r="E30" i="35"/>
  <c r="F30" i="35"/>
  <c r="G30" i="35"/>
  <c r="H30" i="35"/>
  <c r="C31" i="35"/>
  <c r="D31" i="35"/>
  <c r="E31" i="35"/>
  <c r="F31" i="35"/>
  <c r="G31" i="35"/>
  <c r="H31" i="35"/>
  <c r="C32" i="35"/>
  <c r="D32" i="35"/>
  <c r="E32" i="35"/>
  <c r="F32" i="35"/>
  <c r="G32" i="35"/>
  <c r="H32" i="35"/>
  <c r="C33" i="35"/>
  <c r="D33" i="35"/>
  <c r="E33" i="35"/>
  <c r="F33" i="35"/>
  <c r="G33" i="35"/>
  <c r="H33" i="35"/>
  <c r="C34" i="35"/>
  <c r="D34" i="35"/>
  <c r="E34" i="35"/>
  <c r="F34" i="35"/>
  <c r="G34" i="35"/>
  <c r="H34" i="35"/>
  <c r="C35" i="35"/>
  <c r="D35" i="35"/>
  <c r="E35" i="35"/>
  <c r="F35" i="35"/>
  <c r="G35" i="35"/>
  <c r="H35" i="35"/>
  <c r="C36" i="35"/>
  <c r="D36" i="35"/>
  <c r="E36" i="35"/>
  <c r="F36" i="35"/>
  <c r="G36" i="35"/>
  <c r="H36" i="35"/>
  <c r="C37" i="35"/>
  <c r="D37" i="35"/>
  <c r="E37" i="35"/>
  <c r="F37" i="35"/>
  <c r="G37" i="35"/>
  <c r="H37" i="35"/>
  <c r="C40" i="35"/>
  <c r="D40" i="35"/>
  <c r="E40" i="35"/>
  <c r="F40" i="35"/>
  <c r="G40" i="35"/>
  <c r="H40" i="35"/>
  <c r="C41" i="35"/>
  <c r="D41" i="35"/>
  <c r="E41" i="35"/>
  <c r="F41" i="35"/>
  <c r="G41" i="35"/>
  <c r="H41" i="35"/>
  <c r="C42" i="35"/>
  <c r="D42" i="35"/>
  <c r="E42" i="35"/>
  <c r="F42" i="35"/>
  <c r="G42" i="35"/>
  <c r="H42" i="35"/>
  <c r="C43" i="35"/>
  <c r="D43" i="35"/>
  <c r="E43" i="35"/>
  <c r="F43" i="35"/>
  <c r="G43" i="35"/>
  <c r="H43" i="35"/>
  <c r="C44" i="35"/>
  <c r="D44" i="35"/>
  <c r="E44" i="35"/>
  <c r="F44" i="35"/>
  <c r="G44" i="35"/>
  <c r="H44" i="35"/>
  <c r="C45" i="35"/>
  <c r="D45" i="35"/>
  <c r="E45" i="35"/>
  <c r="F45" i="35"/>
  <c r="G45" i="35"/>
  <c r="H45" i="35"/>
  <c r="C46" i="35"/>
  <c r="D46" i="35"/>
  <c r="E46" i="35"/>
  <c r="F46" i="35"/>
  <c r="G46" i="35"/>
  <c r="H46" i="35"/>
  <c r="C47" i="35"/>
  <c r="D47" i="35"/>
  <c r="E47" i="35"/>
  <c r="F47" i="35"/>
  <c r="G47" i="35"/>
  <c r="H47" i="35"/>
  <c r="C48" i="35"/>
  <c r="D48" i="35"/>
  <c r="E48" i="35"/>
  <c r="F48" i="35"/>
  <c r="G48" i="35"/>
  <c r="H48" i="35"/>
  <c r="C49" i="35"/>
  <c r="D49" i="35"/>
  <c r="E49" i="35"/>
  <c r="F49" i="35"/>
  <c r="G49" i="35"/>
  <c r="H49" i="35"/>
  <c r="C50" i="35"/>
  <c r="D50" i="35"/>
  <c r="E50" i="35"/>
  <c r="F50" i="35"/>
  <c r="G50" i="35"/>
  <c r="H50" i="35"/>
  <c r="C52" i="35"/>
  <c r="D52" i="35"/>
  <c r="E52" i="35"/>
  <c r="F52" i="35"/>
  <c r="G52" i="35"/>
  <c r="H52" i="35"/>
  <c r="C54" i="35"/>
  <c r="D54" i="35"/>
  <c r="E54" i="35"/>
  <c r="F54" i="35"/>
  <c r="G54" i="35"/>
  <c r="H54" i="35"/>
  <c r="C56" i="35"/>
  <c r="D56" i="35"/>
  <c r="E56" i="35"/>
  <c r="F56" i="35"/>
  <c r="G56" i="35"/>
  <c r="H56" i="35"/>
  <c r="C59" i="35"/>
  <c r="D59" i="35"/>
  <c r="E59" i="35"/>
  <c r="F59" i="35"/>
  <c r="G59" i="35"/>
  <c r="H59" i="35"/>
  <c r="C60" i="35"/>
  <c r="D60" i="35"/>
  <c r="E60" i="35"/>
  <c r="F60" i="35"/>
  <c r="G60" i="35"/>
  <c r="H60" i="35"/>
  <c r="C61" i="35"/>
  <c r="D61" i="35"/>
  <c r="E61" i="35"/>
  <c r="F61" i="35"/>
  <c r="G61" i="35"/>
  <c r="H61" i="35"/>
  <c r="C62" i="35"/>
  <c r="D62" i="35"/>
  <c r="E62" i="35"/>
  <c r="F62" i="35"/>
  <c r="G62" i="35"/>
  <c r="H62" i="35"/>
  <c r="C63" i="35"/>
  <c r="D63" i="35"/>
  <c r="E63" i="35"/>
  <c r="F63" i="35"/>
  <c r="G63" i="35"/>
  <c r="H63" i="35"/>
  <c r="C64" i="35"/>
  <c r="D64" i="35"/>
  <c r="E64" i="35"/>
  <c r="F64" i="35"/>
  <c r="G64" i="35"/>
  <c r="H64" i="35"/>
  <c r="C65" i="35"/>
  <c r="D65" i="35"/>
  <c r="E65" i="35"/>
  <c r="F65" i="35"/>
  <c r="G65" i="35"/>
  <c r="H65" i="35"/>
  <c r="C66" i="35"/>
  <c r="D66" i="35"/>
  <c r="E66" i="35"/>
  <c r="F66" i="35"/>
  <c r="G66" i="35"/>
  <c r="H66" i="35"/>
  <c r="C67" i="35"/>
  <c r="D67" i="35"/>
  <c r="E67" i="35"/>
  <c r="F67" i="35"/>
  <c r="G67" i="35"/>
  <c r="H67" i="35"/>
  <c r="C8" i="34"/>
  <c r="D8" i="34"/>
  <c r="G92" i="3" s="1"/>
  <c r="E8" i="34"/>
  <c r="H92" i="3" s="1"/>
  <c r="F8" i="34"/>
  <c r="I92" i="3" s="1"/>
  <c r="G8" i="34"/>
  <c r="J92" i="3" s="1"/>
  <c r="H8" i="34"/>
  <c r="K92" i="3" s="1"/>
  <c r="C9" i="34"/>
  <c r="D9" i="34"/>
  <c r="E9" i="34"/>
  <c r="F9" i="34"/>
  <c r="G9" i="34"/>
  <c r="H9" i="34"/>
  <c r="C11" i="34"/>
  <c r="D11" i="34"/>
  <c r="E11" i="34"/>
  <c r="F11" i="34"/>
  <c r="G11" i="34"/>
  <c r="H11" i="34"/>
  <c r="C12" i="34"/>
  <c r="D12" i="34"/>
  <c r="E12" i="34"/>
  <c r="F12" i="34"/>
  <c r="G12" i="34"/>
  <c r="H12" i="34"/>
  <c r="C13" i="34"/>
  <c r="D13" i="34"/>
  <c r="E13" i="34"/>
  <c r="F13" i="34"/>
  <c r="G13" i="34"/>
  <c r="H13" i="34"/>
  <c r="C14" i="34"/>
  <c r="D14" i="34"/>
  <c r="E14" i="34"/>
  <c r="F14" i="34"/>
  <c r="G14" i="34"/>
  <c r="H14" i="34"/>
  <c r="C15" i="34"/>
  <c r="D15" i="34"/>
  <c r="E15" i="34"/>
  <c r="F15" i="34"/>
  <c r="G15" i="34"/>
  <c r="H15" i="34"/>
  <c r="C16" i="34"/>
  <c r="D16" i="34"/>
  <c r="E16" i="34"/>
  <c r="F16" i="34"/>
  <c r="G16" i="34"/>
  <c r="H16" i="34"/>
  <c r="C17" i="34"/>
  <c r="D17" i="34"/>
  <c r="E17" i="34"/>
  <c r="F17" i="34"/>
  <c r="G17" i="34"/>
  <c r="H17" i="34"/>
  <c r="C18" i="34"/>
  <c r="D18" i="34"/>
  <c r="E18" i="34"/>
  <c r="F18" i="34"/>
  <c r="G18" i="34"/>
  <c r="H18" i="34"/>
  <c r="C19" i="34"/>
  <c r="D19" i="34"/>
  <c r="E19" i="34"/>
  <c r="F19" i="34"/>
  <c r="G19" i="34"/>
  <c r="H19" i="34"/>
  <c r="C21" i="34"/>
  <c r="D21" i="34"/>
  <c r="E21" i="34"/>
  <c r="F21" i="34"/>
  <c r="G21" i="34"/>
  <c r="H21" i="34"/>
  <c r="C22" i="34"/>
  <c r="D22" i="34"/>
  <c r="E22" i="34"/>
  <c r="F22" i="34"/>
  <c r="G22" i="34"/>
  <c r="H22" i="34"/>
  <c r="C23" i="34"/>
  <c r="D23" i="34"/>
  <c r="E23" i="34"/>
  <c r="F23" i="34"/>
  <c r="G23" i="34"/>
  <c r="H23" i="34"/>
  <c r="C24" i="34"/>
  <c r="D24" i="34"/>
  <c r="E24" i="34"/>
  <c r="F24" i="34"/>
  <c r="G24" i="34"/>
  <c r="H24" i="34"/>
  <c r="C25" i="34"/>
  <c r="D25" i="34"/>
  <c r="E25" i="34"/>
  <c r="F25" i="34"/>
  <c r="G25" i="34"/>
  <c r="H25" i="34"/>
  <c r="C27" i="34"/>
  <c r="D27" i="34"/>
  <c r="E27" i="34"/>
  <c r="F27" i="34"/>
  <c r="G27" i="34"/>
  <c r="H27" i="34"/>
  <c r="C28" i="34"/>
  <c r="D28" i="34"/>
  <c r="E28" i="34"/>
  <c r="F28" i="34"/>
  <c r="G28" i="34"/>
  <c r="H28" i="34"/>
  <c r="C29" i="34"/>
  <c r="D29" i="34"/>
  <c r="E29" i="34"/>
  <c r="F29" i="34"/>
  <c r="G29" i="34"/>
  <c r="H29" i="34"/>
  <c r="C30" i="34"/>
  <c r="D30" i="34"/>
  <c r="E30" i="34"/>
  <c r="F30" i="34"/>
  <c r="G30" i="34"/>
  <c r="H30" i="34"/>
  <c r="C31" i="34"/>
  <c r="D31" i="34"/>
  <c r="E31" i="34"/>
  <c r="F31" i="34"/>
  <c r="G31" i="34"/>
  <c r="H31" i="34"/>
  <c r="C32" i="34"/>
  <c r="D32" i="34"/>
  <c r="E32" i="34"/>
  <c r="F32" i="34"/>
  <c r="G32" i="34"/>
  <c r="H32" i="34"/>
  <c r="C33" i="34"/>
  <c r="D33" i="34"/>
  <c r="E33" i="34"/>
  <c r="F33" i="34"/>
  <c r="G33" i="34"/>
  <c r="H33" i="34"/>
  <c r="C34" i="34"/>
  <c r="D34" i="34"/>
  <c r="E34" i="34"/>
  <c r="F34" i="34"/>
  <c r="G34" i="34"/>
  <c r="H34" i="34"/>
  <c r="C36" i="34"/>
  <c r="D36" i="34"/>
  <c r="E36" i="34"/>
  <c r="F36" i="34"/>
  <c r="G36" i="34"/>
  <c r="H36" i="34"/>
  <c r="C38" i="34"/>
  <c r="D38" i="34"/>
  <c r="E38" i="34"/>
  <c r="F38" i="34"/>
  <c r="G38" i="34"/>
  <c r="H38" i="34"/>
  <c r="C39" i="34"/>
  <c r="D39" i="34"/>
  <c r="E39" i="34"/>
  <c r="F39" i="34"/>
  <c r="G39" i="34"/>
  <c r="H39" i="34"/>
  <c r="C40" i="34"/>
  <c r="D40" i="34"/>
  <c r="E40" i="34"/>
  <c r="F40" i="34"/>
  <c r="G40" i="34"/>
  <c r="H40" i="34"/>
  <c r="C41" i="34"/>
  <c r="D41" i="34"/>
  <c r="E41" i="34"/>
  <c r="F41" i="34"/>
  <c r="G41" i="34"/>
  <c r="H41" i="34"/>
  <c r="C42" i="34"/>
  <c r="D42" i="34"/>
  <c r="E42" i="34"/>
  <c r="F42" i="34"/>
  <c r="G42" i="34"/>
  <c r="H42" i="34"/>
  <c r="C43" i="34"/>
  <c r="D43" i="34"/>
  <c r="E43" i="34"/>
  <c r="F43" i="34"/>
  <c r="G43" i="34"/>
  <c r="H43" i="34"/>
  <c r="C44" i="34"/>
  <c r="D44" i="34"/>
  <c r="E44" i="34"/>
  <c r="F44" i="34"/>
  <c r="G44" i="34"/>
  <c r="H44" i="34"/>
  <c r="C45" i="34"/>
  <c r="D45" i="34"/>
  <c r="E45" i="34"/>
  <c r="F45" i="34"/>
  <c r="G45" i="34"/>
  <c r="H45" i="34"/>
  <c r="C46" i="34"/>
  <c r="D46" i="34"/>
  <c r="E46" i="34"/>
  <c r="F46" i="34"/>
  <c r="G46" i="34"/>
  <c r="H46" i="34"/>
  <c r="C47" i="34"/>
  <c r="D47" i="34"/>
  <c r="E47" i="34"/>
  <c r="F47" i="34"/>
  <c r="G47" i="34"/>
  <c r="H47" i="34"/>
  <c r="C48" i="34"/>
  <c r="D48" i="34"/>
  <c r="E48" i="34"/>
  <c r="F48" i="34"/>
  <c r="G48" i="34"/>
  <c r="H48" i="34"/>
  <c r="C49" i="34"/>
  <c r="D49" i="34"/>
  <c r="E49" i="34"/>
  <c r="F49" i="34"/>
  <c r="G49" i="34"/>
  <c r="H49" i="34"/>
  <c r="C50" i="34"/>
  <c r="D50" i="34"/>
  <c r="E50" i="34"/>
  <c r="F50" i="34"/>
  <c r="G50" i="34"/>
  <c r="H50" i="34"/>
  <c r="C51" i="34"/>
  <c r="D51" i="34"/>
  <c r="E51" i="34"/>
  <c r="F51" i="34"/>
  <c r="G51" i="34"/>
  <c r="H51" i="34"/>
  <c r="C52" i="34"/>
  <c r="D52" i="34"/>
  <c r="E52" i="34"/>
  <c r="F52" i="34"/>
  <c r="G52" i="34"/>
  <c r="H52" i="34"/>
  <c r="C53" i="34"/>
  <c r="D53" i="34"/>
  <c r="E53" i="34"/>
  <c r="F53" i="34"/>
  <c r="G53" i="34"/>
  <c r="H53" i="34"/>
  <c r="C54" i="34"/>
  <c r="D54" i="34"/>
  <c r="E54" i="34"/>
  <c r="F54" i="34"/>
  <c r="G54" i="34"/>
  <c r="H54" i="34"/>
  <c r="C55" i="34"/>
  <c r="D55" i="34"/>
  <c r="E55" i="34"/>
  <c r="F55" i="34"/>
  <c r="G55" i="34"/>
  <c r="H55" i="34"/>
  <c r="C56" i="34"/>
  <c r="D56" i="34"/>
  <c r="E56" i="34"/>
  <c r="F56" i="34"/>
  <c r="G56" i="34"/>
  <c r="H56" i="34"/>
  <c r="C57" i="34"/>
  <c r="D57" i="34"/>
  <c r="E57" i="34"/>
  <c r="F57" i="34"/>
  <c r="G57" i="34"/>
  <c r="H57" i="34"/>
  <c r="C58" i="34"/>
  <c r="D58" i="34"/>
  <c r="E58" i="34"/>
  <c r="F58" i="34"/>
  <c r="G58" i="34"/>
  <c r="H58" i="34"/>
  <c r="C59" i="34"/>
  <c r="D59" i="34"/>
  <c r="E59" i="34"/>
  <c r="F59" i="34"/>
  <c r="G59" i="34"/>
  <c r="H59" i="34"/>
  <c r="C60" i="34"/>
  <c r="D60" i="34"/>
  <c r="E60" i="34"/>
  <c r="F60" i="34"/>
  <c r="G60" i="34"/>
  <c r="H60" i="34"/>
  <c r="C61" i="34"/>
  <c r="D61" i="34"/>
  <c r="E61" i="34"/>
  <c r="F61" i="34"/>
  <c r="G61" i="34"/>
  <c r="H61" i="34"/>
  <c r="C62" i="34"/>
  <c r="D62" i="34"/>
  <c r="E62" i="34"/>
  <c r="F62" i="34"/>
  <c r="G62" i="34"/>
  <c r="H62" i="34"/>
  <c r="C63" i="34"/>
  <c r="D63" i="34"/>
  <c r="E63" i="34"/>
  <c r="F63" i="34"/>
  <c r="G63" i="34"/>
  <c r="H63" i="34"/>
  <c r="C64" i="34"/>
  <c r="D64" i="34"/>
  <c r="E64" i="34"/>
  <c r="F64" i="34"/>
  <c r="G64" i="34"/>
  <c r="H64" i="34"/>
  <c r="C65" i="34"/>
  <c r="D65" i="34"/>
  <c r="E65" i="34"/>
  <c r="F65" i="34"/>
  <c r="G65" i="34"/>
  <c r="H65" i="34"/>
  <c r="C66" i="34"/>
  <c r="D66" i="34"/>
  <c r="E66" i="34"/>
  <c r="F66" i="34"/>
  <c r="G66" i="34"/>
  <c r="H66" i="34"/>
  <c r="C67" i="34"/>
  <c r="D67" i="34"/>
  <c r="E67" i="34"/>
  <c r="F67" i="34"/>
  <c r="G67" i="34"/>
  <c r="H67" i="34"/>
  <c r="C68" i="34"/>
  <c r="D68" i="34"/>
  <c r="E68" i="34"/>
  <c r="F68" i="34"/>
  <c r="G68" i="34"/>
  <c r="H68" i="34"/>
  <c r="C69" i="34"/>
  <c r="D69" i="34"/>
  <c r="E69" i="34"/>
  <c r="F69" i="34"/>
  <c r="G69" i="34"/>
  <c r="H69" i="34"/>
  <c r="C70" i="34"/>
  <c r="D70" i="34"/>
  <c r="E70" i="34"/>
  <c r="F70" i="34"/>
  <c r="G70" i="34"/>
  <c r="H70" i="34"/>
  <c r="C71" i="34"/>
  <c r="D71" i="34"/>
  <c r="E71" i="34"/>
  <c r="F71" i="34"/>
  <c r="G71" i="34"/>
  <c r="H71" i="34"/>
  <c r="C72" i="34"/>
  <c r="D72" i="34"/>
  <c r="E72" i="34"/>
  <c r="F72" i="34"/>
  <c r="G72" i="34"/>
  <c r="H72" i="34"/>
  <c r="C73" i="34"/>
  <c r="D73" i="34"/>
  <c r="E73" i="34"/>
  <c r="F73" i="34"/>
  <c r="G73" i="34"/>
  <c r="H73" i="34"/>
  <c r="C74" i="34"/>
  <c r="D74" i="34"/>
  <c r="E74" i="34"/>
  <c r="F74" i="34"/>
  <c r="G74" i="34"/>
  <c r="H74" i="34"/>
  <c r="C75" i="34"/>
  <c r="D75" i="34"/>
  <c r="E75" i="34"/>
  <c r="F75" i="34"/>
  <c r="G75" i="34"/>
  <c r="H75" i="34"/>
  <c r="C76" i="34"/>
  <c r="D76" i="34"/>
  <c r="E76" i="34"/>
  <c r="F76" i="34"/>
  <c r="G76" i="34"/>
  <c r="H76" i="34"/>
  <c r="C77" i="34"/>
  <c r="D77" i="34"/>
  <c r="E77" i="34"/>
  <c r="F77" i="34"/>
  <c r="G77" i="34"/>
  <c r="H77" i="34"/>
  <c r="C78" i="34"/>
  <c r="D78" i="34"/>
  <c r="E78" i="34"/>
  <c r="F78" i="34"/>
  <c r="G78" i="34"/>
  <c r="H78" i="34"/>
  <c r="C79" i="34"/>
  <c r="D79" i="34"/>
  <c r="E79" i="34"/>
  <c r="F79" i="34"/>
  <c r="G79" i="34"/>
  <c r="H79" i="34"/>
  <c r="C80" i="34"/>
  <c r="D80" i="34"/>
  <c r="E80" i="34"/>
  <c r="F80" i="34"/>
  <c r="G80" i="34"/>
  <c r="H80" i="34"/>
  <c r="C81" i="34"/>
  <c r="D81" i="34"/>
  <c r="E81" i="34"/>
  <c r="F81" i="34"/>
  <c r="G81" i="34"/>
  <c r="H81" i="34"/>
  <c r="C82" i="34"/>
  <c r="D82" i="34"/>
  <c r="E82" i="34"/>
  <c r="F82" i="34"/>
  <c r="G82" i="34"/>
  <c r="H82" i="34"/>
  <c r="C83" i="34"/>
  <c r="D83" i="34"/>
  <c r="E83" i="34"/>
  <c r="F83" i="34"/>
  <c r="G83" i="34"/>
  <c r="H83" i="34"/>
  <c r="C84" i="34"/>
  <c r="D84" i="34"/>
  <c r="E84" i="34"/>
  <c r="F84" i="34"/>
  <c r="G84" i="34"/>
  <c r="H84" i="34"/>
  <c r="C85" i="34"/>
  <c r="D85" i="34"/>
  <c r="E85" i="34"/>
  <c r="F85" i="34"/>
  <c r="G85" i="34"/>
  <c r="H85" i="34"/>
  <c r="C86" i="34"/>
  <c r="D86" i="34"/>
  <c r="E86" i="34"/>
  <c r="F86" i="34"/>
  <c r="G86" i="34"/>
  <c r="H86" i="34"/>
  <c r="C87" i="34"/>
  <c r="D87" i="34"/>
  <c r="E87" i="34"/>
  <c r="F87" i="34"/>
  <c r="G87" i="34"/>
  <c r="H87" i="34"/>
  <c r="C88" i="34"/>
  <c r="D88" i="34"/>
  <c r="E88" i="34"/>
  <c r="F88" i="34"/>
  <c r="G88" i="34"/>
  <c r="H88" i="34"/>
  <c r="C89" i="34"/>
  <c r="D89" i="34"/>
  <c r="E89" i="34"/>
  <c r="F89" i="34"/>
  <c r="G89" i="34"/>
  <c r="H89" i="34"/>
  <c r="C90" i="34"/>
  <c r="D90" i="34"/>
  <c r="E90" i="34"/>
  <c r="F90" i="34"/>
  <c r="G90" i="34"/>
  <c r="H90" i="34"/>
  <c r="C91" i="34"/>
  <c r="D91" i="34"/>
  <c r="E91" i="34"/>
  <c r="F91" i="34"/>
  <c r="G91" i="34"/>
  <c r="H91" i="34"/>
  <c r="C92" i="34"/>
  <c r="D92" i="34"/>
  <c r="E92" i="34"/>
  <c r="F92" i="34"/>
  <c r="G92" i="34"/>
  <c r="H92" i="34"/>
  <c r="C93" i="34"/>
  <c r="D93" i="34"/>
  <c r="E93" i="34"/>
  <c r="F93" i="34"/>
  <c r="G93" i="34"/>
  <c r="H93" i="34"/>
  <c r="C94" i="34"/>
  <c r="D94" i="34"/>
  <c r="E94" i="34"/>
  <c r="F94" i="34"/>
  <c r="G94" i="34"/>
  <c r="H94" i="34"/>
  <c r="C95" i="34"/>
  <c r="D95" i="34"/>
  <c r="E95" i="34"/>
  <c r="F95" i="34"/>
  <c r="G95" i="34"/>
  <c r="H95" i="34"/>
  <c r="C96" i="34"/>
  <c r="D96" i="34"/>
  <c r="E96" i="34"/>
  <c r="F96" i="34"/>
  <c r="G96" i="34"/>
  <c r="H96" i="34"/>
  <c r="C97" i="34"/>
  <c r="D97" i="34"/>
  <c r="E97" i="34"/>
  <c r="F97" i="34"/>
  <c r="G97" i="34"/>
  <c r="H97" i="34"/>
  <c r="C98" i="34"/>
  <c r="D98" i="34"/>
  <c r="E98" i="34"/>
  <c r="F98" i="34"/>
  <c r="G98" i="34"/>
  <c r="H98" i="34"/>
  <c r="C99" i="34"/>
  <c r="D99" i="34"/>
  <c r="E99" i="34"/>
  <c r="F99" i="34"/>
  <c r="G99" i="34"/>
  <c r="H99" i="34"/>
  <c r="C100" i="34"/>
  <c r="D100" i="34"/>
  <c r="E100" i="34"/>
  <c r="F100" i="34"/>
  <c r="G100" i="34"/>
  <c r="H100" i="34"/>
  <c r="C101" i="34"/>
  <c r="D101" i="34"/>
  <c r="E101" i="34"/>
  <c r="F101" i="34"/>
  <c r="G101" i="34"/>
  <c r="H101" i="34"/>
  <c r="C102" i="34"/>
  <c r="D102" i="34"/>
  <c r="E102" i="34"/>
  <c r="F102" i="34"/>
  <c r="G102" i="34"/>
  <c r="H102" i="34"/>
  <c r="C103" i="34"/>
  <c r="D103" i="34"/>
  <c r="E103" i="34"/>
  <c r="F103" i="34"/>
  <c r="G103" i="34"/>
  <c r="H103" i="34"/>
  <c r="C8" i="33"/>
  <c r="D8" i="33"/>
  <c r="E8" i="33"/>
  <c r="F8" i="33"/>
  <c r="G8" i="33"/>
  <c r="H8" i="33"/>
  <c r="C9" i="33"/>
  <c r="D9" i="33"/>
  <c r="E9" i="33"/>
  <c r="F9" i="33"/>
  <c r="G9" i="33"/>
  <c r="H9" i="33"/>
  <c r="C10" i="33"/>
  <c r="D10" i="33"/>
  <c r="E10" i="33"/>
  <c r="F10" i="33"/>
  <c r="G10" i="33"/>
  <c r="H10" i="33"/>
  <c r="C11" i="33"/>
  <c r="D11" i="33"/>
  <c r="E11" i="33"/>
  <c r="F11" i="33"/>
  <c r="G11" i="33"/>
  <c r="H11" i="33"/>
  <c r="C12" i="33"/>
  <c r="D12" i="33"/>
  <c r="E12" i="33"/>
  <c r="F12" i="33"/>
  <c r="G12" i="33"/>
  <c r="H12" i="33"/>
  <c r="C13" i="33"/>
  <c r="D13" i="33"/>
  <c r="E13" i="33"/>
  <c r="F13" i="33"/>
  <c r="G13" i="33"/>
  <c r="H13" i="33"/>
  <c r="C14" i="33"/>
  <c r="D14" i="33"/>
  <c r="E14" i="33"/>
  <c r="F14" i="33"/>
  <c r="G14" i="33"/>
  <c r="H14" i="33"/>
  <c r="C15" i="33"/>
  <c r="D15" i="33"/>
  <c r="E15" i="33"/>
  <c r="F15" i="33"/>
  <c r="G15" i="33"/>
  <c r="H15" i="33"/>
  <c r="C16" i="33"/>
  <c r="D16" i="33"/>
  <c r="E16" i="33"/>
  <c r="F16" i="33"/>
  <c r="G16" i="33"/>
  <c r="H16" i="33"/>
  <c r="C17" i="33"/>
  <c r="D17" i="33"/>
  <c r="E17" i="33"/>
  <c r="F17" i="33"/>
  <c r="G17" i="33"/>
  <c r="H17" i="33"/>
  <c r="C18" i="33"/>
  <c r="D18" i="33"/>
  <c r="E18" i="33"/>
  <c r="F18" i="33"/>
  <c r="G18" i="33"/>
  <c r="H18" i="33"/>
  <c r="C19" i="33"/>
  <c r="D19" i="33"/>
  <c r="E19" i="33"/>
  <c r="F19" i="33"/>
  <c r="G19" i="33"/>
  <c r="H19" i="33"/>
  <c r="C20" i="33"/>
  <c r="D20" i="33"/>
  <c r="E20" i="33"/>
  <c r="F20" i="33"/>
  <c r="G20" i="33"/>
  <c r="H20" i="33"/>
  <c r="C21" i="33"/>
  <c r="D21" i="33"/>
  <c r="E21" i="33"/>
  <c r="F21" i="33"/>
  <c r="G21" i="33"/>
  <c r="H21" i="33"/>
  <c r="C22" i="33"/>
  <c r="D22" i="33"/>
  <c r="E22" i="33"/>
  <c r="F22" i="33"/>
  <c r="G22" i="33"/>
  <c r="H22" i="33"/>
  <c r="C23" i="33"/>
  <c r="D23" i="33"/>
  <c r="E23" i="33"/>
  <c r="F23" i="33"/>
  <c r="G23" i="33"/>
  <c r="H23" i="33"/>
  <c r="C24" i="33"/>
  <c r="D24" i="33"/>
  <c r="E24" i="33"/>
  <c r="F24" i="33"/>
  <c r="G24" i="33"/>
  <c r="H24" i="33"/>
  <c r="C25" i="33"/>
  <c r="D25" i="33"/>
  <c r="E25" i="33"/>
  <c r="F25" i="33"/>
  <c r="G25" i="33"/>
  <c r="H25" i="33"/>
  <c r="C28" i="33"/>
  <c r="D28" i="33"/>
  <c r="E28" i="33"/>
  <c r="F28" i="33"/>
  <c r="G28" i="33"/>
  <c r="H28" i="33"/>
  <c r="C29" i="33"/>
  <c r="D29" i="33"/>
  <c r="E29" i="33"/>
  <c r="F29" i="33"/>
  <c r="G29" i="33"/>
  <c r="H29" i="33"/>
  <c r="C30" i="33"/>
  <c r="D30" i="33"/>
  <c r="E30" i="33"/>
  <c r="F30" i="33"/>
  <c r="G30" i="33"/>
  <c r="H30" i="33"/>
  <c r="C31" i="33"/>
  <c r="D31" i="33"/>
  <c r="E31" i="33"/>
  <c r="F31" i="33"/>
  <c r="G31" i="33"/>
  <c r="H31" i="33"/>
  <c r="C34" i="33"/>
  <c r="D34" i="33"/>
  <c r="E34" i="33"/>
  <c r="F34" i="33"/>
  <c r="G34" i="33"/>
  <c r="H34" i="33"/>
  <c r="C35" i="33"/>
  <c r="D35" i="33"/>
  <c r="E35" i="33"/>
  <c r="F35" i="33"/>
  <c r="G35" i="33"/>
  <c r="H35" i="33"/>
  <c r="C36" i="33"/>
  <c r="D36" i="33"/>
  <c r="E36" i="33"/>
  <c r="F36" i="33"/>
  <c r="G36" i="33"/>
  <c r="H36" i="33"/>
  <c r="C37" i="33"/>
  <c r="D37" i="33"/>
  <c r="E37" i="33"/>
  <c r="F37" i="33"/>
  <c r="G37" i="33"/>
  <c r="H37" i="33"/>
  <c r="C38" i="33"/>
  <c r="D38" i="33"/>
  <c r="E38" i="33"/>
  <c r="F38" i="33"/>
  <c r="G38" i="33"/>
  <c r="H38" i="33"/>
  <c r="C39" i="33"/>
  <c r="D39" i="33"/>
  <c r="E39" i="33"/>
  <c r="F39" i="33"/>
  <c r="G39" i="33"/>
  <c r="H39" i="33"/>
  <c r="C40" i="33"/>
  <c r="D40" i="33"/>
  <c r="E40" i="33"/>
  <c r="F40" i="33"/>
  <c r="G40" i="33"/>
  <c r="H40" i="33"/>
  <c r="C41" i="33"/>
  <c r="D41" i="33"/>
  <c r="E41" i="33"/>
  <c r="F41" i="33"/>
  <c r="G41" i="33"/>
  <c r="H41" i="33"/>
  <c r="C42" i="33"/>
  <c r="D42" i="33"/>
  <c r="E42" i="33"/>
  <c r="F42" i="33"/>
  <c r="G42" i="33"/>
  <c r="H42" i="33"/>
  <c r="C43" i="33"/>
  <c r="D43" i="33"/>
  <c r="E43" i="33"/>
  <c r="F43" i="33"/>
  <c r="G43" i="33"/>
  <c r="H43" i="33"/>
  <c r="C44" i="33"/>
  <c r="D44" i="33"/>
  <c r="E44" i="33"/>
  <c r="F44" i="33"/>
  <c r="G44" i="33"/>
  <c r="H44" i="33"/>
  <c r="C45" i="33"/>
  <c r="D45" i="33"/>
  <c r="E45" i="33"/>
  <c r="F45" i="33"/>
  <c r="G45" i="33"/>
  <c r="H45" i="33"/>
  <c r="C46" i="33"/>
  <c r="D46" i="33"/>
  <c r="E46" i="33"/>
  <c r="F46" i="33"/>
  <c r="G46" i="33"/>
  <c r="H46" i="33"/>
  <c r="C47" i="33"/>
  <c r="D47" i="33"/>
  <c r="E47" i="33"/>
  <c r="F47" i="33"/>
  <c r="G47" i="33"/>
  <c r="H47" i="33"/>
  <c r="C49" i="33"/>
  <c r="D49" i="33"/>
  <c r="E49" i="33"/>
  <c r="F49" i="33"/>
  <c r="G49" i="33"/>
  <c r="H49" i="33"/>
  <c r="C50" i="33"/>
  <c r="D50" i="33"/>
  <c r="E50" i="33"/>
  <c r="F50" i="33"/>
  <c r="G50" i="33"/>
  <c r="H50" i="33"/>
  <c r="C8" i="32"/>
  <c r="D8" i="32"/>
  <c r="E8" i="32"/>
  <c r="F8" i="32"/>
  <c r="G8" i="32"/>
  <c r="H8" i="32"/>
  <c r="C9" i="32"/>
  <c r="D9" i="32"/>
  <c r="E9" i="32"/>
  <c r="F9" i="32"/>
  <c r="G9" i="32"/>
  <c r="H9" i="32"/>
  <c r="C10" i="32"/>
  <c r="D10" i="32"/>
  <c r="E10" i="32"/>
  <c r="F10" i="32"/>
  <c r="G10" i="32"/>
  <c r="H10" i="32"/>
  <c r="C11" i="32"/>
  <c r="D11" i="32"/>
  <c r="E11" i="32"/>
  <c r="F11" i="32"/>
  <c r="G11" i="32"/>
  <c r="H11" i="32"/>
  <c r="C12" i="32"/>
  <c r="D12" i="32"/>
  <c r="E12" i="32"/>
  <c r="F12" i="32"/>
  <c r="G12" i="32"/>
  <c r="H12" i="32"/>
  <c r="C15" i="32"/>
  <c r="D15" i="32"/>
  <c r="E15" i="32"/>
  <c r="F15" i="32"/>
  <c r="G15" i="32"/>
  <c r="H15" i="32"/>
  <c r="C16" i="32"/>
  <c r="D16" i="32"/>
  <c r="E16" i="32"/>
  <c r="F16" i="32"/>
  <c r="G16" i="32"/>
  <c r="H16" i="32"/>
  <c r="C17" i="32"/>
  <c r="D17" i="32"/>
  <c r="E17" i="32"/>
  <c r="F17" i="32"/>
  <c r="G17" i="32"/>
  <c r="H17" i="32"/>
  <c r="C18" i="32"/>
  <c r="D18" i="32"/>
  <c r="E18" i="32"/>
  <c r="F18" i="32"/>
  <c r="G18" i="32"/>
  <c r="H18" i="32"/>
  <c r="C19" i="32"/>
  <c r="D19" i="32"/>
  <c r="E19" i="32"/>
  <c r="F19" i="32"/>
  <c r="G19" i="32"/>
  <c r="H19" i="32"/>
  <c r="C20" i="32"/>
  <c r="D20" i="32"/>
  <c r="E20" i="32"/>
  <c r="F20" i="32"/>
  <c r="G20" i="32"/>
  <c r="H20" i="32"/>
  <c r="C21" i="32"/>
  <c r="D21" i="32"/>
  <c r="E21" i="32"/>
  <c r="F21" i="32"/>
  <c r="G21" i="32"/>
  <c r="H21" i="32"/>
  <c r="C22" i="32"/>
  <c r="D22" i="32"/>
  <c r="E22" i="32"/>
  <c r="F22" i="32"/>
  <c r="G22" i="32"/>
  <c r="H22" i="32"/>
  <c r="C23" i="32"/>
  <c r="D23" i="32"/>
  <c r="E23" i="32"/>
  <c r="F23" i="32"/>
  <c r="G23" i="32"/>
  <c r="H23" i="32"/>
  <c r="C26" i="32"/>
  <c r="D26" i="32"/>
  <c r="E26" i="32"/>
  <c r="F26" i="32"/>
  <c r="G26" i="32"/>
  <c r="H26" i="32"/>
  <c r="C27" i="32"/>
  <c r="D27" i="32"/>
  <c r="E27" i="32"/>
  <c r="F27" i="32"/>
  <c r="G27" i="32"/>
  <c r="H27" i="32"/>
  <c r="C28" i="32"/>
  <c r="D28" i="32"/>
  <c r="E28" i="32"/>
  <c r="F28" i="32"/>
  <c r="G28" i="32"/>
  <c r="H28" i="32"/>
  <c r="C29" i="32"/>
  <c r="D29" i="32"/>
  <c r="E29" i="32"/>
  <c r="F29" i="32"/>
  <c r="G29" i="32"/>
  <c r="H29" i="32"/>
  <c r="C30" i="32"/>
  <c r="D30" i="32"/>
  <c r="E30" i="32"/>
  <c r="F30" i="32"/>
  <c r="G30" i="32"/>
  <c r="H30" i="32"/>
  <c r="C33" i="32"/>
  <c r="D33" i="32"/>
  <c r="E33" i="32"/>
  <c r="F33" i="32"/>
  <c r="G33" i="32"/>
  <c r="H33" i="32"/>
  <c r="C34" i="32"/>
  <c r="D34" i="32"/>
  <c r="E34" i="32"/>
  <c r="F34" i="32"/>
  <c r="G34" i="32"/>
  <c r="H34" i="32"/>
  <c r="C35" i="32"/>
  <c r="D35" i="32"/>
  <c r="E35" i="32"/>
  <c r="F35" i="32"/>
  <c r="G35" i="32"/>
  <c r="H35" i="32"/>
  <c r="C36" i="32"/>
  <c r="D36" i="32"/>
  <c r="E36" i="32"/>
  <c r="F36" i="32"/>
  <c r="G36" i="32"/>
  <c r="H36" i="32"/>
  <c r="C37" i="32"/>
  <c r="D37" i="32"/>
  <c r="E37" i="32"/>
  <c r="F37" i="32"/>
  <c r="G37" i="32"/>
  <c r="H37" i="32"/>
  <c r="C38" i="32"/>
  <c r="D38" i="32"/>
  <c r="E38" i="32"/>
  <c r="F38" i="32"/>
  <c r="G38" i="32"/>
  <c r="H38" i="32"/>
  <c r="C41" i="32"/>
  <c r="D41" i="32"/>
  <c r="E41" i="32"/>
  <c r="F41" i="32"/>
  <c r="G41" i="32"/>
  <c r="H41" i="32"/>
  <c r="C42" i="32"/>
  <c r="D42" i="32"/>
  <c r="E42" i="32"/>
  <c r="F42" i="32"/>
  <c r="G42" i="32"/>
  <c r="H42" i="32"/>
  <c r="C43" i="32"/>
  <c r="D43" i="32"/>
  <c r="E43" i="32"/>
  <c r="F43" i="32"/>
  <c r="G43" i="32"/>
  <c r="H43" i="32"/>
  <c r="C44" i="32"/>
  <c r="D44" i="32"/>
  <c r="E44" i="32"/>
  <c r="F44" i="32"/>
  <c r="G44" i="32"/>
  <c r="H44" i="32"/>
  <c r="C45" i="32"/>
  <c r="D45" i="32"/>
  <c r="E45" i="32"/>
  <c r="F45" i="32"/>
  <c r="G45" i="32"/>
  <c r="H45" i="32"/>
  <c r="C46" i="32"/>
  <c r="D46" i="32"/>
  <c r="E46" i="32"/>
  <c r="F46" i="32"/>
  <c r="G46" i="32"/>
  <c r="H46" i="32"/>
  <c r="C47" i="32"/>
  <c r="D47" i="32"/>
  <c r="E47" i="32"/>
  <c r="F47" i="32"/>
  <c r="G47" i="32"/>
  <c r="H47" i="32"/>
  <c r="C48" i="32"/>
  <c r="D48" i="32"/>
  <c r="E48" i="32"/>
  <c r="F48" i="32"/>
  <c r="G48" i="32"/>
  <c r="H48" i="32"/>
  <c r="C49" i="32"/>
  <c r="D49" i="32"/>
  <c r="E49" i="32"/>
  <c r="F49" i="32"/>
  <c r="G49" i="32"/>
  <c r="H49" i="32"/>
  <c r="C50" i="32"/>
  <c r="D50" i="32"/>
  <c r="E50" i="32"/>
  <c r="F50" i="32"/>
  <c r="G50" i="32"/>
  <c r="H50" i="32"/>
  <c r="C51" i="32"/>
  <c r="D51" i="32"/>
  <c r="E51" i="32"/>
  <c r="F51" i="32"/>
  <c r="G51" i="32"/>
  <c r="H51" i="32"/>
  <c r="C52" i="32"/>
  <c r="D52" i="32"/>
  <c r="E52" i="32"/>
  <c r="F52" i="32"/>
  <c r="G52" i="32"/>
  <c r="H52" i="32"/>
  <c r="C53" i="32"/>
  <c r="D53" i="32"/>
  <c r="E53" i="32"/>
  <c r="F53" i="32"/>
  <c r="G53" i="32"/>
  <c r="H53" i="32"/>
  <c r="C54" i="32"/>
  <c r="D54" i="32"/>
  <c r="E54" i="32"/>
  <c r="F54" i="32"/>
  <c r="G54" i="32"/>
  <c r="H54" i="32"/>
  <c r="C55" i="32"/>
  <c r="D55" i="32"/>
  <c r="E55" i="32"/>
  <c r="F55" i="32"/>
  <c r="G55" i="32"/>
  <c r="H55" i="32"/>
  <c r="C56" i="32"/>
  <c r="D56" i="32"/>
  <c r="E56" i="32"/>
  <c r="F56" i="32"/>
  <c r="G56" i="32"/>
  <c r="H56" i="32"/>
  <c r="C59" i="32"/>
  <c r="D59" i="32"/>
  <c r="E59" i="32"/>
  <c r="F59" i="32"/>
  <c r="G59" i="32"/>
  <c r="H59" i="32"/>
  <c r="C60" i="32"/>
  <c r="D60" i="32"/>
  <c r="E60" i="32"/>
  <c r="F60" i="32"/>
  <c r="G60" i="32"/>
  <c r="H60" i="32"/>
  <c r="C61" i="32"/>
  <c r="D61" i="32"/>
  <c r="E61" i="32"/>
  <c r="F61" i="32"/>
  <c r="G61" i="32"/>
  <c r="H61" i="32"/>
  <c r="C62" i="32"/>
  <c r="D62" i="32"/>
  <c r="E62" i="32"/>
  <c r="F62" i="32"/>
  <c r="G62" i="32"/>
  <c r="H62" i="32"/>
  <c r="C63" i="32"/>
  <c r="D63" i="32"/>
  <c r="E63" i="32"/>
  <c r="F63" i="32"/>
  <c r="G63" i="32"/>
  <c r="H63" i="32"/>
  <c r="C64" i="32"/>
  <c r="D64" i="32"/>
  <c r="E64" i="32"/>
  <c r="F64" i="32"/>
  <c r="G64" i="32"/>
  <c r="H64" i="32"/>
  <c r="C65" i="32"/>
  <c r="D65" i="32"/>
  <c r="E65" i="32"/>
  <c r="F65" i="32"/>
  <c r="G65" i="32"/>
  <c r="H65" i="32"/>
  <c r="C66" i="32"/>
  <c r="D66" i="32"/>
  <c r="E66" i="32"/>
  <c r="F66" i="32"/>
  <c r="G66" i="32"/>
  <c r="H66" i="32"/>
  <c r="C67" i="32"/>
  <c r="D67" i="32"/>
  <c r="E67" i="32"/>
  <c r="F67" i="32"/>
  <c r="G67" i="32"/>
  <c r="H67" i="32"/>
  <c r="C68" i="32"/>
  <c r="D68" i="32"/>
  <c r="E68" i="32"/>
  <c r="F68" i="32"/>
  <c r="G68" i="32"/>
  <c r="H68" i="32"/>
  <c r="C69" i="32"/>
  <c r="D69" i="32"/>
  <c r="E69" i="32"/>
  <c r="F69" i="32"/>
  <c r="G69" i="32"/>
  <c r="H69" i="32"/>
  <c r="C70" i="32"/>
  <c r="D70" i="32"/>
  <c r="E70" i="32"/>
  <c r="F70" i="32"/>
  <c r="G70" i="32"/>
  <c r="H70" i="32"/>
  <c r="C71" i="32"/>
  <c r="D71" i="32"/>
  <c r="E71" i="32"/>
  <c r="F71" i="32"/>
  <c r="G71" i="32"/>
  <c r="H71" i="32"/>
  <c r="C72" i="32"/>
  <c r="D72" i="32"/>
  <c r="E72" i="32"/>
  <c r="F72" i="32"/>
  <c r="G72" i="32"/>
  <c r="H72" i="32"/>
  <c r="C73" i="32"/>
  <c r="D73" i="32"/>
  <c r="E73" i="32"/>
  <c r="F73" i="32"/>
  <c r="G73" i="32"/>
  <c r="H73" i="32"/>
  <c r="C74" i="32"/>
  <c r="D74" i="32"/>
  <c r="E74" i="32"/>
  <c r="F74" i="32"/>
  <c r="G74" i="32"/>
  <c r="H74" i="32"/>
  <c r="C75" i="32"/>
  <c r="D75" i="32"/>
  <c r="E75" i="32"/>
  <c r="F75" i="32"/>
  <c r="G75" i="32"/>
  <c r="H75" i="32"/>
  <c r="C76" i="32"/>
  <c r="D76" i="32"/>
  <c r="E76" i="32"/>
  <c r="F76" i="32"/>
  <c r="G76" i="32"/>
  <c r="H76" i="32"/>
  <c r="C77" i="32"/>
  <c r="D77" i="32"/>
  <c r="E77" i="32"/>
  <c r="F77" i="32"/>
  <c r="G77" i="32"/>
  <c r="H77" i="32"/>
  <c r="C78" i="32"/>
  <c r="D78" i="32"/>
  <c r="E78" i="32"/>
  <c r="F78" i="32"/>
  <c r="G78" i="32"/>
  <c r="H78" i="32"/>
  <c r="C79" i="32"/>
  <c r="D79" i="32"/>
  <c r="E79" i="32"/>
  <c r="F79" i="32"/>
  <c r="G79" i="32"/>
  <c r="H79" i="32"/>
  <c r="C80" i="32"/>
  <c r="D80" i="32"/>
  <c r="E80" i="32"/>
  <c r="F80" i="32"/>
  <c r="G80" i="32"/>
  <c r="H80" i="32"/>
  <c r="C81" i="32"/>
  <c r="D81" i="32"/>
  <c r="E81" i="32"/>
  <c r="F81" i="32"/>
  <c r="G81" i="32"/>
  <c r="H81" i="32"/>
  <c r="C82" i="32"/>
  <c r="D82" i="32"/>
  <c r="E82" i="32"/>
  <c r="F82" i="32"/>
  <c r="G82" i="32"/>
  <c r="H82" i="32"/>
  <c r="C83" i="32"/>
  <c r="D83" i="32"/>
  <c r="E83" i="32"/>
  <c r="F83" i="32"/>
  <c r="G83" i="32"/>
  <c r="H83" i="32"/>
  <c r="C84" i="32"/>
  <c r="D84" i="32"/>
  <c r="E84" i="32"/>
  <c r="F84" i="32"/>
  <c r="G84" i="32"/>
  <c r="H84" i="32"/>
  <c r="C85" i="32"/>
  <c r="D85" i="32"/>
  <c r="E85" i="32"/>
  <c r="F85" i="32"/>
  <c r="G85" i="32"/>
  <c r="H85" i="32"/>
  <c r="C86" i="32"/>
  <c r="D86" i="32"/>
  <c r="E86" i="32"/>
  <c r="F86" i="32"/>
  <c r="G86" i="32"/>
  <c r="H86" i="32"/>
  <c r="C87" i="32"/>
  <c r="D87" i="32"/>
  <c r="E87" i="32"/>
  <c r="F87" i="32"/>
  <c r="G87" i="32"/>
  <c r="H87" i="32"/>
  <c r="C88" i="32"/>
  <c r="D88" i="32"/>
  <c r="E88" i="32"/>
  <c r="F88" i="32"/>
  <c r="G88" i="32"/>
  <c r="H88" i="32"/>
  <c r="C89" i="32"/>
  <c r="D89" i="32"/>
  <c r="E89" i="32"/>
  <c r="F89" i="32"/>
  <c r="G89" i="32"/>
  <c r="H89" i="32"/>
  <c r="C90" i="32"/>
  <c r="D90" i="32"/>
  <c r="E90" i="32"/>
  <c r="F90" i="32"/>
  <c r="G90" i="32"/>
  <c r="H90" i="32"/>
  <c r="C91" i="32"/>
  <c r="D91" i="32"/>
  <c r="E91" i="32"/>
  <c r="F91" i="32"/>
  <c r="G91" i="32"/>
  <c r="H91" i="32"/>
  <c r="C92" i="32"/>
  <c r="D92" i="32"/>
  <c r="E92" i="32"/>
  <c r="F92" i="32"/>
  <c r="G92" i="32"/>
  <c r="H92" i="32"/>
  <c r="C93" i="32"/>
  <c r="D93" i="32"/>
  <c r="E93" i="32"/>
  <c r="F93" i="32"/>
  <c r="G93" i="32"/>
  <c r="H93" i="32"/>
  <c r="C94" i="32"/>
  <c r="D94" i="32"/>
  <c r="E94" i="32"/>
  <c r="F94" i="32"/>
  <c r="G94" i="32"/>
  <c r="H94" i="32"/>
  <c r="C95" i="32"/>
  <c r="D95" i="32"/>
  <c r="E95" i="32"/>
  <c r="F95" i="32"/>
  <c r="G95" i="32"/>
  <c r="H95" i="32"/>
  <c r="C96" i="32"/>
  <c r="D96" i="32"/>
  <c r="E96" i="32"/>
  <c r="F96" i="32"/>
  <c r="G96" i="32"/>
  <c r="H96" i="32"/>
  <c r="C97" i="32"/>
  <c r="D97" i="32"/>
  <c r="E97" i="32"/>
  <c r="F97" i="32"/>
  <c r="G97" i="32"/>
  <c r="H97" i="32"/>
  <c r="C98" i="32"/>
  <c r="D98" i="32"/>
  <c r="E98" i="32"/>
  <c r="F98" i="32"/>
  <c r="G98" i="32"/>
  <c r="H98" i="32"/>
  <c r="C99" i="32"/>
  <c r="D99" i="32"/>
  <c r="E99" i="32"/>
  <c r="F99" i="32"/>
  <c r="G99" i="32"/>
  <c r="H99" i="32"/>
  <c r="C100" i="32"/>
  <c r="D100" i="32"/>
  <c r="E100" i="32"/>
  <c r="F100" i="32"/>
  <c r="G100" i="32"/>
  <c r="H100" i="32"/>
  <c r="C101" i="32"/>
  <c r="D101" i="32"/>
  <c r="E101" i="32"/>
  <c r="F101" i="32"/>
  <c r="G101" i="32"/>
  <c r="H101" i="32"/>
  <c r="C102" i="32"/>
  <c r="D102" i="32"/>
  <c r="E102" i="32"/>
  <c r="F102" i="32"/>
  <c r="G102" i="32"/>
  <c r="H102" i="32"/>
  <c r="C103" i="32"/>
  <c r="D103" i="32"/>
  <c r="E103" i="32"/>
  <c r="F103" i="32"/>
  <c r="G103" i="32"/>
  <c r="H103" i="32"/>
  <c r="C104" i="32"/>
  <c r="D104" i="32"/>
  <c r="E104" i="32"/>
  <c r="F104" i="32"/>
  <c r="G104" i="32"/>
  <c r="H104" i="32"/>
  <c r="C105" i="32"/>
  <c r="D105" i="32"/>
  <c r="E105" i="32"/>
  <c r="F105" i="32"/>
  <c r="G105" i="32"/>
  <c r="H105" i="32"/>
  <c r="C106" i="32"/>
  <c r="D106" i="32"/>
  <c r="E106" i="32"/>
  <c r="F106" i="32"/>
  <c r="G106" i="32"/>
  <c r="H106" i="32"/>
  <c r="C107" i="32"/>
  <c r="D107" i="32"/>
  <c r="E107" i="32"/>
  <c r="F107" i="32"/>
  <c r="G107" i="32"/>
  <c r="H107" i="32"/>
  <c r="C108" i="32"/>
  <c r="D108" i="32"/>
  <c r="E108" i="32"/>
  <c r="F108" i="32"/>
  <c r="G108" i="32"/>
  <c r="H108" i="32"/>
  <c r="C109" i="32"/>
  <c r="D109" i="32"/>
  <c r="E109" i="32"/>
  <c r="F109" i="32"/>
  <c r="G109" i="32"/>
  <c r="H109" i="32"/>
  <c r="C110" i="32"/>
  <c r="D110" i="32"/>
  <c r="E110" i="32"/>
  <c r="F110" i="32"/>
  <c r="G110" i="32"/>
  <c r="H110" i="32"/>
  <c r="C111" i="32"/>
  <c r="D111" i="32"/>
  <c r="E111" i="32"/>
  <c r="F111" i="32"/>
  <c r="G111" i="32"/>
  <c r="H111" i="32"/>
  <c r="C112" i="32"/>
  <c r="D112" i="32"/>
  <c r="E112" i="32"/>
  <c r="F112" i="32"/>
  <c r="G112" i="32"/>
  <c r="H112" i="32"/>
  <c r="C113" i="32"/>
  <c r="D113" i="32"/>
  <c r="E113" i="32"/>
  <c r="F113" i="32"/>
  <c r="G113" i="32"/>
  <c r="H113" i="32"/>
  <c r="C114" i="32"/>
  <c r="D114" i="32"/>
  <c r="E114" i="32"/>
  <c r="F114" i="32"/>
  <c r="G114" i="32"/>
  <c r="H114" i="32"/>
  <c r="C115" i="32"/>
  <c r="D115" i="32"/>
  <c r="E115" i="32"/>
  <c r="F115" i="32"/>
  <c r="G115" i="32"/>
  <c r="H115" i="32"/>
  <c r="C116" i="32"/>
  <c r="D116" i="32"/>
  <c r="E116" i="32"/>
  <c r="F116" i="32"/>
  <c r="G116" i="32"/>
  <c r="H116" i="32"/>
  <c r="C117" i="32"/>
  <c r="D117" i="32"/>
  <c r="E117" i="32"/>
  <c r="F117" i="32"/>
  <c r="G117" i="32"/>
  <c r="H117" i="32"/>
  <c r="C118" i="32"/>
  <c r="D118" i="32"/>
  <c r="E118" i="32"/>
  <c r="F118" i="32"/>
  <c r="G118" i="32"/>
  <c r="H118" i="32"/>
  <c r="C119" i="32"/>
  <c r="D119" i="32"/>
  <c r="E119" i="32"/>
  <c r="F119" i="32"/>
  <c r="G119" i="32"/>
  <c r="H119" i="32"/>
  <c r="C120" i="32"/>
  <c r="D120" i="32"/>
  <c r="E120" i="32"/>
  <c r="F120" i="32"/>
  <c r="G120" i="32"/>
  <c r="H120" i="32"/>
  <c r="C121" i="32"/>
  <c r="D121" i="32"/>
  <c r="E121" i="32"/>
  <c r="F121" i="32"/>
  <c r="G121" i="32"/>
  <c r="H121" i="32"/>
  <c r="C122" i="32"/>
  <c r="D122" i="32"/>
  <c r="E122" i="32"/>
  <c r="F122" i="32"/>
  <c r="G122" i="32"/>
  <c r="H122" i="32"/>
  <c r="C123" i="32"/>
  <c r="D123" i="32"/>
  <c r="E123" i="32"/>
  <c r="F123" i="32"/>
  <c r="G123" i="32"/>
  <c r="H123" i="32"/>
  <c r="C124" i="32"/>
  <c r="D124" i="32"/>
  <c r="E124" i="32"/>
  <c r="F124" i="32"/>
  <c r="G124" i="32"/>
  <c r="H124" i="32"/>
  <c r="C125" i="32"/>
  <c r="D125" i="32"/>
  <c r="E125" i="32"/>
  <c r="F125" i="32"/>
  <c r="G125" i="32"/>
  <c r="H125" i="32"/>
  <c r="C126" i="32"/>
  <c r="D126" i="32"/>
  <c r="E126" i="32"/>
  <c r="F126" i="32"/>
  <c r="G126" i="32"/>
  <c r="H126" i="32"/>
  <c r="C127" i="32"/>
  <c r="D127" i="32"/>
  <c r="E127" i="32"/>
  <c r="F127" i="32"/>
  <c r="G127" i="32"/>
  <c r="H127" i="32"/>
  <c r="C128" i="32"/>
  <c r="D128" i="32"/>
  <c r="E128" i="32"/>
  <c r="F128" i="32"/>
  <c r="G128" i="32"/>
  <c r="H128" i="32"/>
  <c r="C129" i="32"/>
  <c r="D129" i="32"/>
  <c r="E129" i="32"/>
  <c r="F129" i="32"/>
  <c r="G129" i="32"/>
  <c r="H129" i="32"/>
  <c r="C130" i="32"/>
  <c r="D130" i="32"/>
  <c r="E130" i="32"/>
  <c r="F130" i="32"/>
  <c r="G130" i="32"/>
  <c r="H130" i="32"/>
  <c r="C131" i="32"/>
  <c r="D131" i="32"/>
  <c r="E131" i="32"/>
  <c r="F131" i="32"/>
  <c r="G131" i="32"/>
  <c r="H131" i="32"/>
  <c r="C132" i="32"/>
  <c r="D132" i="32"/>
  <c r="E132" i="32"/>
  <c r="F132" i="32"/>
  <c r="G132" i="32"/>
  <c r="H132" i="32"/>
  <c r="C133" i="32"/>
  <c r="D133" i="32"/>
  <c r="E133" i="32"/>
  <c r="F133" i="32"/>
  <c r="G133" i="32"/>
  <c r="H133" i="32"/>
  <c r="C134" i="32"/>
  <c r="D134" i="32"/>
  <c r="E134" i="32"/>
  <c r="F134" i="32"/>
  <c r="G134" i="32"/>
  <c r="H134" i="32"/>
  <c r="C135" i="32"/>
  <c r="D135" i="32"/>
  <c r="E135" i="32"/>
  <c r="F135" i="32"/>
  <c r="G135" i="32"/>
  <c r="H135" i="32"/>
  <c r="C136" i="32"/>
  <c r="D136" i="32"/>
  <c r="E136" i="32"/>
  <c r="F136" i="32"/>
  <c r="G136" i="32"/>
  <c r="H136" i="32"/>
  <c r="C137" i="32"/>
  <c r="D137" i="32"/>
  <c r="E137" i="32"/>
  <c r="F137" i="32"/>
  <c r="G137" i="32"/>
  <c r="H137" i="32"/>
  <c r="C138" i="32"/>
  <c r="D138" i="32"/>
  <c r="E138" i="32"/>
  <c r="F138" i="32"/>
  <c r="G138" i="32"/>
  <c r="H138" i="32"/>
  <c r="C139" i="32"/>
  <c r="D139" i="32"/>
  <c r="E139" i="32"/>
  <c r="F139" i="32"/>
  <c r="G139" i="32"/>
  <c r="H139" i="32"/>
  <c r="C140" i="32"/>
  <c r="D140" i="32"/>
  <c r="E140" i="32"/>
  <c r="F140" i="32"/>
  <c r="G140" i="32"/>
  <c r="H140" i="32"/>
  <c r="C141" i="32"/>
  <c r="D141" i="32"/>
  <c r="E141" i="32"/>
  <c r="F141" i="32"/>
  <c r="G141" i="32"/>
  <c r="H141" i="32"/>
  <c r="C142" i="32"/>
  <c r="D142" i="32"/>
  <c r="E142" i="32"/>
  <c r="F142" i="32"/>
  <c r="G142" i="32"/>
  <c r="H142" i="32"/>
  <c r="C143" i="32"/>
  <c r="D143" i="32"/>
  <c r="E143" i="32"/>
  <c r="F143" i="32"/>
  <c r="G143" i="32"/>
  <c r="H143" i="32"/>
  <c r="C144" i="32"/>
  <c r="D144" i="32"/>
  <c r="E144" i="32"/>
  <c r="F144" i="32"/>
  <c r="G144" i="32"/>
  <c r="H144" i="32"/>
  <c r="C145" i="32"/>
  <c r="D145" i="32"/>
  <c r="E145" i="32"/>
  <c r="F145" i="32"/>
  <c r="G145" i="32"/>
  <c r="H145" i="32"/>
  <c r="C146" i="32"/>
  <c r="D146" i="32"/>
  <c r="E146" i="32"/>
  <c r="F146" i="32"/>
  <c r="G146" i="32"/>
  <c r="H146" i="32"/>
  <c r="C147" i="32"/>
  <c r="D147" i="32"/>
  <c r="E147" i="32"/>
  <c r="F147" i="32"/>
  <c r="G147" i="32"/>
  <c r="H147" i="32"/>
  <c r="C148" i="32"/>
  <c r="D148" i="32"/>
  <c r="E148" i="32"/>
  <c r="F148" i="32"/>
  <c r="G148" i="32"/>
  <c r="H148" i="32"/>
  <c r="C149" i="32"/>
  <c r="D149" i="32"/>
  <c r="E149" i="32"/>
  <c r="F149" i="32"/>
  <c r="G149" i="32"/>
  <c r="H149" i="32"/>
  <c r="C150" i="32"/>
  <c r="D150" i="32"/>
  <c r="E150" i="32"/>
  <c r="F150" i="32"/>
  <c r="G150" i="32"/>
  <c r="H150" i="32"/>
  <c r="C151" i="32"/>
  <c r="D151" i="32"/>
  <c r="E151" i="32"/>
  <c r="F151" i="32"/>
  <c r="G151" i="32"/>
  <c r="H151" i="32"/>
  <c r="C152" i="32"/>
  <c r="D152" i="32"/>
  <c r="E152" i="32"/>
  <c r="F152" i="32"/>
  <c r="G152" i="32"/>
  <c r="H152" i="32"/>
  <c r="C153" i="32"/>
  <c r="D153" i="32"/>
  <c r="E153" i="32"/>
  <c r="F153" i="32"/>
  <c r="G153" i="32"/>
  <c r="H153" i="32"/>
  <c r="C154" i="32"/>
  <c r="D154" i="32"/>
  <c r="E154" i="32"/>
  <c r="F154" i="32"/>
  <c r="G154" i="32"/>
  <c r="H154" i="32"/>
  <c r="C155" i="32"/>
  <c r="D155" i="32"/>
  <c r="E155" i="32"/>
  <c r="F155" i="32"/>
  <c r="G155" i="32"/>
  <c r="H155" i="32"/>
  <c r="C156" i="32"/>
  <c r="D156" i="32"/>
  <c r="E156" i="32"/>
  <c r="F156" i="32"/>
  <c r="G156" i="32"/>
  <c r="H156" i="32"/>
  <c r="C157" i="32"/>
  <c r="D157" i="32"/>
  <c r="E157" i="32"/>
  <c r="F157" i="32"/>
  <c r="G157" i="32"/>
  <c r="H157" i="32"/>
  <c r="C158" i="32"/>
  <c r="D158" i="32"/>
  <c r="E158" i="32"/>
  <c r="F158" i="32"/>
  <c r="G158" i="32"/>
  <c r="H158" i="32"/>
  <c r="C159" i="32"/>
  <c r="D159" i="32"/>
  <c r="E159" i="32"/>
  <c r="F159" i="32"/>
  <c r="G159" i="32"/>
  <c r="H159" i="32"/>
  <c r="C160" i="32"/>
  <c r="D160" i="32"/>
  <c r="E160" i="32"/>
  <c r="F160" i="32"/>
  <c r="G160" i="32"/>
  <c r="H160" i="32"/>
  <c r="C161" i="32"/>
  <c r="D161" i="32"/>
  <c r="E161" i="32"/>
  <c r="F161" i="32"/>
  <c r="G161" i="32"/>
  <c r="H161" i="32"/>
  <c r="C162" i="32"/>
  <c r="D162" i="32"/>
  <c r="E162" i="32"/>
  <c r="F162" i="32"/>
  <c r="G162" i="32"/>
  <c r="H162" i="32"/>
  <c r="C163" i="32"/>
  <c r="D163" i="32"/>
  <c r="E163" i="32"/>
  <c r="F163" i="32"/>
  <c r="G163" i="32"/>
  <c r="H163" i="32"/>
  <c r="C164" i="32"/>
  <c r="D164" i="32"/>
  <c r="E164" i="32"/>
  <c r="F164" i="32"/>
  <c r="G164" i="32"/>
  <c r="H164" i="32"/>
  <c r="C165" i="32"/>
  <c r="D165" i="32"/>
  <c r="E165" i="32"/>
  <c r="F165" i="32"/>
  <c r="G165" i="32"/>
  <c r="H165" i="32"/>
  <c r="C166" i="32"/>
  <c r="D166" i="32"/>
  <c r="E166" i="32"/>
  <c r="F166" i="32"/>
  <c r="G166" i="32"/>
  <c r="H166" i="32"/>
  <c r="C167" i="32"/>
  <c r="D167" i="32"/>
  <c r="E167" i="32"/>
  <c r="F167" i="32"/>
  <c r="G167" i="32"/>
  <c r="H167" i="32"/>
  <c r="C168" i="32"/>
  <c r="D168" i="32"/>
  <c r="E168" i="32"/>
  <c r="F168" i="32"/>
  <c r="G168" i="32"/>
  <c r="H168" i="32"/>
  <c r="C169" i="32"/>
  <c r="D169" i="32"/>
  <c r="E169" i="32"/>
  <c r="F169" i="32"/>
  <c r="G169" i="32"/>
  <c r="H169" i="32"/>
  <c r="C170" i="32"/>
  <c r="D170" i="32"/>
  <c r="E170" i="32"/>
  <c r="F170" i="32"/>
  <c r="G170" i="32"/>
  <c r="H170" i="32"/>
  <c r="C171" i="32"/>
  <c r="D171" i="32"/>
  <c r="E171" i="32"/>
  <c r="F171" i="32"/>
  <c r="G171" i="32"/>
  <c r="H171" i="32"/>
  <c r="K68" i="30" l="1"/>
  <c r="I68" i="30"/>
  <c r="O70" i="30"/>
  <c r="L66" i="30"/>
  <c r="M66" i="30" s="1"/>
  <c r="L68" i="30"/>
  <c r="P71" i="30"/>
  <c r="P72" i="30" s="1"/>
  <c r="O72" i="30"/>
  <c r="O68" i="30"/>
  <c r="P92" i="4"/>
  <c r="Q92" i="4" s="1"/>
  <c r="R92" i="4" s="1"/>
  <c r="S92" i="4" s="1"/>
  <c r="H68" i="30"/>
  <c r="J68" i="30"/>
  <c r="N68" i="30" s="1"/>
  <c r="P138" i="2"/>
  <c r="P51" i="4"/>
  <c r="P52" i="4"/>
  <c r="Q50" i="4"/>
  <c r="Q52" i="4" s="1"/>
  <c r="Q138" i="2"/>
  <c r="R50" i="4"/>
  <c r="R53" i="4"/>
  <c r="N127" i="2"/>
  <c r="H128" i="2"/>
  <c r="G128" i="2"/>
  <c r="J128" i="2"/>
  <c r="I128" i="2"/>
  <c r="G94" i="2"/>
  <c r="J94" i="2"/>
  <c r="H94" i="2"/>
  <c r="H83" i="2"/>
  <c r="I83" i="2"/>
  <c r="G83" i="2"/>
  <c r="J83" i="2"/>
  <c r="I13" i="2"/>
  <c r="U470" i="31"/>
  <c r="U469" i="31"/>
  <c r="U468" i="31"/>
  <c r="U467" i="31"/>
  <c r="U466" i="31"/>
  <c r="U465" i="31"/>
  <c r="U464" i="31"/>
  <c r="U463" i="31"/>
  <c r="U462" i="31"/>
  <c r="U461" i="31"/>
  <c r="U460" i="31"/>
  <c r="U459" i="31"/>
  <c r="U458" i="31"/>
  <c r="U457" i="31"/>
  <c r="U456" i="31"/>
  <c r="U455" i="31"/>
  <c r="U454" i="31"/>
  <c r="U453" i="31"/>
  <c r="U452" i="31"/>
  <c r="U451" i="31"/>
  <c r="U450" i="31"/>
  <c r="U449" i="31"/>
  <c r="U448" i="31"/>
  <c r="U447" i="31"/>
  <c r="U446" i="31"/>
  <c r="U445" i="31"/>
  <c r="U444" i="31"/>
  <c r="U443" i="31"/>
  <c r="U442" i="31"/>
  <c r="U441" i="31"/>
  <c r="U440" i="31"/>
  <c r="U439" i="31"/>
  <c r="U438" i="31"/>
  <c r="U437" i="31"/>
  <c r="U436" i="31"/>
  <c r="U435" i="31"/>
  <c r="U434" i="31"/>
  <c r="U433" i="31"/>
  <c r="U432" i="31"/>
  <c r="U431" i="31"/>
  <c r="U430" i="31"/>
  <c r="U429" i="31"/>
  <c r="U428" i="31"/>
  <c r="U427" i="31"/>
  <c r="U426" i="31"/>
  <c r="U425" i="31"/>
  <c r="U424" i="31"/>
  <c r="U423" i="31"/>
  <c r="U422" i="31"/>
  <c r="U421" i="31"/>
  <c r="U420" i="31"/>
  <c r="U419" i="31"/>
  <c r="U418" i="31"/>
  <c r="U417" i="31"/>
  <c r="U416" i="31"/>
  <c r="U415" i="31"/>
  <c r="U414" i="31"/>
  <c r="U413" i="31"/>
  <c r="U412" i="31"/>
  <c r="U411" i="31"/>
  <c r="U410" i="31"/>
  <c r="U409" i="31"/>
  <c r="U408" i="31"/>
  <c r="U407" i="31"/>
  <c r="U406" i="31"/>
  <c r="U405" i="31"/>
  <c r="U404" i="31"/>
  <c r="U403" i="31"/>
  <c r="U402" i="31"/>
  <c r="U401" i="31"/>
  <c r="U400" i="31"/>
  <c r="U399" i="31"/>
  <c r="U398" i="31"/>
  <c r="U397" i="31"/>
  <c r="U396" i="31"/>
  <c r="U395" i="31"/>
  <c r="U394" i="31"/>
  <c r="U393" i="31"/>
  <c r="U392" i="31"/>
  <c r="U391" i="31"/>
  <c r="U390" i="31"/>
  <c r="U389" i="31"/>
  <c r="U388" i="31"/>
  <c r="U387" i="31"/>
  <c r="U386" i="31"/>
  <c r="U385" i="31"/>
  <c r="U384" i="31"/>
  <c r="U383" i="31"/>
  <c r="U382" i="31"/>
  <c r="U381" i="31"/>
  <c r="U380" i="31"/>
  <c r="U379" i="31"/>
  <c r="U378" i="31"/>
  <c r="U377" i="31"/>
  <c r="U376" i="31"/>
  <c r="U375" i="31"/>
  <c r="U374" i="31"/>
  <c r="U373" i="31"/>
  <c r="U372" i="31"/>
  <c r="U371" i="31"/>
  <c r="U370" i="31"/>
  <c r="U369" i="31"/>
  <c r="U368" i="31"/>
  <c r="U367" i="31"/>
  <c r="U366" i="31"/>
  <c r="U365" i="31"/>
  <c r="U364" i="31"/>
  <c r="U363" i="31"/>
  <c r="U362" i="31"/>
  <c r="U361" i="31"/>
  <c r="U360" i="31"/>
  <c r="U359" i="31"/>
  <c r="U358" i="31"/>
  <c r="U357" i="31"/>
  <c r="U356" i="31"/>
  <c r="U355" i="31"/>
  <c r="U354" i="31"/>
  <c r="U353" i="31"/>
  <c r="U352" i="31"/>
  <c r="U351" i="31"/>
  <c r="U350" i="31"/>
  <c r="U349" i="31"/>
  <c r="U348" i="31"/>
  <c r="U347" i="31"/>
  <c r="U346" i="31"/>
  <c r="U345" i="31"/>
  <c r="U344" i="31"/>
  <c r="U343" i="31"/>
  <c r="U342" i="31"/>
  <c r="U341" i="31"/>
  <c r="U340" i="31"/>
  <c r="U339" i="31"/>
  <c r="U338" i="31"/>
  <c r="U337" i="31"/>
  <c r="U336" i="31"/>
  <c r="U335" i="31"/>
  <c r="U334" i="31"/>
  <c r="U333" i="31"/>
  <c r="U332" i="31"/>
  <c r="U331" i="31"/>
  <c r="U330" i="31"/>
  <c r="U329" i="31"/>
  <c r="U328" i="31"/>
  <c r="U327" i="31"/>
  <c r="U326" i="31"/>
  <c r="U325" i="31"/>
  <c r="U324" i="31"/>
  <c r="U323" i="31"/>
  <c r="U322" i="31"/>
  <c r="U321" i="31"/>
  <c r="U320" i="31"/>
  <c r="U319" i="31"/>
  <c r="U318" i="31"/>
  <c r="U317" i="31"/>
  <c r="U316" i="31"/>
  <c r="U315" i="31"/>
  <c r="U314" i="31"/>
  <c r="U313" i="31"/>
  <c r="U312" i="31"/>
  <c r="U311" i="31"/>
  <c r="U310" i="31"/>
  <c r="U309" i="31"/>
  <c r="U308" i="31"/>
  <c r="U307" i="31"/>
  <c r="U306" i="31"/>
  <c r="U305" i="31"/>
  <c r="U304" i="31"/>
  <c r="U303" i="31"/>
  <c r="U302" i="31"/>
  <c r="U301" i="31"/>
  <c r="U300" i="31"/>
  <c r="U299" i="31"/>
  <c r="U298" i="31"/>
  <c r="U297" i="31"/>
  <c r="U296" i="31"/>
  <c r="U295" i="31"/>
  <c r="U294" i="31"/>
  <c r="U293" i="31"/>
  <c r="U292" i="31"/>
  <c r="U291" i="31"/>
  <c r="U290" i="31"/>
  <c r="U289" i="31"/>
  <c r="U288" i="31"/>
  <c r="U287" i="31"/>
  <c r="U286" i="31"/>
  <c r="U285" i="31"/>
  <c r="U284" i="31"/>
  <c r="U283" i="31"/>
  <c r="U282" i="31"/>
  <c r="U281" i="31"/>
  <c r="U280" i="31"/>
  <c r="U279" i="31"/>
  <c r="U278" i="31"/>
  <c r="U277" i="31"/>
  <c r="U276" i="31"/>
  <c r="U275" i="31"/>
  <c r="U274" i="31"/>
  <c r="U273" i="31"/>
  <c r="U272" i="31"/>
  <c r="U271" i="31"/>
  <c r="U270" i="31"/>
  <c r="U269" i="31"/>
  <c r="U268" i="31"/>
  <c r="U267" i="31"/>
  <c r="U266" i="31"/>
  <c r="U265" i="31"/>
  <c r="U264" i="31"/>
  <c r="U263" i="31"/>
  <c r="U262" i="31"/>
  <c r="U261" i="31"/>
  <c r="U260" i="31"/>
  <c r="U259" i="31"/>
  <c r="U258" i="31"/>
  <c r="U257" i="31"/>
  <c r="U256" i="31"/>
  <c r="U255" i="31"/>
  <c r="U254" i="31"/>
  <c r="U253" i="31"/>
  <c r="U252" i="31"/>
  <c r="U251" i="31"/>
  <c r="U250" i="31"/>
  <c r="U249" i="31"/>
  <c r="U248" i="31"/>
  <c r="U247" i="31"/>
  <c r="U246" i="31"/>
  <c r="U245" i="31"/>
  <c r="U244" i="31"/>
  <c r="U243" i="31"/>
  <c r="U242" i="31"/>
  <c r="U241" i="31"/>
  <c r="U240" i="31"/>
  <c r="U239" i="31"/>
  <c r="U238" i="31"/>
  <c r="U237" i="31"/>
  <c r="U236" i="31"/>
  <c r="U235" i="31"/>
  <c r="U234" i="31"/>
  <c r="U233" i="31"/>
  <c r="U232" i="31"/>
  <c r="U231" i="31"/>
  <c r="U230" i="31"/>
  <c r="U229" i="31"/>
  <c r="U228" i="31"/>
  <c r="U227" i="31"/>
  <c r="U226" i="31"/>
  <c r="U225" i="31"/>
  <c r="U224" i="31"/>
  <c r="U223" i="31"/>
  <c r="U222" i="31"/>
  <c r="U221" i="31"/>
  <c r="U220" i="31"/>
  <c r="U219" i="31"/>
  <c r="U218" i="31"/>
  <c r="U217" i="31"/>
  <c r="U216" i="31"/>
  <c r="U215" i="31"/>
  <c r="U214" i="31"/>
  <c r="U213" i="31"/>
  <c r="U212" i="31"/>
  <c r="U211" i="31"/>
  <c r="U210" i="31"/>
  <c r="U209" i="31"/>
  <c r="U208" i="31"/>
  <c r="U207" i="31"/>
  <c r="U206" i="31"/>
  <c r="U205" i="31"/>
  <c r="U204" i="31"/>
  <c r="U203" i="31"/>
  <c r="U202" i="31"/>
  <c r="U201" i="31"/>
  <c r="U200" i="31"/>
  <c r="U198" i="31"/>
  <c r="U197" i="31"/>
  <c r="U196" i="31"/>
  <c r="U195" i="31"/>
  <c r="U194" i="31"/>
  <c r="U193" i="31"/>
  <c r="U192" i="31"/>
  <c r="U191" i="31"/>
  <c r="U190" i="31"/>
  <c r="U189" i="31"/>
  <c r="U188" i="31"/>
  <c r="U187" i="31"/>
  <c r="U186" i="31"/>
  <c r="U185" i="31"/>
  <c r="U184" i="31"/>
  <c r="U183" i="31"/>
  <c r="U182" i="31"/>
  <c r="U181" i="31"/>
  <c r="U180" i="31"/>
  <c r="U179" i="31"/>
  <c r="U178" i="31"/>
  <c r="U177" i="31"/>
  <c r="U176" i="31"/>
  <c r="U175" i="31"/>
  <c r="U174" i="31"/>
  <c r="U173" i="31"/>
  <c r="U172" i="31"/>
  <c r="U171" i="31"/>
  <c r="U170" i="31"/>
  <c r="U169" i="31"/>
  <c r="U168" i="31"/>
  <c r="G168" i="31"/>
  <c r="U167" i="31"/>
  <c r="U166" i="31"/>
  <c r="K166" i="31"/>
  <c r="K168" i="31" s="1"/>
  <c r="J166" i="31"/>
  <c r="J168" i="31" s="1"/>
  <c r="I166" i="31"/>
  <c r="I168" i="31" s="1"/>
  <c r="I170" i="31" s="1"/>
  <c r="H166" i="31"/>
  <c r="H168" i="31" s="1"/>
  <c r="G166" i="31"/>
  <c r="U165" i="31"/>
  <c r="U164" i="31"/>
  <c r="L164" i="31"/>
  <c r="M164" i="31" s="1"/>
  <c r="N164" i="31" s="1"/>
  <c r="O164" i="31" s="1"/>
  <c r="P164" i="31" s="1"/>
  <c r="Q164" i="31" s="1"/>
  <c r="R164" i="31" s="1"/>
  <c r="S164" i="31" s="1"/>
  <c r="U163" i="31"/>
  <c r="L163" i="31"/>
  <c r="M163" i="31" s="1"/>
  <c r="N163" i="31" s="1"/>
  <c r="U162" i="31"/>
  <c r="U161" i="31"/>
  <c r="U160" i="31"/>
  <c r="I160" i="31"/>
  <c r="U159" i="31"/>
  <c r="L159" i="31"/>
  <c r="M159" i="31" s="1"/>
  <c r="N159" i="31" s="1"/>
  <c r="O159" i="31" s="1"/>
  <c r="P159" i="31" s="1"/>
  <c r="Q159" i="31" s="1"/>
  <c r="R159" i="31" s="1"/>
  <c r="S159" i="31" s="1"/>
  <c r="U158" i="31"/>
  <c r="M158" i="31"/>
  <c r="N158" i="31" s="1"/>
  <c r="O158" i="31" s="1"/>
  <c r="P158" i="31" s="1"/>
  <c r="Q158" i="31" s="1"/>
  <c r="R158" i="31" s="1"/>
  <c r="S158" i="31" s="1"/>
  <c r="L158" i="31"/>
  <c r="U157" i="31"/>
  <c r="L157" i="31"/>
  <c r="M157" i="31" s="1"/>
  <c r="N157" i="31" s="1"/>
  <c r="O157" i="31" s="1"/>
  <c r="P157" i="31" s="1"/>
  <c r="Q157" i="31" s="1"/>
  <c r="R157" i="31" s="1"/>
  <c r="S157" i="31" s="1"/>
  <c r="U156" i="31"/>
  <c r="L156" i="31"/>
  <c r="M156" i="31" s="1"/>
  <c r="N156" i="31" s="1"/>
  <c r="U155" i="31"/>
  <c r="U154" i="31"/>
  <c r="U153" i="31"/>
  <c r="U152" i="31"/>
  <c r="K152" i="31"/>
  <c r="K160" i="31" s="1"/>
  <c r="J152" i="31"/>
  <c r="J160" i="31" s="1"/>
  <c r="I152" i="31"/>
  <c r="H152" i="31"/>
  <c r="H160" i="31" s="1"/>
  <c r="G152" i="31"/>
  <c r="G160" i="31" s="1"/>
  <c r="U151" i="31"/>
  <c r="U150" i="31"/>
  <c r="L150" i="31"/>
  <c r="M150" i="31" s="1"/>
  <c r="N150" i="31" s="1"/>
  <c r="O150" i="31" s="1"/>
  <c r="P150" i="31" s="1"/>
  <c r="Q150" i="31" s="1"/>
  <c r="R150" i="31" s="1"/>
  <c r="S150" i="31" s="1"/>
  <c r="U149" i="31"/>
  <c r="U148" i="31"/>
  <c r="U147" i="31"/>
  <c r="U146" i="31"/>
  <c r="M146" i="31"/>
  <c r="N146" i="31" s="1"/>
  <c r="O146" i="31" s="1"/>
  <c r="P146" i="31" s="1"/>
  <c r="Q146" i="31" s="1"/>
  <c r="R146" i="31" s="1"/>
  <c r="L146" i="31"/>
  <c r="U145" i="31"/>
  <c r="U144" i="31"/>
  <c r="U143" i="31"/>
  <c r="U142" i="31"/>
  <c r="U141" i="31"/>
  <c r="M141" i="31"/>
  <c r="N141" i="31" s="1"/>
  <c r="O141" i="31" s="1"/>
  <c r="P141" i="31" s="1"/>
  <c r="Q141" i="31" s="1"/>
  <c r="R141" i="31" s="1"/>
  <c r="S141" i="31" s="1"/>
  <c r="L141" i="31"/>
  <c r="U140" i="31"/>
  <c r="L140" i="31"/>
  <c r="M140" i="31" s="1"/>
  <c r="N140" i="31" s="1"/>
  <c r="O140" i="31" s="1"/>
  <c r="P140" i="31" s="1"/>
  <c r="Q140" i="31" s="1"/>
  <c r="R140" i="31" s="1"/>
  <c r="S140" i="31" s="1"/>
  <c r="U139" i="31"/>
  <c r="L139" i="31"/>
  <c r="M139" i="31" s="1"/>
  <c r="N139" i="31" s="1"/>
  <c r="O139" i="31" s="1"/>
  <c r="P139" i="31" s="1"/>
  <c r="Q139" i="31" s="1"/>
  <c r="R139" i="31" s="1"/>
  <c r="S139" i="31" s="1"/>
  <c r="U138" i="31"/>
  <c r="L138" i="31"/>
  <c r="M138" i="31" s="1"/>
  <c r="N138" i="31" s="1"/>
  <c r="O138" i="31" s="1"/>
  <c r="P138" i="31" s="1"/>
  <c r="Q138" i="31" s="1"/>
  <c r="R138" i="31" s="1"/>
  <c r="S138" i="31" s="1"/>
  <c r="U137" i="31"/>
  <c r="L137" i="31"/>
  <c r="M137" i="31" s="1"/>
  <c r="N137" i="31" s="1"/>
  <c r="O137" i="31" s="1"/>
  <c r="P137" i="31" s="1"/>
  <c r="Q137" i="31" s="1"/>
  <c r="R137" i="31" s="1"/>
  <c r="S137" i="31" s="1"/>
  <c r="U136" i="31"/>
  <c r="U135" i="31"/>
  <c r="L135" i="31"/>
  <c r="M135" i="31" s="1"/>
  <c r="N135" i="31" s="1"/>
  <c r="O135" i="31" s="1"/>
  <c r="P135" i="31" s="1"/>
  <c r="Q135" i="31" s="1"/>
  <c r="R135" i="31" s="1"/>
  <c r="S135" i="31" s="1"/>
  <c r="U134" i="31"/>
  <c r="U133" i="31"/>
  <c r="U132" i="31"/>
  <c r="U131" i="31"/>
  <c r="U130" i="31"/>
  <c r="J130" i="31"/>
  <c r="J142" i="31" s="1"/>
  <c r="H130" i="31"/>
  <c r="H142" i="31" s="1"/>
  <c r="G130" i="31"/>
  <c r="G142" i="31" s="1"/>
  <c r="U129" i="31"/>
  <c r="U128" i="31"/>
  <c r="K128" i="31"/>
  <c r="L128" i="31" s="1"/>
  <c r="M128" i="31" s="1"/>
  <c r="N128" i="31" s="1"/>
  <c r="O128" i="31" s="1"/>
  <c r="J128" i="31"/>
  <c r="I128" i="31"/>
  <c r="I130" i="31" s="1"/>
  <c r="I142" i="31" s="1"/>
  <c r="H128" i="31"/>
  <c r="U127" i="31"/>
  <c r="U126" i="31"/>
  <c r="U125" i="31"/>
  <c r="U124" i="31"/>
  <c r="U123" i="31"/>
  <c r="U122" i="31"/>
  <c r="U121" i="31"/>
  <c r="L121" i="31"/>
  <c r="U120" i="31"/>
  <c r="U119" i="31"/>
  <c r="U118" i="31"/>
  <c r="U117" i="31"/>
  <c r="G117" i="31"/>
  <c r="U116" i="31"/>
  <c r="J116" i="31"/>
  <c r="I116" i="31"/>
  <c r="H116" i="31"/>
  <c r="G116" i="31"/>
  <c r="U115" i="31"/>
  <c r="U114" i="31"/>
  <c r="U113" i="31"/>
  <c r="J113" i="31"/>
  <c r="H113" i="31"/>
  <c r="U112" i="31"/>
  <c r="U111" i="31"/>
  <c r="U110" i="31"/>
  <c r="K110" i="31"/>
  <c r="K113" i="31" s="1"/>
  <c r="J110" i="31"/>
  <c r="I110" i="31"/>
  <c r="I113" i="31" s="1"/>
  <c r="H110" i="31"/>
  <c r="G113" i="31"/>
  <c r="U109" i="31"/>
  <c r="U108" i="31"/>
  <c r="U107" i="31"/>
  <c r="U106" i="31"/>
  <c r="U105" i="31"/>
  <c r="U104" i="31"/>
  <c r="U103" i="31"/>
  <c r="I103" i="31"/>
  <c r="H103" i="31"/>
  <c r="G103" i="31"/>
  <c r="U102" i="31"/>
  <c r="U101" i="31"/>
  <c r="U100" i="31"/>
  <c r="K100" i="31"/>
  <c r="K103" i="31" s="1"/>
  <c r="J100" i="31"/>
  <c r="J103" i="31" s="1"/>
  <c r="U99" i="31"/>
  <c r="U98" i="31"/>
  <c r="S98" i="31"/>
  <c r="R98" i="31"/>
  <c r="Q98" i="31"/>
  <c r="P98" i="31"/>
  <c r="O98" i="31"/>
  <c r="N98" i="31"/>
  <c r="M98" i="31"/>
  <c r="L98" i="31"/>
  <c r="U97" i="31"/>
  <c r="S97" i="31"/>
  <c r="R97" i="31"/>
  <c r="Q97" i="31"/>
  <c r="P97" i="31"/>
  <c r="O97" i="31"/>
  <c r="N97" i="31"/>
  <c r="M97" i="31"/>
  <c r="L97" i="31"/>
  <c r="U96" i="31"/>
  <c r="U95" i="31"/>
  <c r="S95" i="31"/>
  <c r="R95" i="31"/>
  <c r="Q95" i="31"/>
  <c r="P95" i="31"/>
  <c r="O95" i="31"/>
  <c r="N95" i="31"/>
  <c r="M95" i="31"/>
  <c r="L95" i="31"/>
  <c r="U94" i="31"/>
  <c r="L94" i="31"/>
  <c r="M94" i="31" s="1"/>
  <c r="N94" i="31" s="1"/>
  <c r="O94" i="31" s="1"/>
  <c r="P94" i="31" s="1"/>
  <c r="Q94" i="31" s="1"/>
  <c r="R94" i="31" s="1"/>
  <c r="S94" i="31" s="1"/>
  <c r="U93" i="31"/>
  <c r="U92" i="31"/>
  <c r="U91" i="31"/>
  <c r="S91" i="31"/>
  <c r="R91" i="31"/>
  <c r="Q91" i="31"/>
  <c r="P91" i="31"/>
  <c r="O91" i="31"/>
  <c r="N91" i="31"/>
  <c r="M91" i="31"/>
  <c r="L91" i="31"/>
  <c r="U90" i="31"/>
  <c r="U89" i="31"/>
  <c r="U88" i="31"/>
  <c r="U87" i="31"/>
  <c r="U86" i="31"/>
  <c r="U85" i="31"/>
  <c r="K85" i="31"/>
  <c r="I85" i="31"/>
  <c r="H85" i="31"/>
  <c r="G85" i="31"/>
  <c r="U84" i="31"/>
  <c r="K84" i="31"/>
  <c r="K116" i="31" s="1"/>
  <c r="J84" i="31"/>
  <c r="J85" i="31" s="1"/>
  <c r="U83" i="31"/>
  <c r="U82" i="31"/>
  <c r="U81" i="31"/>
  <c r="U80" i="31"/>
  <c r="U79" i="31"/>
  <c r="U78" i="31"/>
  <c r="U77" i="31"/>
  <c r="U76" i="31"/>
  <c r="U75" i="31"/>
  <c r="K75" i="31"/>
  <c r="J75" i="31"/>
  <c r="J117" i="31" s="1"/>
  <c r="I75" i="31"/>
  <c r="H75" i="31"/>
  <c r="H117" i="31" s="1"/>
  <c r="G75" i="31"/>
  <c r="U74" i="31"/>
  <c r="U73" i="31"/>
  <c r="U72" i="31"/>
  <c r="U71" i="31"/>
  <c r="U70" i="31"/>
  <c r="U69" i="31"/>
  <c r="U68" i="31"/>
  <c r="U67" i="31"/>
  <c r="U66" i="31"/>
  <c r="U65" i="31"/>
  <c r="U64" i="31"/>
  <c r="U63" i="31"/>
  <c r="U62" i="31"/>
  <c r="L62" i="31"/>
  <c r="M62" i="31" s="1"/>
  <c r="N62" i="31" s="1"/>
  <c r="O62" i="31" s="1"/>
  <c r="P62" i="31" s="1"/>
  <c r="Q62" i="31" s="1"/>
  <c r="R62" i="31" s="1"/>
  <c r="S62" i="31" s="1"/>
  <c r="U61" i="31"/>
  <c r="U60" i="31"/>
  <c r="U59" i="31"/>
  <c r="U58" i="31"/>
  <c r="U57" i="31"/>
  <c r="L57" i="31"/>
  <c r="U56" i="31"/>
  <c r="U55" i="31"/>
  <c r="U54" i="31"/>
  <c r="U53" i="31"/>
  <c r="U52" i="31"/>
  <c r="S52" i="31"/>
  <c r="R52" i="31"/>
  <c r="Q52" i="31"/>
  <c r="P52" i="31"/>
  <c r="O52" i="31"/>
  <c r="N52" i="31"/>
  <c r="M52" i="31"/>
  <c r="L52" i="31"/>
  <c r="K52" i="31"/>
  <c r="J52" i="31"/>
  <c r="I52" i="31"/>
  <c r="H52" i="31"/>
  <c r="G52" i="31"/>
  <c r="U51" i="31"/>
  <c r="G51" i="31"/>
  <c r="U50" i="31"/>
  <c r="U49" i="31"/>
  <c r="U48" i="31"/>
  <c r="K48" i="31"/>
  <c r="L48" i="31" s="1"/>
  <c r="M48" i="31" s="1"/>
  <c r="N48" i="31" s="1"/>
  <c r="O48" i="31" s="1"/>
  <c r="P48" i="31" s="1"/>
  <c r="Q48" i="31" s="1"/>
  <c r="R48" i="31" s="1"/>
  <c r="S48" i="31" s="1"/>
  <c r="J48" i="31"/>
  <c r="I48" i="31"/>
  <c r="H48" i="31"/>
  <c r="G48" i="31"/>
  <c r="U47" i="31"/>
  <c r="S47" i="31"/>
  <c r="R47" i="31"/>
  <c r="Q47" i="31"/>
  <c r="P47" i="31"/>
  <c r="O47" i="31"/>
  <c r="N47" i="31"/>
  <c r="M47" i="31"/>
  <c r="L47" i="31"/>
  <c r="K47" i="31"/>
  <c r="J47" i="31"/>
  <c r="I47" i="31"/>
  <c r="H47" i="31"/>
  <c r="G47" i="31"/>
  <c r="U46" i="31"/>
  <c r="K46" i="31"/>
  <c r="J46" i="31"/>
  <c r="I46" i="31"/>
  <c r="H46" i="31"/>
  <c r="G46" i="31"/>
  <c r="U45" i="31"/>
  <c r="U44" i="31"/>
  <c r="U43" i="31"/>
  <c r="U42" i="31"/>
  <c r="U41" i="31"/>
  <c r="K41" i="31"/>
  <c r="J41" i="31"/>
  <c r="I41" i="31"/>
  <c r="H41" i="31"/>
  <c r="G41" i="31"/>
  <c r="U40" i="31"/>
  <c r="U39" i="31"/>
  <c r="U38" i="31"/>
  <c r="F38" i="31"/>
  <c r="U37" i="31"/>
  <c r="F37" i="31"/>
  <c r="U36" i="31"/>
  <c r="U35" i="31"/>
  <c r="U34" i="31"/>
  <c r="U33" i="31"/>
  <c r="U32" i="31"/>
  <c r="U31" i="31"/>
  <c r="L31" i="31"/>
  <c r="M31" i="31" s="1"/>
  <c r="N31" i="31" s="1"/>
  <c r="O31" i="31" s="1"/>
  <c r="P31" i="31" s="1"/>
  <c r="Q31" i="31" s="1"/>
  <c r="R31" i="31" s="1"/>
  <c r="S31" i="31" s="1"/>
  <c r="U30" i="31"/>
  <c r="U29" i="31"/>
  <c r="U28" i="31"/>
  <c r="U27" i="31"/>
  <c r="U26" i="31"/>
  <c r="U25" i="31"/>
  <c r="U24" i="31"/>
  <c r="U23" i="31"/>
  <c r="K23" i="31"/>
  <c r="J23" i="31"/>
  <c r="I23" i="31"/>
  <c r="H23" i="31"/>
  <c r="G23" i="31"/>
  <c r="U22" i="31"/>
  <c r="U21" i="31"/>
  <c r="U20" i="31"/>
  <c r="U19" i="31"/>
  <c r="U18" i="31"/>
  <c r="U17" i="31"/>
  <c r="U16" i="31"/>
  <c r="U15" i="31"/>
  <c r="K15" i="31"/>
  <c r="J15" i="31"/>
  <c r="I15" i="31"/>
  <c r="H15" i="31"/>
  <c r="G15" i="31"/>
  <c r="U14" i="31"/>
  <c r="U13" i="31"/>
  <c r="U12" i="31"/>
  <c r="U11" i="31"/>
  <c r="K11" i="31"/>
  <c r="J11" i="31"/>
  <c r="J9" i="31" s="1"/>
  <c r="I11" i="31"/>
  <c r="I18" i="31" s="1"/>
  <c r="H11" i="31"/>
  <c r="H18" i="31" s="1"/>
  <c r="G11" i="31"/>
  <c r="G24" i="31" s="1"/>
  <c r="U10" i="31"/>
  <c r="U9" i="31"/>
  <c r="C8" i="31"/>
  <c r="U8" i="31" s="1"/>
  <c r="L7" i="31"/>
  <c r="U6" i="31"/>
  <c r="V2" i="31" s="1"/>
  <c r="U2" i="31"/>
  <c r="B2" i="31"/>
  <c r="U455" i="30"/>
  <c r="U454" i="30"/>
  <c r="U453" i="30"/>
  <c r="U452" i="30"/>
  <c r="U451" i="30"/>
  <c r="U450" i="30"/>
  <c r="U449" i="30"/>
  <c r="U448" i="30"/>
  <c r="U447" i="30"/>
  <c r="U446" i="30"/>
  <c r="U445" i="30"/>
  <c r="U444" i="30"/>
  <c r="U443" i="30"/>
  <c r="U442" i="30"/>
  <c r="U441" i="30"/>
  <c r="U440" i="30"/>
  <c r="U439" i="30"/>
  <c r="U438" i="30"/>
  <c r="U437" i="30"/>
  <c r="U436" i="30"/>
  <c r="U435" i="30"/>
  <c r="U434" i="30"/>
  <c r="U433" i="30"/>
  <c r="U432" i="30"/>
  <c r="U431" i="30"/>
  <c r="U430" i="30"/>
  <c r="U429" i="30"/>
  <c r="U428" i="30"/>
  <c r="U427" i="30"/>
  <c r="U426" i="30"/>
  <c r="U425" i="30"/>
  <c r="U424" i="30"/>
  <c r="U423" i="30"/>
  <c r="U422" i="30"/>
  <c r="U421" i="30"/>
  <c r="U420" i="30"/>
  <c r="U419" i="30"/>
  <c r="U418" i="30"/>
  <c r="U417" i="30"/>
  <c r="U416" i="30"/>
  <c r="U415" i="30"/>
  <c r="U414" i="30"/>
  <c r="U413" i="30"/>
  <c r="U412" i="30"/>
  <c r="U411" i="30"/>
  <c r="U410" i="30"/>
  <c r="U409" i="30"/>
  <c r="U408" i="30"/>
  <c r="U407" i="30"/>
  <c r="U406" i="30"/>
  <c r="U405" i="30"/>
  <c r="U404" i="30"/>
  <c r="U403" i="30"/>
  <c r="U402" i="30"/>
  <c r="U401" i="30"/>
  <c r="U400" i="30"/>
  <c r="U399" i="30"/>
  <c r="U398" i="30"/>
  <c r="U397" i="30"/>
  <c r="U396" i="30"/>
  <c r="U395" i="30"/>
  <c r="U394" i="30"/>
  <c r="U393" i="30"/>
  <c r="U392" i="30"/>
  <c r="U391" i="30"/>
  <c r="U390" i="30"/>
  <c r="U389" i="30"/>
  <c r="U388" i="30"/>
  <c r="U387" i="30"/>
  <c r="U386" i="30"/>
  <c r="U385" i="30"/>
  <c r="U384" i="30"/>
  <c r="U383" i="30"/>
  <c r="U382" i="30"/>
  <c r="U381" i="30"/>
  <c r="U380" i="30"/>
  <c r="U379" i="30"/>
  <c r="U378" i="30"/>
  <c r="U377" i="30"/>
  <c r="U376" i="30"/>
  <c r="U375" i="30"/>
  <c r="U374" i="30"/>
  <c r="U373" i="30"/>
  <c r="U372" i="30"/>
  <c r="U371" i="30"/>
  <c r="U370" i="30"/>
  <c r="U369" i="30"/>
  <c r="U368" i="30"/>
  <c r="U367" i="30"/>
  <c r="U366" i="30"/>
  <c r="U365" i="30"/>
  <c r="U364" i="30"/>
  <c r="U363" i="30"/>
  <c r="U362" i="30"/>
  <c r="U361" i="30"/>
  <c r="U360" i="30"/>
  <c r="U359" i="30"/>
  <c r="U358" i="30"/>
  <c r="U357" i="30"/>
  <c r="U356" i="30"/>
  <c r="U355" i="30"/>
  <c r="U354" i="30"/>
  <c r="U353" i="30"/>
  <c r="U352" i="30"/>
  <c r="U351" i="30"/>
  <c r="U350" i="30"/>
  <c r="U349" i="30"/>
  <c r="U348" i="30"/>
  <c r="U347" i="30"/>
  <c r="U346" i="30"/>
  <c r="U345" i="30"/>
  <c r="U344" i="30"/>
  <c r="U343" i="30"/>
  <c r="U342" i="30"/>
  <c r="U341" i="30"/>
  <c r="U340" i="30"/>
  <c r="U339" i="30"/>
  <c r="U338" i="30"/>
  <c r="U337" i="30"/>
  <c r="U336" i="30"/>
  <c r="U335" i="30"/>
  <c r="U334" i="30"/>
  <c r="U333" i="30"/>
  <c r="U332" i="30"/>
  <c r="U331" i="30"/>
  <c r="U330" i="30"/>
  <c r="U329" i="30"/>
  <c r="U328" i="30"/>
  <c r="U327" i="30"/>
  <c r="U326" i="30"/>
  <c r="U325" i="30"/>
  <c r="U324" i="30"/>
  <c r="U323" i="30"/>
  <c r="U322" i="30"/>
  <c r="U321" i="30"/>
  <c r="U320" i="30"/>
  <c r="U319" i="30"/>
  <c r="U318" i="30"/>
  <c r="U317" i="30"/>
  <c r="U316" i="30"/>
  <c r="U315" i="30"/>
  <c r="U314" i="30"/>
  <c r="U313" i="30"/>
  <c r="U312" i="30"/>
  <c r="U311" i="30"/>
  <c r="U310" i="30"/>
  <c r="U309" i="30"/>
  <c r="U308" i="30"/>
  <c r="U307" i="30"/>
  <c r="U306" i="30"/>
  <c r="U305" i="30"/>
  <c r="U304" i="30"/>
  <c r="U303" i="30"/>
  <c r="U302" i="30"/>
  <c r="U301" i="30"/>
  <c r="U300" i="30"/>
  <c r="U299" i="30"/>
  <c r="U298" i="30"/>
  <c r="U297" i="30"/>
  <c r="U296" i="30"/>
  <c r="U295" i="30"/>
  <c r="U294" i="30"/>
  <c r="U293" i="30"/>
  <c r="U292" i="30"/>
  <c r="U291" i="30"/>
  <c r="U290" i="30"/>
  <c r="U289" i="30"/>
  <c r="U288" i="30"/>
  <c r="U287" i="30"/>
  <c r="U286" i="30"/>
  <c r="U285" i="30"/>
  <c r="U284" i="30"/>
  <c r="U283" i="30"/>
  <c r="U282" i="30"/>
  <c r="U281" i="30"/>
  <c r="U280" i="30"/>
  <c r="U279" i="30"/>
  <c r="U278" i="30"/>
  <c r="U277" i="30"/>
  <c r="U276" i="30"/>
  <c r="U275" i="30"/>
  <c r="U274" i="30"/>
  <c r="U273" i="30"/>
  <c r="U272" i="30"/>
  <c r="U271" i="30"/>
  <c r="U270" i="30"/>
  <c r="U269" i="30"/>
  <c r="U268" i="30"/>
  <c r="U267" i="30"/>
  <c r="U266" i="30"/>
  <c r="U265" i="30"/>
  <c r="U264" i="30"/>
  <c r="U263" i="30"/>
  <c r="U262" i="30"/>
  <c r="U261" i="30"/>
  <c r="U260" i="30"/>
  <c r="U259" i="30"/>
  <c r="U258" i="30"/>
  <c r="U257" i="30"/>
  <c r="U256" i="30"/>
  <c r="U255" i="30"/>
  <c r="U254" i="30"/>
  <c r="U253" i="30"/>
  <c r="U252" i="30"/>
  <c r="U251" i="30"/>
  <c r="U250" i="30"/>
  <c r="U249" i="30"/>
  <c r="U248" i="30"/>
  <c r="U247" i="30"/>
  <c r="U246" i="30"/>
  <c r="U245" i="30"/>
  <c r="U244" i="30"/>
  <c r="U243" i="30"/>
  <c r="U242" i="30"/>
  <c r="U241" i="30"/>
  <c r="U240" i="30"/>
  <c r="U239" i="30"/>
  <c r="U238" i="30"/>
  <c r="U237" i="30"/>
  <c r="U236" i="30"/>
  <c r="U235" i="30"/>
  <c r="U234" i="30"/>
  <c r="U233" i="30"/>
  <c r="U232" i="30"/>
  <c r="U231" i="30"/>
  <c r="U230" i="30"/>
  <c r="U229" i="30"/>
  <c r="U228" i="30"/>
  <c r="U227" i="30"/>
  <c r="U226" i="30"/>
  <c r="U225" i="30"/>
  <c r="U224" i="30"/>
  <c r="U223" i="30"/>
  <c r="U222" i="30"/>
  <c r="U221" i="30"/>
  <c r="U220" i="30"/>
  <c r="U219" i="30"/>
  <c r="K197" i="30"/>
  <c r="L39" i="20" s="1"/>
  <c r="J197" i="30"/>
  <c r="K39" i="20" s="1"/>
  <c r="I197" i="30"/>
  <c r="J39" i="20" s="1"/>
  <c r="H197" i="30"/>
  <c r="I39" i="20" s="1"/>
  <c r="L196" i="30"/>
  <c r="M196" i="30" s="1"/>
  <c r="L192" i="30"/>
  <c r="M192" i="30" s="1"/>
  <c r="N192" i="30" s="1"/>
  <c r="O192" i="30" s="1"/>
  <c r="P192" i="30" s="1"/>
  <c r="Q192" i="30" s="1"/>
  <c r="R192" i="30" s="1"/>
  <c r="S192" i="30" s="1"/>
  <c r="K183" i="30"/>
  <c r="L37" i="20" s="1"/>
  <c r="J183" i="30"/>
  <c r="K37" i="20" s="1"/>
  <c r="I183" i="30"/>
  <c r="J37" i="20" s="1"/>
  <c r="H183" i="30"/>
  <c r="I37" i="20" s="1"/>
  <c r="G183" i="30"/>
  <c r="H37" i="20" s="1"/>
  <c r="K180" i="30"/>
  <c r="J180" i="30"/>
  <c r="I180" i="30"/>
  <c r="H180" i="30"/>
  <c r="H156" i="30"/>
  <c r="H165" i="30"/>
  <c r="L147" i="30"/>
  <c r="K147" i="30"/>
  <c r="K154" i="30" s="1"/>
  <c r="J147" i="30"/>
  <c r="J154" i="30" s="1"/>
  <c r="I147" i="30"/>
  <c r="H147" i="30"/>
  <c r="C138" i="30"/>
  <c r="C137" i="30"/>
  <c r="C136" i="30"/>
  <c r="C135" i="30"/>
  <c r="K106" i="30"/>
  <c r="J106" i="30"/>
  <c r="I106" i="30"/>
  <c r="H106" i="30"/>
  <c r="G106" i="30"/>
  <c r="C59" i="30"/>
  <c r="C54" i="30"/>
  <c r="C48" i="30"/>
  <c r="C43" i="30"/>
  <c r="C38" i="30"/>
  <c r="M9" i="20"/>
  <c r="C30" i="30"/>
  <c r="C29" i="30"/>
  <c r="F21" i="30"/>
  <c r="F12" i="30"/>
  <c r="F11" i="30"/>
  <c r="F18" i="30" s="1"/>
  <c r="F22" i="30" s="1"/>
  <c r="G7" i="30"/>
  <c r="H7" i="30" s="1"/>
  <c r="I7" i="30" s="1"/>
  <c r="J7" i="30" s="1"/>
  <c r="K7" i="30" s="1"/>
  <c r="U1" i="30"/>
  <c r="B1" i="30"/>
  <c r="O167" i="9"/>
  <c r="O166" i="9"/>
  <c r="O165" i="9"/>
  <c r="O160" i="9"/>
  <c r="O159" i="9"/>
  <c r="O158" i="9"/>
  <c r="O156" i="9"/>
  <c r="O155" i="9"/>
  <c r="O154" i="9"/>
  <c r="O152" i="9"/>
  <c r="O151" i="9"/>
  <c r="O149" i="9"/>
  <c r="O148" i="9"/>
  <c r="O146" i="9"/>
  <c r="O145" i="9"/>
  <c r="O144" i="9"/>
  <c r="O143" i="9"/>
  <c r="O142" i="9"/>
  <c r="O141" i="9"/>
  <c r="O140" i="9"/>
  <c r="O139" i="9"/>
  <c r="O138" i="9"/>
  <c r="O137" i="9"/>
  <c r="O136" i="9"/>
  <c r="O131" i="9"/>
  <c r="O130" i="9"/>
  <c r="O125" i="9"/>
  <c r="O124" i="9"/>
  <c r="O123" i="9"/>
  <c r="O122" i="9"/>
  <c r="O121" i="9"/>
  <c r="O120" i="9"/>
  <c r="O115" i="9"/>
  <c r="O114" i="9"/>
  <c r="O113" i="9"/>
  <c r="O112" i="9"/>
  <c r="O111" i="9"/>
  <c r="O109" i="9"/>
  <c r="O108" i="9"/>
  <c r="O107" i="9"/>
  <c r="O106" i="9"/>
  <c r="O105" i="9"/>
  <c r="O104" i="9"/>
  <c r="O103" i="9"/>
  <c r="O102" i="9"/>
  <c r="O101" i="9"/>
  <c r="O99" i="9"/>
  <c r="O98" i="9"/>
  <c r="O97" i="9"/>
  <c r="O96" i="9"/>
  <c r="O94" i="9"/>
  <c r="O93" i="9"/>
  <c r="O92" i="9"/>
  <c r="O91" i="9"/>
  <c r="O90" i="9"/>
  <c r="O89" i="9"/>
  <c r="O88" i="9"/>
  <c r="O87" i="9"/>
  <c r="O86" i="9"/>
  <c r="O85" i="9"/>
  <c r="O84" i="9"/>
  <c r="O83" i="9"/>
  <c r="O82" i="9"/>
  <c r="O81" i="9"/>
  <c r="O80" i="9"/>
  <c r="O79" i="9"/>
  <c r="O78" i="9"/>
  <c r="O77" i="9"/>
  <c r="O76" i="9"/>
  <c r="O75" i="9"/>
  <c r="O74" i="9"/>
  <c r="O73" i="9"/>
  <c r="O72" i="9"/>
  <c r="O71" i="9"/>
  <c r="O70" i="9"/>
  <c r="O69" i="9"/>
  <c r="O68" i="9"/>
  <c r="O67" i="9"/>
  <c r="O66" i="9"/>
  <c r="O65" i="9"/>
  <c r="O64" i="9"/>
  <c r="O63" i="9"/>
  <c r="O62" i="9"/>
  <c r="O61" i="9"/>
  <c r="O60" i="9"/>
  <c r="O59" i="9"/>
  <c r="O58" i="9"/>
  <c r="O57" i="9"/>
  <c r="O56" i="9"/>
  <c r="O55" i="9"/>
  <c r="O54" i="9"/>
  <c r="O53" i="9"/>
  <c r="O52" i="9"/>
  <c r="O51" i="9"/>
  <c r="O50" i="9"/>
  <c r="O49" i="9"/>
  <c r="O48" i="9"/>
  <c r="O47" i="9"/>
  <c r="O46" i="9"/>
  <c r="O45" i="9"/>
  <c r="O44" i="9"/>
  <c r="O43" i="9"/>
  <c r="O42" i="9"/>
  <c r="O41" i="9"/>
  <c r="O40" i="9"/>
  <c r="O39" i="9"/>
  <c r="O38" i="9"/>
  <c r="O37" i="9"/>
  <c r="O36" i="9"/>
  <c r="O35" i="9"/>
  <c r="O34" i="9"/>
  <c r="O33" i="9"/>
  <c r="O32" i="9"/>
  <c r="O31" i="9"/>
  <c r="O30" i="9"/>
  <c r="O29" i="9"/>
  <c r="O28" i="9"/>
  <c r="O27" i="9"/>
  <c r="O26" i="9"/>
  <c r="O25" i="9"/>
  <c r="O24" i="9"/>
  <c r="O23" i="9"/>
  <c r="O22" i="9"/>
  <c r="O21" i="9"/>
  <c r="O20" i="9"/>
  <c r="O19" i="9"/>
  <c r="O18" i="9"/>
  <c r="O17" i="9"/>
  <c r="O16" i="9"/>
  <c r="O12" i="9"/>
  <c r="O8" i="9"/>
  <c r="U6" i="2"/>
  <c r="V2" i="2" s="1"/>
  <c r="C29" i="5"/>
  <c r="C8" i="2"/>
  <c r="D72" i="20"/>
  <c r="C73" i="20"/>
  <c r="C72" i="20"/>
  <c r="I26" i="31" l="1"/>
  <c r="I32" i="31" s="1"/>
  <c r="I35" i="31" s="1"/>
  <c r="I44" i="31" s="1"/>
  <c r="I172" i="31"/>
  <c r="M68" i="30"/>
  <c r="K18" i="31"/>
  <c r="K26" i="31" s="1"/>
  <c r="G170" i="31"/>
  <c r="G172" i="31" s="1"/>
  <c r="N66" i="30"/>
  <c r="O66" i="30" s="1"/>
  <c r="P66" i="30" s="1"/>
  <c r="P70" i="30"/>
  <c r="Q70" i="30" s="1"/>
  <c r="L65" i="30"/>
  <c r="Q71" i="30"/>
  <c r="Q51" i="4"/>
  <c r="S9" i="20"/>
  <c r="T9" i="20"/>
  <c r="N9" i="20"/>
  <c r="R9" i="20"/>
  <c r="P9" i="20"/>
  <c r="O9" i="20"/>
  <c r="Q9" i="20"/>
  <c r="L7" i="30"/>
  <c r="R138" i="2"/>
  <c r="R52" i="4"/>
  <c r="S50" i="4"/>
  <c r="S53" i="4"/>
  <c r="R51" i="4"/>
  <c r="O127" i="2"/>
  <c r="I134" i="30"/>
  <c r="I132" i="30"/>
  <c r="I156" i="30"/>
  <c r="I162" i="30" s="1"/>
  <c r="H163" i="30"/>
  <c r="J156" i="30"/>
  <c r="J131" i="30"/>
  <c r="J130" i="30"/>
  <c r="I131" i="30"/>
  <c r="I130" i="30"/>
  <c r="H131" i="30"/>
  <c r="H130" i="30"/>
  <c r="G130" i="30"/>
  <c r="G131" i="30"/>
  <c r="K131" i="30"/>
  <c r="K130" i="30"/>
  <c r="I133" i="30"/>
  <c r="K9" i="31"/>
  <c r="G16" i="31"/>
  <c r="I9" i="31"/>
  <c r="H16" i="31"/>
  <c r="I16" i="31"/>
  <c r="H24" i="31"/>
  <c r="J16" i="31"/>
  <c r="I24" i="31"/>
  <c r="K16" i="31"/>
  <c r="J18" i="31"/>
  <c r="J26" i="31" s="1"/>
  <c r="J60" i="31" s="1"/>
  <c r="J70" i="31" s="1"/>
  <c r="J77" i="31" s="1"/>
  <c r="L197" i="30"/>
  <c r="M39" i="20" s="1"/>
  <c r="H154" i="30"/>
  <c r="I154" i="30"/>
  <c r="I153" i="30"/>
  <c r="F19" i="30"/>
  <c r="F20" i="30"/>
  <c r="H153" i="30"/>
  <c r="J153" i="30"/>
  <c r="K153" i="30"/>
  <c r="K150" i="30"/>
  <c r="H150" i="30"/>
  <c r="K24" i="31"/>
  <c r="K12" i="31"/>
  <c r="J24" i="31"/>
  <c r="I150" i="30"/>
  <c r="K156" i="30"/>
  <c r="H19" i="31"/>
  <c r="H26" i="31"/>
  <c r="O156" i="31"/>
  <c r="P128" i="31"/>
  <c r="Q128" i="31" s="1"/>
  <c r="R128" i="31" s="1"/>
  <c r="S128" i="31" s="1"/>
  <c r="H170" i="31"/>
  <c r="H172" i="31" s="1"/>
  <c r="O163" i="31"/>
  <c r="P163" i="31" s="1"/>
  <c r="Q163" i="31" s="1"/>
  <c r="R163" i="31" s="1"/>
  <c r="J170" i="31"/>
  <c r="J172" i="31" s="1"/>
  <c r="K170" i="31"/>
  <c r="S146" i="31"/>
  <c r="H12" i="31"/>
  <c r="I19" i="31"/>
  <c r="I117" i="31"/>
  <c r="I12" i="31"/>
  <c r="J12" i="31"/>
  <c r="K117" i="31"/>
  <c r="G9" i="31"/>
  <c r="H9" i="31"/>
  <c r="K130" i="31"/>
  <c r="K142" i="31" s="1"/>
  <c r="G18" i="31"/>
  <c r="M197" i="30"/>
  <c r="N39" i="20" s="1"/>
  <c r="N196" i="30"/>
  <c r="C33" i="30"/>
  <c r="J150" i="30"/>
  <c r="L49" i="30"/>
  <c r="I60" i="31" l="1"/>
  <c r="I70" i="31" s="1"/>
  <c r="I77" i="31" s="1"/>
  <c r="I107" i="31" s="1"/>
  <c r="I49" i="31"/>
  <c r="L154" i="30"/>
  <c r="K19" i="31"/>
  <c r="M154" i="30"/>
  <c r="Q72" i="30"/>
  <c r="R71" i="30"/>
  <c r="R72" i="30" s="1"/>
  <c r="Q66" i="30"/>
  <c r="R66" i="30" s="1"/>
  <c r="S66" i="30" s="1"/>
  <c r="R70" i="30"/>
  <c r="S70" i="30" s="1"/>
  <c r="L131" i="30"/>
  <c r="M131" i="30" s="1"/>
  <c r="L130" i="30"/>
  <c r="M130" i="30" s="1"/>
  <c r="L153" i="30"/>
  <c r="I139" i="30"/>
  <c r="L69" i="30"/>
  <c r="L115" i="30" s="1"/>
  <c r="L67" i="30"/>
  <c r="L64" i="30" s="1"/>
  <c r="L110" i="30" s="1"/>
  <c r="M7" i="30"/>
  <c r="S138" i="2"/>
  <c r="S52" i="4"/>
  <c r="S51" i="4"/>
  <c r="P127" i="2"/>
  <c r="H159" i="30"/>
  <c r="H162" i="30"/>
  <c r="J162" i="30"/>
  <c r="J163" i="30"/>
  <c r="J159" i="30"/>
  <c r="I159" i="30"/>
  <c r="I163" i="30"/>
  <c r="J32" i="31"/>
  <c r="J35" i="31" s="1"/>
  <c r="J44" i="31" s="1"/>
  <c r="J49" i="31"/>
  <c r="J19" i="31"/>
  <c r="V1" i="30"/>
  <c r="K49" i="31"/>
  <c r="K32" i="31"/>
  <c r="K35" i="31" s="1"/>
  <c r="K44" i="31" s="1"/>
  <c r="K60" i="31"/>
  <c r="K70" i="31" s="1"/>
  <c r="K77" i="31" s="1"/>
  <c r="J107" i="31"/>
  <c r="J87" i="31"/>
  <c r="P156" i="31"/>
  <c r="S163" i="31"/>
  <c r="G26" i="31"/>
  <c r="G19" i="31"/>
  <c r="K172" i="31"/>
  <c r="H32" i="31"/>
  <c r="H35" i="31" s="1"/>
  <c r="H44" i="31" s="1"/>
  <c r="H49" i="31"/>
  <c r="H60" i="31"/>
  <c r="H70" i="31" s="1"/>
  <c r="H77" i="31" s="1"/>
  <c r="O196" i="30"/>
  <c r="N197" i="30"/>
  <c r="O39" i="20" s="1"/>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6" i="5"/>
  <c r="U37" i="5"/>
  <c r="U38" i="5"/>
  <c r="U39" i="5"/>
  <c r="U40" i="5"/>
  <c r="U42" i="5"/>
  <c r="U43" i="5"/>
  <c r="U44" i="5"/>
  <c r="U45" i="5"/>
  <c r="U46" i="5"/>
  <c r="U47" i="5"/>
  <c r="U48" i="5"/>
  <c r="V86" i="20"/>
  <c r="L122" i="4"/>
  <c r="I105" i="2"/>
  <c r="J35" i="20" s="1"/>
  <c r="H60" i="21" s="1"/>
  <c r="H105" i="2"/>
  <c r="I35" i="20" s="1"/>
  <c r="G60" i="21" s="1"/>
  <c r="G105" i="2"/>
  <c r="H35" i="20" s="1"/>
  <c r="H49" i="20"/>
  <c r="L76" i="20"/>
  <c r="L77" i="20"/>
  <c r="L82" i="20"/>
  <c r="L81" i="20"/>
  <c r="L80" i="20"/>
  <c r="L79" i="20"/>
  <c r="L78" i="20"/>
  <c r="L75" i="20"/>
  <c r="L74" i="20"/>
  <c r="L73" i="20"/>
  <c r="D83" i="20"/>
  <c r="C64" i="20"/>
  <c r="L47" i="20"/>
  <c r="K47" i="20"/>
  <c r="J47" i="20"/>
  <c r="I47" i="20"/>
  <c r="H47" i="20"/>
  <c r="S150" i="4"/>
  <c r="R150" i="4"/>
  <c r="Q150" i="4"/>
  <c r="P150" i="4"/>
  <c r="O150" i="4"/>
  <c r="N150" i="4"/>
  <c r="M150" i="4"/>
  <c r="H18" i="4"/>
  <c r="H21" i="4" s="1"/>
  <c r="I18" i="4"/>
  <c r="I21" i="4" s="1"/>
  <c r="J18" i="4"/>
  <c r="K18" i="4"/>
  <c r="L18" i="4"/>
  <c r="L15" i="20"/>
  <c r="K15" i="20"/>
  <c r="J15" i="20"/>
  <c r="I15" i="20"/>
  <c r="I11" i="20"/>
  <c r="C49" i="21"/>
  <c r="C96" i="21" s="1"/>
  <c r="C62" i="20"/>
  <c r="C29" i="20"/>
  <c r="C72" i="3"/>
  <c r="L138" i="4"/>
  <c r="M138" i="4"/>
  <c r="N138" i="4"/>
  <c r="O138" i="4"/>
  <c r="P138" i="4"/>
  <c r="Q138" i="4"/>
  <c r="R138" i="4"/>
  <c r="S138" i="4"/>
  <c r="L51" i="30"/>
  <c r="L34" i="30"/>
  <c r="M49" i="30"/>
  <c r="L41" i="30"/>
  <c r="L35" i="30"/>
  <c r="M35" i="30"/>
  <c r="L44" i="30"/>
  <c r="L40" i="30"/>
  <c r="L36" i="30"/>
  <c r="L50" i="30"/>
  <c r="M50" i="30" s="1"/>
  <c r="L39" i="30"/>
  <c r="I87" i="31" l="1"/>
  <c r="L48" i="30"/>
  <c r="L87" i="30" s="1"/>
  <c r="L86" i="30" s="1"/>
  <c r="L33" i="30"/>
  <c r="L81" i="30" s="1"/>
  <c r="L82" i="30" s="1"/>
  <c r="N154" i="30"/>
  <c r="S71" i="30"/>
  <c r="S72" i="30" s="1"/>
  <c r="N131" i="30"/>
  <c r="O131" i="30" s="1"/>
  <c r="P131" i="30" s="1"/>
  <c r="Q131" i="30" s="1"/>
  <c r="M153" i="30"/>
  <c r="N130" i="30"/>
  <c r="O130" i="30" s="1"/>
  <c r="L43" i="30"/>
  <c r="L79" i="30" s="1"/>
  <c r="M69" i="30"/>
  <c r="M115" i="30" s="1"/>
  <c r="M67" i="30"/>
  <c r="M65" i="30"/>
  <c r="M48" i="30"/>
  <c r="M87" i="30" s="1"/>
  <c r="M33" i="30"/>
  <c r="L38" i="30"/>
  <c r="L88" i="30" s="1"/>
  <c r="N7" i="30"/>
  <c r="Q127" i="2"/>
  <c r="K163" i="30"/>
  <c r="K162" i="30"/>
  <c r="L162" i="30" s="1"/>
  <c r="K159" i="30"/>
  <c r="K87" i="31"/>
  <c r="K107" i="31"/>
  <c r="Q156" i="31"/>
  <c r="K50" i="31"/>
  <c r="H107" i="31"/>
  <c r="H87" i="31"/>
  <c r="G32" i="31"/>
  <c r="G35" i="31" s="1"/>
  <c r="G44" i="31" s="1"/>
  <c r="G49" i="31"/>
  <c r="G53" i="31" s="1"/>
  <c r="G54" i="31" s="1"/>
  <c r="G60" i="31"/>
  <c r="G70" i="31" s="1"/>
  <c r="G77" i="31" s="1"/>
  <c r="L168" i="30"/>
  <c r="P196" i="30"/>
  <c r="O197" i="30"/>
  <c r="P39" i="20" s="1"/>
  <c r="D78" i="20"/>
  <c r="H48" i="20"/>
  <c r="L48" i="20"/>
  <c r="I48" i="20"/>
  <c r="K48" i="20"/>
  <c r="J48" i="20"/>
  <c r="L11" i="20"/>
  <c r="J11" i="20"/>
  <c r="J12" i="20" s="1"/>
  <c r="K11" i="20"/>
  <c r="H19" i="20"/>
  <c r="H11" i="20"/>
  <c r="I12" i="20" s="1"/>
  <c r="M51" i="30"/>
  <c r="M34" i="30"/>
  <c r="M40" i="30"/>
  <c r="M36" i="30"/>
  <c r="M44" i="30"/>
  <c r="M41" i="30"/>
  <c r="M39" i="30"/>
  <c r="N50" i="30"/>
  <c r="N35" i="30"/>
  <c r="M86" i="30" l="1"/>
  <c r="O154" i="30"/>
  <c r="L163" i="30"/>
  <c r="M64" i="30"/>
  <c r="M110" i="30" s="1"/>
  <c r="M162" i="30"/>
  <c r="N162" i="30" s="1"/>
  <c r="O162" i="30" s="1"/>
  <c r="M81" i="30"/>
  <c r="M82" i="30" s="1"/>
  <c r="P130" i="30"/>
  <c r="Q130" i="30" s="1"/>
  <c r="R131" i="30"/>
  <c r="S131" i="30" s="1"/>
  <c r="N153" i="30"/>
  <c r="L83" i="30"/>
  <c r="L80" i="30"/>
  <c r="L89" i="30"/>
  <c r="L90" i="30"/>
  <c r="M43" i="30"/>
  <c r="M79" i="30" s="1"/>
  <c r="N69" i="30"/>
  <c r="N115" i="30" s="1"/>
  <c r="N67" i="30"/>
  <c r="N65" i="30"/>
  <c r="N48" i="30"/>
  <c r="N87" i="30" s="1"/>
  <c r="N86" i="30" s="1"/>
  <c r="N33" i="30"/>
  <c r="M38" i="30"/>
  <c r="M88" i="30" s="1"/>
  <c r="O7" i="30"/>
  <c r="M165" i="30"/>
  <c r="M168" i="30" s="1"/>
  <c r="L124" i="2"/>
  <c r="R127" i="2"/>
  <c r="R156" i="31"/>
  <c r="G107" i="31"/>
  <c r="G108" i="31" s="1"/>
  <c r="G87" i="31"/>
  <c r="Q196" i="30"/>
  <c r="P197" i="30"/>
  <c r="Q39" i="20" s="1"/>
  <c r="L12" i="20"/>
  <c r="K12" i="20"/>
  <c r="N51" i="30"/>
  <c r="N44" i="30"/>
  <c r="N49" i="30"/>
  <c r="N41" i="30"/>
  <c r="N39" i="30"/>
  <c r="O35" i="30"/>
  <c r="N36" i="30"/>
  <c r="N40" i="30"/>
  <c r="N34" i="30"/>
  <c r="P154" i="30" l="1"/>
  <c r="M163" i="30"/>
  <c r="Q154" i="30"/>
  <c r="P162" i="30"/>
  <c r="Q162" i="30" s="1"/>
  <c r="N64" i="30"/>
  <c r="N110" i="30" s="1"/>
  <c r="M83" i="30"/>
  <c r="N81" i="30"/>
  <c r="N82" i="30" s="1"/>
  <c r="R130" i="30"/>
  <c r="S130" i="30" s="1"/>
  <c r="O153" i="30"/>
  <c r="M90" i="30"/>
  <c r="N10" i="20" s="1"/>
  <c r="M89" i="30"/>
  <c r="M10" i="20"/>
  <c r="L92" i="30"/>
  <c r="M80" i="30"/>
  <c r="N43" i="30"/>
  <c r="N79" i="30" s="1"/>
  <c r="N38" i="30"/>
  <c r="N88" i="30" s="1"/>
  <c r="O69" i="30"/>
  <c r="O115" i="30" s="1"/>
  <c r="O65" i="30"/>
  <c r="O67" i="30"/>
  <c r="O33" i="30"/>
  <c r="P7" i="30"/>
  <c r="N165" i="30"/>
  <c r="N168" i="30" s="1"/>
  <c r="M124" i="2"/>
  <c r="S127" i="2"/>
  <c r="H105" i="31"/>
  <c r="H108" i="31" s="1"/>
  <c r="G111" i="31"/>
  <c r="S156" i="31"/>
  <c r="R196" i="30"/>
  <c r="Q197" i="30"/>
  <c r="R39" i="20" s="1"/>
  <c r="U181" i="2"/>
  <c r="U180" i="2"/>
  <c r="U179" i="2"/>
  <c r="U178" i="2"/>
  <c r="U177" i="2"/>
  <c r="U176" i="2"/>
  <c r="U175" i="2"/>
  <c r="U174" i="2"/>
  <c r="U173" i="2"/>
  <c r="U172" i="2"/>
  <c r="U171" i="2"/>
  <c r="U170" i="2"/>
  <c r="U169" i="2"/>
  <c r="U168" i="2"/>
  <c r="U167" i="2"/>
  <c r="U166" i="2"/>
  <c r="U165" i="2"/>
  <c r="U164" i="2"/>
  <c r="U163" i="2"/>
  <c r="U162" i="2"/>
  <c r="U161" i="2"/>
  <c r="U160" i="2"/>
  <c r="U159" i="2"/>
  <c r="U158" i="2"/>
  <c r="U157" i="2"/>
  <c r="U198"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0" i="3"/>
  <c r="U88" i="3"/>
  <c r="U86" i="3"/>
  <c r="U84" i="3"/>
  <c r="U82" i="3"/>
  <c r="U80" i="3"/>
  <c r="U79" i="3"/>
  <c r="U78" i="3"/>
  <c r="U77" i="3"/>
  <c r="U76" i="3"/>
  <c r="U75" i="3"/>
  <c r="U74" i="3"/>
  <c r="U73" i="3"/>
  <c r="U71" i="3"/>
  <c r="U70" i="3"/>
  <c r="U69" i="3"/>
  <c r="U68" i="3"/>
  <c r="U66" i="3"/>
  <c r="U65" i="3"/>
  <c r="U64" i="3"/>
  <c r="U63" i="3"/>
  <c r="U61" i="3"/>
  <c r="U56" i="3"/>
  <c r="U51" i="3"/>
  <c r="U46" i="3"/>
  <c r="U41" i="3"/>
  <c r="U36" i="3"/>
  <c r="U31" i="3"/>
  <c r="U28" i="3"/>
  <c r="U27" i="3"/>
  <c r="U26" i="3"/>
  <c r="U25" i="3"/>
  <c r="U24" i="3"/>
  <c r="U23" i="3"/>
  <c r="U22" i="3"/>
  <c r="U21" i="3"/>
  <c r="U20" i="3"/>
  <c r="U19" i="3"/>
  <c r="U18" i="3"/>
  <c r="U17" i="3"/>
  <c r="U16" i="3"/>
  <c r="U15" i="3"/>
  <c r="U14" i="3"/>
  <c r="U13" i="3"/>
  <c r="U12" i="3"/>
  <c r="U11" i="3"/>
  <c r="U10" i="3"/>
  <c r="U9" i="3"/>
  <c r="U199" i="3"/>
  <c r="U200" i="3"/>
  <c r="U201" i="3"/>
  <c r="U202" i="3"/>
  <c r="U203" i="3"/>
  <c r="U204" i="3"/>
  <c r="U205" i="3"/>
  <c r="U206" i="3"/>
  <c r="U207" i="3"/>
  <c r="U208" i="3"/>
  <c r="U209" i="3"/>
  <c r="U210" i="3"/>
  <c r="U211" i="3"/>
  <c r="U212" i="3"/>
  <c r="U213" i="3"/>
  <c r="U214" i="3"/>
  <c r="U215" i="3"/>
  <c r="U216" i="3"/>
  <c r="U217" i="3"/>
  <c r="U218" i="3"/>
  <c r="U219" i="3"/>
  <c r="U220" i="3"/>
  <c r="U221" i="3"/>
  <c r="U222" i="3"/>
  <c r="U223" i="3"/>
  <c r="U224" i="3"/>
  <c r="U225" i="3"/>
  <c r="U226" i="3"/>
  <c r="U227" i="3"/>
  <c r="L228" i="3"/>
  <c r="M228" i="3"/>
  <c r="U228" i="3"/>
  <c r="M229" i="3"/>
  <c r="U229" i="3"/>
  <c r="L230" i="3"/>
  <c r="M230" i="3" s="1"/>
  <c r="U230" i="3"/>
  <c r="U231" i="3"/>
  <c r="U232" i="3"/>
  <c r="U233" i="3"/>
  <c r="U234" i="3"/>
  <c r="U235" i="3"/>
  <c r="U236" i="3"/>
  <c r="U237" i="3"/>
  <c r="U238" i="3"/>
  <c r="U239" i="3"/>
  <c r="U240" i="3"/>
  <c r="U241" i="3"/>
  <c r="U242"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4" i="3"/>
  <c r="U275" i="3"/>
  <c r="U276" i="3"/>
  <c r="U277" i="3"/>
  <c r="U278" i="3"/>
  <c r="U279" i="3"/>
  <c r="U280" i="3"/>
  <c r="U281" i="3"/>
  <c r="U282" i="3"/>
  <c r="U283" i="3"/>
  <c r="U284" i="3"/>
  <c r="U285" i="3"/>
  <c r="U286" i="3"/>
  <c r="U287" i="3"/>
  <c r="U288" i="3"/>
  <c r="U289" i="3"/>
  <c r="U290" i="3"/>
  <c r="U291" i="3"/>
  <c r="U292" i="3"/>
  <c r="U293" i="3"/>
  <c r="U294" i="3"/>
  <c r="U295" i="3"/>
  <c r="U296" i="3"/>
  <c r="U297" i="3"/>
  <c r="U298" i="3"/>
  <c r="U299" i="3"/>
  <c r="U300" i="3"/>
  <c r="U301" i="3"/>
  <c r="U302" i="3"/>
  <c r="U303" i="3"/>
  <c r="U304" i="3"/>
  <c r="U305" i="3"/>
  <c r="U306" i="3"/>
  <c r="U307" i="3"/>
  <c r="U308" i="3"/>
  <c r="U309" i="3"/>
  <c r="U310" i="3"/>
  <c r="U311" i="3"/>
  <c r="U312" i="3"/>
  <c r="U313" i="3"/>
  <c r="U314" i="3"/>
  <c r="U315" i="3"/>
  <c r="U316" i="3"/>
  <c r="U317" i="3"/>
  <c r="U318" i="3"/>
  <c r="U319" i="3"/>
  <c r="U320" i="3"/>
  <c r="U321" i="3"/>
  <c r="U322" i="3"/>
  <c r="U323" i="3"/>
  <c r="U324" i="3"/>
  <c r="U325" i="3"/>
  <c r="U326" i="3"/>
  <c r="U327" i="3"/>
  <c r="U328" i="3"/>
  <c r="U329" i="3"/>
  <c r="U330" i="3"/>
  <c r="U331" i="3"/>
  <c r="U332" i="3"/>
  <c r="U333" i="3"/>
  <c r="U334" i="3"/>
  <c r="U335" i="3"/>
  <c r="U336" i="3"/>
  <c r="U337" i="3"/>
  <c r="U338" i="3"/>
  <c r="U339" i="3"/>
  <c r="U340" i="3"/>
  <c r="U341" i="3"/>
  <c r="U342" i="3"/>
  <c r="U343" i="3"/>
  <c r="U344" i="3"/>
  <c r="U345" i="3"/>
  <c r="U346" i="3"/>
  <c r="U347" i="3"/>
  <c r="U348" i="3"/>
  <c r="U349" i="3"/>
  <c r="U350" i="3"/>
  <c r="U351" i="3"/>
  <c r="U352" i="3"/>
  <c r="U353" i="3"/>
  <c r="U354" i="3"/>
  <c r="U355" i="3"/>
  <c r="U356" i="3"/>
  <c r="U357" i="3"/>
  <c r="U358" i="3"/>
  <c r="U359" i="3"/>
  <c r="U360" i="3"/>
  <c r="U361" i="3"/>
  <c r="U362" i="3"/>
  <c r="U363" i="3"/>
  <c r="U364" i="3"/>
  <c r="U365" i="3"/>
  <c r="U366" i="3"/>
  <c r="U367" i="3"/>
  <c r="U368" i="3"/>
  <c r="U369" i="3"/>
  <c r="U370" i="3"/>
  <c r="U371" i="3"/>
  <c r="U372" i="3"/>
  <c r="U373" i="3"/>
  <c r="U374" i="3"/>
  <c r="U375" i="3"/>
  <c r="U376" i="3"/>
  <c r="U377" i="3"/>
  <c r="U378" i="3"/>
  <c r="O51" i="30"/>
  <c r="O49" i="30"/>
  <c r="O41" i="30"/>
  <c r="O50" i="30"/>
  <c r="P50" i="30" s="1"/>
  <c r="O39" i="30"/>
  <c r="O36" i="30"/>
  <c r="P49" i="30"/>
  <c r="O44" i="30"/>
  <c r="P35" i="30"/>
  <c r="O40" i="30"/>
  <c r="O34" i="30"/>
  <c r="O64" i="30" l="1"/>
  <c r="O110" i="30" s="1"/>
  <c r="N83" i="30"/>
  <c r="O48" i="30"/>
  <c r="O87" i="30" s="1"/>
  <c r="O86" i="30" s="1"/>
  <c r="R154" i="30"/>
  <c r="S154" i="30" s="1"/>
  <c r="N163" i="30"/>
  <c r="R162" i="30"/>
  <c r="S162" i="30" s="1"/>
  <c r="O81" i="30"/>
  <c r="O82" i="30" s="1"/>
  <c r="L93" i="30"/>
  <c r="L148" i="30"/>
  <c r="M92" i="30"/>
  <c r="M93" i="30" s="1"/>
  <c r="P153" i="30"/>
  <c r="Q153" i="30" s="1"/>
  <c r="R153" i="30" s="1"/>
  <c r="N89" i="30"/>
  <c r="N90" i="30"/>
  <c r="O10" i="20" s="1"/>
  <c r="N80" i="30"/>
  <c r="O43" i="30"/>
  <c r="O79" i="30" s="1"/>
  <c r="O38" i="30"/>
  <c r="O88" i="30" s="1"/>
  <c r="P69" i="30"/>
  <c r="P115" i="30" s="1"/>
  <c r="P67" i="30"/>
  <c r="P65" i="30"/>
  <c r="P64" i="30" s="1"/>
  <c r="P110" i="30" s="1"/>
  <c r="P33" i="30"/>
  <c r="P48" i="30"/>
  <c r="P87" i="30" s="1"/>
  <c r="Q7" i="30"/>
  <c r="O165" i="30"/>
  <c r="O168" i="30" s="1"/>
  <c r="N124" i="2"/>
  <c r="I105" i="31"/>
  <c r="I108" i="31" s="1"/>
  <c r="H111" i="31"/>
  <c r="R197" i="30"/>
  <c r="S39" i="20" s="1"/>
  <c r="S196" i="30"/>
  <c r="S197" i="30" s="1"/>
  <c r="T39" i="20" s="1"/>
  <c r="P51" i="30"/>
  <c r="P44" i="30"/>
  <c r="P40" i="30"/>
  <c r="P34" i="30"/>
  <c r="P41" i="30"/>
  <c r="P39" i="30"/>
  <c r="P36" i="30"/>
  <c r="Q35" i="30"/>
  <c r="P86" i="30" l="1"/>
  <c r="O163" i="30"/>
  <c r="O83" i="30"/>
  <c r="P81" i="30"/>
  <c r="P82" i="30" s="1"/>
  <c r="S153" i="30"/>
  <c r="N92" i="30"/>
  <c r="N93" i="30" s="1"/>
  <c r="O89" i="30"/>
  <c r="O90" i="30"/>
  <c r="P10" i="20" s="1"/>
  <c r="O80" i="30"/>
  <c r="P43" i="30"/>
  <c r="P79" i="30" s="1"/>
  <c r="P38" i="30"/>
  <c r="P88" i="30" s="1"/>
  <c r="Q69" i="30"/>
  <c r="Q115" i="30" s="1"/>
  <c r="Q67" i="30"/>
  <c r="Q65" i="30"/>
  <c r="Q33" i="30"/>
  <c r="R7" i="30"/>
  <c r="P165" i="30"/>
  <c r="P168" i="30" s="1"/>
  <c r="O124" i="2"/>
  <c r="J105" i="31"/>
  <c r="J108" i="31" s="1"/>
  <c r="I111" i="31"/>
  <c r="Q51" i="30"/>
  <c r="Q39" i="30"/>
  <c r="Q40" i="30"/>
  <c r="Q41" i="30"/>
  <c r="Q49" i="30"/>
  <c r="Q50" i="30"/>
  <c r="Q44" i="30"/>
  <c r="Q34" i="30"/>
  <c r="Q36" i="30"/>
  <c r="R35" i="30"/>
  <c r="Q48" i="30" l="1"/>
  <c r="Q87" i="30" s="1"/>
  <c r="Q86" i="30" s="1"/>
  <c r="P163" i="30"/>
  <c r="Q163" i="30" s="1"/>
  <c r="R163" i="30" s="1"/>
  <c r="S163" i="30" s="1"/>
  <c r="Q64" i="30"/>
  <c r="Q110" i="30" s="1"/>
  <c r="P83" i="30"/>
  <c r="Q81" i="30"/>
  <c r="Q82" i="30" s="1"/>
  <c r="O92" i="30"/>
  <c r="O93" i="30" s="1"/>
  <c r="P89" i="30"/>
  <c r="P90" i="30"/>
  <c r="Q10" i="20" s="1"/>
  <c r="P80" i="30"/>
  <c r="Q43" i="30"/>
  <c r="Q79" i="30" s="1"/>
  <c r="R67" i="30"/>
  <c r="R65" i="30"/>
  <c r="R69" i="30"/>
  <c r="R115" i="30" s="1"/>
  <c r="R33" i="30"/>
  <c r="Q38" i="30"/>
  <c r="Q88" i="30" s="1"/>
  <c r="S7" i="30"/>
  <c r="Q165" i="30"/>
  <c r="Q168" i="30" s="1"/>
  <c r="P124" i="2"/>
  <c r="K105" i="31"/>
  <c r="K108" i="31" s="1"/>
  <c r="J111" i="31"/>
  <c r="S122" i="4"/>
  <c r="R122" i="4"/>
  <c r="Q122" i="4"/>
  <c r="P122" i="4"/>
  <c r="O122" i="4"/>
  <c r="N122" i="4"/>
  <c r="M122" i="4"/>
  <c r="L195" i="3"/>
  <c r="M195" i="3" s="1"/>
  <c r="N195" i="3" s="1"/>
  <c r="O195" i="3" s="1"/>
  <c r="P195" i="3" s="1"/>
  <c r="Q195" i="3" s="1"/>
  <c r="R195" i="3" s="1"/>
  <c r="S195" i="3" s="1"/>
  <c r="K176" i="4"/>
  <c r="J176" i="4"/>
  <c r="I176" i="4"/>
  <c r="H176" i="4"/>
  <c r="L173" i="4"/>
  <c r="K173" i="4"/>
  <c r="J173" i="4"/>
  <c r="I173" i="4"/>
  <c r="K193" i="3"/>
  <c r="J193" i="3"/>
  <c r="I193" i="3"/>
  <c r="H193" i="3"/>
  <c r="K190" i="3"/>
  <c r="J190" i="3"/>
  <c r="J192" i="3" s="1"/>
  <c r="I190" i="3"/>
  <c r="I192" i="3" s="1"/>
  <c r="H190" i="3"/>
  <c r="H192" i="3" s="1"/>
  <c r="J160" i="4"/>
  <c r="I160" i="4"/>
  <c r="H160" i="4"/>
  <c r="K175" i="3"/>
  <c r="L175" i="3" s="1"/>
  <c r="L65" i="31" s="1"/>
  <c r="J175" i="3"/>
  <c r="J176" i="3" s="1"/>
  <c r="I175" i="3"/>
  <c r="I176" i="3" s="1"/>
  <c r="H175" i="3"/>
  <c r="H176" i="3" s="1"/>
  <c r="G175" i="3"/>
  <c r="G176" i="3" s="1"/>
  <c r="K172" i="3"/>
  <c r="J172" i="3"/>
  <c r="K173" i="3" s="1"/>
  <c r="I172" i="3"/>
  <c r="J173" i="3" s="1"/>
  <c r="H172" i="3"/>
  <c r="I173" i="3" s="1"/>
  <c r="G172" i="3"/>
  <c r="H173" i="3" s="1"/>
  <c r="L185" i="3"/>
  <c r="M185" i="3" s="1"/>
  <c r="H186" i="3"/>
  <c r="I186" i="3"/>
  <c r="J186" i="3"/>
  <c r="K186" i="3"/>
  <c r="L6" i="4"/>
  <c r="K61" i="4"/>
  <c r="J61" i="4"/>
  <c r="I61" i="4"/>
  <c r="K27" i="4"/>
  <c r="K35" i="4" s="1"/>
  <c r="I27" i="4"/>
  <c r="I11" i="4" s="1"/>
  <c r="H27" i="4"/>
  <c r="K50" i="4"/>
  <c r="J50" i="4"/>
  <c r="I50" i="4"/>
  <c r="H50" i="4"/>
  <c r="K142" i="3"/>
  <c r="J142" i="3"/>
  <c r="I142" i="3"/>
  <c r="H142" i="3"/>
  <c r="K141" i="3"/>
  <c r="J141" i="3"/>
  <c r="I141" i="3"/>
  <c r="H141" i="3"/>
  <c r="K144" i="3"/>
  <c r="J144" i="3"/>
  <c r="I144" i="3"/>
  <c r="H144" i="3"/>
  <c r="G144" i="3"/>
  <c r="R51" i="30"/>
  <c r="R50" i="30"/>
  <c r="R40" i="30"/>
  <c r="R49" i="30"/>
  <c r="R39" i="30"/>
  <c r="R36" i="30"/>
  <c r="R41" i="30"/>
  <c r="R44" i="30"/>
  <c r="R34" i="30"/>
  <c r="S50" i="30"/>
  <c r="R48" i="30" l="1"/>
  <c r="R87" i="30" s="1"/>
  <c r="R86" i="30" s="1"/>
  <c r="Q83" i="30"/>
  <c r="R64" i="30"/>
  <c r="R110" i="30" s="1"/>
  <c r="R81" i="30"/>
  <c r="R82" i="30" s="1"/>
  <c r="P92" i="30"/>
  <c r="P93" i="30" s="1"/>
  <c r="Q90" i="30"/>
  <c r="R10" i="20" s="1"/>
  <c r="Q89" i="30"/>
  <c r="Q80" i="30"/>
  <c r="R43" i="30"/>
  <c r="R79" i="30" s="1"/>
  <c r="S67" i="30"/>
  <c r="S65" i="30"/>
  <c r="S69" i="30"/>
  <c r="S115" i="30" s="1"/>
  <c r="S48" i="30"/>
  <c r="S87" i="30" s="1"/>
  <c r="S86" i="30" s="1"/>
  <c r="R38" i="30"/>
  <c r="R88" i="30" s="1"/>
  <c r="R165" i="30"/>
  <c r="R168" i="30" s="1"/>
  <c r="Q124" i="2"/>
  <c r="I35" i="4"/>
  <c r="K11" i="4"/>
  <c r="H11" i="4"/>
  <c r="H52" i="4"/>
  <c r="H59" i="4"/>
  <c r="I52" i="4"/>
  <c r="I59" i="4"/>
  <c r="J52" i="4"/>
  <c r="J59" i="4"/>
  <c r="K52" i="4"/>
  <c r="K59" i="4"/>
  <c r="L166" i="4"/>
  <c r="L141" i="4"/>
  <c r="L88" i="4"/>
  <c r="L105" i="31"/>
  <c r="K111" i="31"/>
  <c r="M175" i="3"/>
  <c r="M65" i="31" s="1"/>
  <c r="K192" i="3"/>
  <c r="I177" i="4"/>
  <c r="K177" i="4"/>
  <c r="H177" i="4"/>
  <c r="J177" i="4"/>
  <c r="K176" i="3"/>
  <c r="N185" i="3"/>
  <c r="M186" i="3"/>
  <c r="M66" i="31" s="1"/>
  <c r="L186" i="3"/>
  <c r="L66" i="31" s="1"/>
  <c r="L59" i="4"/>
  <c r="H28" i="4"/>
  <c r="H12" i="4" s="1"/>
  <c r="H29" i="4"/>
  <c r="H13" i="4" s="1"/>
  <c r="I28" i="4"/>
  <c r="I12" i="4" s="1"/>
  <c r="I15" i="4" s="1"/>
  <c r="I29" i="4"/>
  <c r="I13" i="4" s="1"/>
  <c r="J27" i="4"/>
  <c r="I51" i="4"/>
  <c r="H51" i="4"/>
  <c r="J51" i="4"/>
  <c r="K51" i="4"/>
  <c r="S51" i="30"/>
  <c r="S41" i="30"/>
  <c r="S40" i="30"/>
  <c r="S49" i="30"/>
  <c r="S35" i="30"/>
  <c r="S44" i="30"/>
  <c r="S34" i="30"/>
  <c r="S39" i="30"/>
  <c r="S36" i="30"/>
  <c r="S33" i="30" l="1"/>
  <c r="S81" i="30" s="1"/>
  <c r="S82" i="30" s="1"/>
  <c r="S64" i="30"/>
  <c r="S110" i="30" s="1"/>
  <c r="R83" i="30"/>
  <c r="Q92" i="30"/>
  <c r="Q93" i="30" s="1"/>
  <c r="R90" i="30"/>
  <c r="S10" i="20" s="1"/>
  <c r="R89" i="30"/>
  <c r="R80" i="30"/>
  <c r="S43" i="30"/>
  <c r="S79" i="30" s="1"/>
  <c r="S38" i="30"/>
  <c r="S88" i="30" s="1"/>
  <c r="S165" i="30"/>
  <c r="S168" i="30" s="1"/>
  <c r="S124" i="2" s="1"/>
  <c r="R124" i="2"/>
  <c r="L11" i="4"/>
  <c r="J11" i="4"/>
  <c r="J35" i="4"/>
  <c r="K51" i="31"/>
  <c r="K53" i="31" s="1"/>
  <c r="K54" i="31" s="1"/>
  <c r="J51" i="31"/>
  <c r="J53" i="31" s="1"/>
  <c r="J54" i="31" s="1"/>
  <c r="I51" i="31"/>
  <c r="I53" i="31" s="1"/>
  <c r="I54" i="31" s="1"/>
  <c r="H51" i="31"/>
  <c r="H53" i="31" s="1"/>
  <c r="H54" i="31" s="1"/>
  <c r="I49" i="20"/>
  <c r="G63" i="21"/>
  <c r="L49" i="20"/>
  <c r="J63" i="21"/>
  <c r="K49" i="20"/>
  <c r="I63" i="21"/>
  <c r="J49" i="20"/>
  <c r="H63" i="21"/>
  <c r="L51" i="31"/>
  <c r="N175" i="3"/>
  <c r="N65" i="31" s="1"/>
  <c r="L174" i="3"/>
  <c r="L67" i="31" s="1"/>
  <c r="H113" i="4"/>
  <c r="J113" i="4"/>
  <c r="K113" i="4"/>
  <c r="I113" i="4"/>
  <c r="O185" i="3"/>
  <c r="N186" i="3"/>
  <c r="N66" i="31" s="1"/>
  <c r="J28" i="4"/>
  <c r="J12" i="4" s="1"/>
  <c r="K28" i="4"/>
  <c r="K12" i="4" s="1"/>
  <c r="J29" i="4"/>
  <c r="J13" i="4" s="1"/>
  <c r="K29" i="4"/>
  <c r="K13" i="4" s="1"/>
  <c r="S83" i="30" l="1"/>
  <c r="L35" i="4"/>
  <c r="R92" i="30"/>
  <c r="R93" i="30" s="1"/>
  <c r="S90" i="30"/>
  <c r="T10" i="20" s="1"/>
  <c r="S89" i="30"/>
  <c r="S80" i="30"/>
  <c r="O175" i="3"/>
  <c r="O65" i="31" s="1"/>
  <c r="O186" i="3"/>
  <c r="O66" i="31" s="1"/>
  <c r="P185" i="3"/>
  <c r="L36" i="4" l="1"/>
  <c r="M35" i="4"/>
  <c r="N35" i="4"/>
  <c r="S92" i="30"/>
  <c r="S93" i="30" s="1"/>
  <c r="P175" i="3"/>
  <c r="P65" i="31" s="1"/>
  <c r="P186" i="3"/>
  <c r="P66" i="31" s="1"/>
  <c r="Q185" i="3"/>
  <c r="O35" i="4" l="1"/>
  <c r="L30" i="2"/>
  <c r="L49" i="2" s="1"/>
  <c r="L64" i="4"/>
  <c r="Q175" i="3"/>
  <c r="Q65" i="31" s="1"/>
  <c r="Q186" i="3"/>
  <c r="Q66" i="31" s="1"/>
  <c r="R185" i="3"/>
  <c r="P35" i="4" l="1"/>
  <c r="S35" i="4" s="1"/>
  <c r="Q35" i="4"/>
  <c r="R35" i="4" s="1"/>
  <c r="R175" i="3"/>
  <c r="R65" i="31" s="1"/>
  <c r="S185" i="3"/>
  <c r="S186" i="3" s="1"/>
  <c r="S66" i="31" s="1"/>
  <c r="R186" i="3"/>
  <c r="R66" i="31" s="1"/>
  <c r="S175" i="3" l="1"/>
  <c r="S65" i="31" s="1"/>
  <c r="K156" i="3" l="1"/>
  <c r="J156" i="3"/>
  <c r="I156" i="3"/>
  <c r="H156" i="3"/>
  <c r="L149" i="3"/>
  <c r="K149" i="3"/>
  <c r="K152" i="3" s="1"/>
  <c r="J149" i="3"/>
  <c r="J152" i="3" s="1"/>
  <c r="I149" i="3"/>
  <c r="I152" i="3" s="1"/>
  <c r="H149" i="3"/>
  <c r="H152" i="3" s="1"/>
  <c r="I160" i="3"/>
  <c r="I165" i="3" s="1"/>
  <c r="H160" i="3"/>
  <c r="H165" i="3" s="1"/>
  <c r="K160" i="3"/>
  <c r="J160" i="3"/>
  <c r="J165" i="3" s="1"/>
  <c r="J167" i="3"/>
  <c r="I167" i="3"/>
  <c r="H167" i="3"/>
  <c r="K167" i="3"/>
  <c r="K162" i="3"/>
  <c r="J162" i="3"/>
  <c r="I162" i="3"/>
  <c r="H162" i="3"/>
  <c r="G162" i="3"/>
  <c r="H158" i="3" s="1"/>
  <c r="J147" i="3"/>
  <c r="I147" i="3"/>
  <c r="H147" i="3"/>
  <c r="K147" i="3"/>
  <c r="K140" i="3"/>
  <c r="I140" i="3"/>
  <c r="H140" i="3"/>
  <c r="H161" i="3" l="1"/>
  <c r="L158" i="3"/>
  <c r="I158" i="3"/>
  <c r="I161" i="3" s="1"/>
  <c r="J158" i="3"/>
  <c r="J161" i="3" s="1"/>
  <c r="K158" i="3"/>
  <c r="K161" i="3" s="1"/>
  <c r="K143" i="3"/>
  <c r="I143" i="3"/>
  <c r="L140" i="3"/>
  <c r="J140" i="3"/>
  <c r="J143" i="3" s="1"/>
  <c r="H143" i="3"/>
  <c r="K165" i="3" l="1"/>
  <c r="H197" i="3" l="1"/>
  <c r="I54" i="20" s="1"/>
  <c r="I197" i="3"/>
  <c r="J197" i="3"/>
  <c r="G197" i="3"/>
  <c r="K105" i="2"/>
  <c r="L35" i="20" s="1"/>
  <c r="J60" i="21" s="1"/>
  <c r="J105" i="2"/>
  <c r="K35" i="20" s="1"/>
  <c r="I60" i="21" s="1"/>
  <c r="H189" i="3" l="1"/>
  <c r="H196" i="3" s="1"/>
  <c r="H54" i="20"/>
  <c r="K189" i="3"/>
  <c r="J189" i="3"/>
  <c r="J196" i="3" s="1"/>
  <c r="I189" i="3"/>
  <c r="I196" i="3" s="1"/>
  <c r="C132" i="3" l="1"/>
  <c r="U132" i="3" s="1"/>
  <c r="C131" i="3"/>
  <c r="U131" i="3" s="1"/>
  <c r="K111" i="3" l="1"/>
  <c r="J111" i="3"/>
  <c r="I111" i="3"/>
  <c r="H111" i="3"/>
  <c r="G111" i="3"/>
  <c r="K106" i="3"/>
  <c r="J106" i="3"/>
  <c r="I106" i="3"/>
  <c r="H106" i="3"/>
  <c r="G106" i="3"/>
  <c r="H34" i="20"/>
  <c r="K23" i="2"/>
  <c r="K118" i="30" s="1"/>
  <c r="J23" i="2"/>
  <c r="J118" i="30" s="1"/>
  <c r="I23" i="2"/>
  <c r="I118" i="30" s="1"/>
  <c r="H23" i="2"/>
  <c r="H118" i="30" s="1"/>
  <c r="G23" i="2"/>
  <c r="K13" i="2"/>
  <c r="J13" i="2"/>
  <c r="H13" i="2"/>
  <c r="G13" i="2"/>
  <c r="G134" i="30" s="1"/>
  <c r="I151" i="2"/>
  <c r="H151" i="2"/>
  <c r="G151" i="2"/>
  <c r="G139" i="30" l="1"/>
  <c r="J134" i="30"/>
  <c r="J132" i="30"/>
  <c r="H132" i="30"/>
  <c r="H134" i="30"/>
  <c r="K134" i="30"/>
  <c r="K139" i="30" s="1"/>
  <c r="K132" i="30"/>
  <c r="J133" i="30"/>
  <c r="K133" i="30"/>
  <c r="G133" i="30"/>
  <c r="G132" i="30"/>
  <c r="H133" i="30"/>
  <c r="G118" i="30"/>
  <c r="J101" i="30"/>
  <c r="J100" i="30" s="1"/>
  <c r="J99" i="30" s="1"/>
  <c r="G101" i="30"/>
  <c r="G100" i="30" s="1"/>
  <c r="G99" i="30" s="1"/>
  <c r="H101" i="30"/>
  <c r="H100" i="30" s="1"/>
  <c r="H99" i="30" s="1"/>
  <c r="I138" i="30"/>
  <c r="I101" i="30"/>
  <c r="I100" i="30" s="1"/>
  <c r="I99" i="30" s="1"/>
  <c r="I137" i="30"/>
  <c r="K101" i="30"/>
  <c r="K100" i="30" s="1"/>
  <c r="K99" i="30" s="1"/>
  <c r="G32" i="5"/>
  <c r="H13" i="20"/>
  <c r="H14" i="20" s="1"/>
  <c r="H32" i="5"/>
  <c r="I13" i="20"/>
  <c r="I32" i="5"/>
  <c r="J13" i="20"/>
  <c r="K32" i="5"/>
  <c r="L13" i="20"/>
  <c r="J32" i="5"/>
  <c r="K13" i="20"/>
  <c r="I113" i="3"/>
  <c r="I33" i="5"/>
  <c r="H113" i="3"/>
  <c r="H33" i="5"/>
  <c r="J113" i="3"/>
  <c r="J33" i="5"/>
  <c r="K113" i="3"/>
  <c r="K33" i="5"/>
  <c r="G113" i="3"/>
  <c r="G33" i="5"/>
  <c r="G101" i="3"/>
  <c r="G128" i="3"/>
  <c r="G132" i="3" s="1"/>
  <c r="G127" i="3"/>
  <c r="G131" i="3" s="1"/>
  <c r="I101" i="3"/>
  <c r="I128" i="3"/>
  <c r="I132" i="3" s="1"/>
  <c r="I127" i="3"/>
  <c r="I131" i="3" s="1"/>
  <c r="H101" i="3"/>
  <c r="H127" i="3"/>
  <c r="H131" i="3" s="1"/>
  <c r="H128" i="3"/>
  <c r="H132" i="3" s="1"/>
  <c r="J101" i="3"/>
  <c r="J127" i="3"/>
  <c r="J131" i="3" s="1"/>
  <c r="J128" i="3"/>
  <c r="J132" i="3" s="1"/>
  <c r="K101" i="3"/>
  <c r="K128" i="3"/>
  <c r="K132" i="3" s="1"/>
  <c r="K127" i="3"/>
  <c r="K131" i="3" s="1"/>
  <c r="C60" i="3"/>
  <c r="U60" i="3" s="1"/>
  <c r="C59" i="3"/>
  <c r="U59" i="3" s="1"/>
  <c r="C58" i="3"/>
  <c r="C55" i="3"/>
  <c r="U55" i="3" s="1"/>
  <c r="C54" i="3"/>
  <c r="U54" i="3" s="1"/>
  <c r="C53" i="3"/>
  <c r="C50" i="3"/>
  <c r="U50" i="3" s="1"/>
  <c r="C49" i="3"/>
  <c r="U49" i="3" s="1"/>
  <c r="C48" i="3"/>
  <c r="C40" i="3"/>
  <c r="U40" i="3" s="1"/>
  <c r="C39" i="3"/>
  <c r="U39" i="3" s="1"/>
  <c r="C45" i="3"/>
  <c r="U45" i="3" s="1"/>
  <c r="C44" i="3"/>
  <c r="U44" i="3" s="1"/>
  <c r="C43" i="3"/>
  <c r="C35" i="3"/>
  <c r="U35" i="3" s="1"/>
  <c r="C34" i="3"/>
  <c r="U34" i="3" s="1"/>
  <c r="C33" i="3"/>
  <c r="U33" i="3" s="1"/>
  <c r="L32" i="3"/>
  <c r="L81" i="3" s="1"/>
  <c r="C38" i="3"/>
  <c r="C67" i="3"/>
  <c r="U67" i="3" s="1"/>
  <c r="S72" i="3"/>
  <c r="S110" i="3" s="1"/>
  <c r="R72" i="3"/>
  <c r="R110" i="3" s="1"/>
  <c r="Q72" i="3"/>
  <c r="Q110" i="3" s="1"/>
  <c r="P72" i="3"/>
  <c r="P110" i="3" s="1"/>
  <c r="O72" i="3"/>
  <c r="O110" i="3" s="1"/>
  <c r="N72" i="3"/>
  <c r="N110" i="3" s="1"/>
  <c r="M72" i="3"/>
  <c r="M110" i="3" s="1"/>
  <c r="L72" i="3"/>
  <c r="L110" i="3" s="1"/>
  <c r="U72" i="3"/>
  <c r="K55" i="30" l="1"/>
  <c r="K56" i="30"/>
  <c r="K57" i="30"/>
  <c r="I57" i="30"/>
  <c r="I58" i="30" s="1"/>
  <c r="I55" i="30"/>
  <c r="I56" i="30"/>
  <c r="J55" i="30"/>
  <c r="J56" i="30"/>
  <c r="J57" i="30"/>
  <c r="G55" i="30"/>
  <c r="G56" i="30"/>
  <c r="G57" i="30"/>
  <c r="H57" i="30"/>
  <c r="H55" i="30"/>
  <c r="H56" i="30"/>
  <c r="K137" i="30"/>
  <c r="G138" i="30"/>
  <c r="L133" i="30"/>
  <c r="J139" i="30"/>
  <c r="H139" i="30"/>
  <c r="H138" i="30"/>
  <c r="J137" i="30"/>
  <c r="K138" i="30"/>
  <c r="L134" i="30"/>
  <c r="H137" i="30"/>
  <c r="G137" i="30"/>
  <c r="L132" i="30"/>
  <c r="J138" i="30"/>
  <c r="C37" i="3"/>
  <c r="U37" i="3" s="1"/>
  <c r="U38" i="3"/>
  <c r="C57" i="3"/>
  <c r="U57" i="3" s="1"/>
  <c r="U58" i="3"/>
  <c r="C42" i="3"/>
  <c r="U42" i="3" s="1"/>
  <c r="U43" i="3"/>
  <c r="C47" i="3"/>
  <c r="U47" i="3" s="1"/>
  <c r="U48" i="3"/>
  <c r="C52" i="3"/>
  <c r="U52" i="3" s="1"/>
  <c r="U53" i="3"/>
  <c r="L80" i="3"/>
  <c r="C91" i="3"/>
  <c r="U91" i="3" s="1"/>
  <c r="C89" i="3"/>
  <c r="U89" i="3" s="1"/>
  <c r="C87" i="3"/>
  <c r="U87" i="3" s="1"/>
  <c r="C85" i="3"/>
  <c r="U85" i="3" s="1"/>
  <c r="C83" i="3"/>
  <c r="U83" i="3" s="1"/>
  <c r="C81" i="3"/>
  <c r="U81" i="3" s="1"/>
  <c r="S57" i="3"/>
  <c r="S91" i="3" s="1"/>
  <c r="R57" i="3"/>
  <c r="R91" i="3" s="1"/>
  <c r="Q57" i="3"/>
  <c r="Q91" i="3" s="1"/>
  <c r="P57" i="3"/>
  <c r="P91" i="3" s="1"/>
  <c r="O57" i="3"/>
  <c r="O91" i="3" s="1"/>
  <c r="N57" i="3"/>
  <c r="N91" i="3" s="1"/>
  <c r="M57" i="3"/>
  <c r="M91" i="3" s="1"/>
  <c r="L57" i="3"/>
  <c r="L91" i="3" s="1"/>
  <c r="L90" i="3" s="1"/>
  <c r="S52" i="3"/>
  <c r="S89" i="3" s="1"/>
  <c r="R52" i="3"/>
  <c r="R89" i="3" s="1"/>
  <c r="Q52" i="3"/>
  <c r="Q89" i="3" s="1"/>
  <c r="P52" i="3"/>
  <c r="P89" i="3" s="1"/>
  <c r="O52" i="3"/>
  <c r="O89" i="3" s="1"/>
  <c r="N52" i="3"/>
  <c r="N89" i="3" s="1"/>
  <c r="M52" i="3"/>
  <c r="M89" i="3" s="1"/>
  <c r="L52" i="3"/>
  <c r="L89" i="3" s="1"/>
  <c r="L88" i="3" s="1"/>
  <c r="S47" i="3"/>
  <c r="S87" i="3" s="1"/>
  <c r="R47" i="3"/>
  <c r="R87" i="3" s="1"/>
  <c r="Q47" i="3"/>
  <c r="Q87" i="3" s="1"/>
  <c r="P47" i="3"/>
  <c r="P87" i="3" s="1"/>
  <c r="O47" i="3"/>
  <c r="O87" i="3" s="1"/>
  <c r="N47" i="3"/>
  <c r="N87" i="3" s="1"/>
  <c r="M47" i="3"/>
  <c r="M87" i="3" s="1"/>
  <c r="L47" i="3"/>
  <c r="L87" i="3" s="1"/>
  <c r="L86" i="3" s="1"/>
  <c r="L7" i="2"/>
  <c r="G7" i="3"/>
  <c r="G8" i="31" s="1"/>
  <c r="B1" i="20"/>
  <c r="B1" i="10"/>
  <c r="C1" i="9"/>
  <c r="C1" i="8"/>
  <c r="C1" i="21"/>
  <c r="B1" i="6"/>
  <c r="B1" i="5"/>
  <c r="B1" i="4"/>
  <c r="C62" i="3"/>
  <c r="U62" i="3" s="1"/>
  <c r="B2" i="2"/>
  <c r="R120" i="21"/>
  <c r="R119" i="21"/>
  <c r="R118" i="21"/>
  <c r="R117" i="21"/>
  <c r="R116" i="21"/>
  <c r="R115" i="21"/>
  <c r="R114" i="21"/>
  <c r="R113" i="21"/>
  <c r="R112" i="21"/>
  <c r="R111" i="21"/>
  <c r="R110" i="21"/>
  <c r="R109" i="21"/>
  <c r="R108" i="21"/>
  <c r="R107" i="21"/>
  <c r="R106" i="21"/>
  <c r="R105" i="21"/>
  <c r="R104" i="21"/>
  <c r="R103" i="21"/>
  <c r="R102" i="21"/>
  <c r="R101" i="21"/>
  <c r="R100" i="21"/>
  <c r="R99" i="21"/>
  <c r="R98" i="21"/>
  <c r="R97" i="21"/>
  <c r="R96" i="21"/>
  <c r="R95" i="21"/>
  <c r="R94" i="21"/>
  <c r="R93" i="21"/>
  <c r="R92" i="21"/>
  <c r="R91" i="21"/>
  <c r="R90" i="21"/>
  <c r="R89" i="21"/>
  <c r="R88" i="21"/>
  <c r="R87" i="21"/>
  <c r="R86" i="21"/>
  <c r="R85" i="21"/>
  <c r="R84" i="21"/>
  <c r="R83" i="21"/>
  <c r="R82" i="21"/>
  <c r="R81" i="21"/>
  <c r="R80" i="21"/>
  <c r="R79" i="21"/>
  <c r="R78" i="21"/>
  <c r="R77" i="21"/>
  <c r="R76" i="21"/>
  <c r="R75" i="21"/>
  <c r="R74" i="21"/>
  <c r="R73" i="21"/>
  <c r="R72" i="21"/>
  <c r="R71" i="21"/>
  <c r="R70" i="21"/>
  <c r="R69" i="21"/>
  <c r="R68" i="21"/>
  <c r="R67" i="21"/>
  <c r="R66" i="21"/>
  <c r="R65" i="21"/>
  <c r="R64" i="21"/>
  <c r="R63" i="21"/>
  <c r="R62" i="21"/>
  <c r="R61" i="21"/>
  <c r="R60" i="21"/>
  <c r="R59" i="21"/>
  <c r="R58" i="21"/>
  <c r="R57" i="21"/>
  <c r="R56" i="21"/>
  <c r="R55" i="21"/>
  <c r="R54" i="21"/>
  <c r="R53" i="21"/>
  <c r="R52" i="21"/>
  <c r="R51" i="21"/>
  <c r="R50" i="21"/>
  <c r="R49" i="21"/>
  <c r="R48" i="21"/>
  <c r="R47" i="21"/>
  <c r="R46" i="21"/>
  <c r="R43" i="21"/>
  <c r="R42" i="21"/>
  <c r="R41" i="21"/>
  <c r="R39" i="21"/>
  <c r="R37" i="21"/>
  <c r="R35" i="21"/>
  <c r="R33" i="21"/>
  <c r="R32" i="21"/>
  <c r="R31" i="21"/>
  <c r="R30" i="21"/>
  <c r="R24" i="21"/>
  <c r="R23" i="21"/>
  <c r="R16" i="21"/>
  <c r="R15" i="21"/>
  <c r="R14" i="21"/>
  <c r="R13" i="21"/>
  <c r="R12" i="21"/>
  <c r="R11" i="21"/>
  <c r="R9" i="21"/>
  <c r="U453" i="2"/>
  <c r="U452" i="2"/>
  <c r="U451" i="2"/>
  <c r="U450" i="2"/>
  <c r="U449" i="2"/>
  <c r="U448" i="2"/>
  <c r="U447" i="2"/>
  <c r="U446" i="2"/>
  <c r="U445" i="2"/>
  <c r="U444" i="2"/>
  <c r="U443" i="2"/>
  <c r="U442" i="2"/>
  <c r="U441" i="2"/>
  <c r="U440" i="2"/>
  <c r="U439" i="2"/>
  <c r="U438" i="2"/>
  <c r="U437" i="2"/>
  <c r="U436" i="2"/>
  <c r="U435" i="2"/>
  <c r="U434" i="2"/>
  <c r="U433" i="2"/>
  <c r="U432" i="2"/>
  <c r="U431" i="2"/>
  <c r="U430" i="2"/>
  <c r="U429" i="2"/>
  <c r="U428" i="2"/>
  <c r="U427" i="2"/>
  <c r="U426" i="2"/>
  <c r="U425" i="2"/>
  <c r="U424" i="2"/>
  <c r="U423" i="2"/>
  <c r="U422" i="2"/>
  <c r="U421" i="2"/>
  <c r="U420" i="2"/>
  <c r="U419" i="2"/>
  <c r="U418" i="2"/>
  <c r="U417" i="2"/>
  <c r="U416" i="2"/>
  <c r="U415" i="2"/>
  <c r="U414" i="2"/>
  <c r="U413" i="2"/>
  <c r="U412" i="2"/>
  <c r="U411" i="2"/>
  <c r="U410" i="2"/>
  <c r="U409" i="2"/>
  <c r="U408" i="2"/>
  <c r="U407" i="2"/>
  <c r="U406" i="2"/>
  <c r="U405" i="2"/>
  <c r="U404" i="2"/>
  <c r="U403" i="2"/>
  <c r="U402" i="2"/>
  <c r="U401" i="2"/>
  <c r="U400" i="2"/>
  <c r="U399" i="2"/>
  <c r="U398" i="2"/>
  <c r="U397" i="2"/>
  <c r="U396" i="2"/>
  <c r="U395" i="2"/>
  <c r="U394" i="2"/>
  <c r="U393" i="2"/>
  <c r="U392" i="2"/>
  <c r="U391" i="2"/>
  <c r="U390" i="2"/>
  <c r="U389" i="2"/>
  <c r="U388" i="2"/>
  <c r="U387" i="2"/>
  <c r="U386" i="2"/>
  <c r="U385" i="2"/>
  <c r="U384" i="2"/>
  <c r="U383" i="2"/>
  <c r="U382" i="2"/>
  <c r="U381" i="2"/>
  <c r="U380" i="2"/>
  <c r="U379" i="2"/>
  <c r="U378" i="2"/>
  <c r="U377" i="2"/>
  <c r="U376" i="2"/>
  <c r="U375" i="2"/>
  <c r="U374" i="2"/>
  <c r="U373" i="2"/>
  <c r="U372" i="2"/>
  <c r="U371" i="2"/>
  <c r="U370" i="2"/>
  <c r="U369" i="2"/>
  <c r="U368" i="2"/>
  <c r="U367" i="2"/>
  <c r="U366" i="2"/>
  <c r="U365" i="2"/>
  <c r="U364" i="2"/>
  <c r="U363" i="2"/>
  <c r="U362" i="2"/>
  <c r="U361" i="2"/>
  <c r="U360" i="2"/>
  <c r="U359" i="2"/>
  <c r="U358" i="2"/>
  <c r="U357" i="2"/>
  <c r="U356" i="2"/>
  <c r="U355" i="2"/>
  <c r="U354" i="2"/>
  <c r="U353" i="2"/>
  <c r="U352" i="2"/>
  <c r="U351" i="2"/>
  <c r="U350" i="2"/>
  <c r="U349" i="2"/>
  <c r="U348" i="2"/>
  <c r="U347" i="2"/>
  <c r="U346" i="2"/>
  <c r="U345" i="2"/>
  <c r="U344" i="2"/>
  <c r="U343" i="2"/>
  <c r="U342" i="2"/>
  <c r="U341" i="2"/>
  <c r="U340" i="2"/>
  <c r="U339" i="2"/>
  <c r="U338" i="2"/>
  <c r="U337" i="2"/>
  <c r="U336" i="2"/>
  <c r="U335" i="2"/>
  <c r="U334" i="2"/>
  <c r="U333" i="2"/>
  <c r="U332" i="2"/>
  <c r="U331" i="2"/>
  <c r="U330" i="2"/>
  <c r="U329" i="2"/>
  <c r="U328" i="2"/>
  <c r="U327" i="2"/>
  <c r="U326" i="2"/>
  <c r="U325" i="2"/>
  <c r="U324" i="2"/>
  <c r="U323" i="2"/>
  <c r="U322" i="2"/>
  <c r="U321" i="2"/>
  <c r="U320" i="2"/>
  <c r="U319" i="2"/>
  <c r="U318" i="2"/>
  <c r="U317" i="2"/>
  <c r="U316" i="2"/>
  <c r="U315" i="2"/>
  <c r="U314" i="2"/>
  <c r="U313" i="2"/>
  <c r="U312" i="2"/>
  <c r="U311" i="2"/>
  <c r="U310" i="2"/>
  <c r="U309" i="2"/>
  <c r="U308" i="2"/>
  <c r="U307" i="2"/>
  <c r="U306" i="2"/>
  <c r="U305" i="2"/>
  <c r="U304" i="2"/>
  <c r="U303" i="2"/>
  <c r="U302" i="2"/>
  <c r="U301" i="2"/>
  <c r="U300" i="2"/>
  <c r="U299" i="2"/>
  <c r="U298" i="2"/>
  <c r="U297" i="2"/>
  <c r="U296" i="2"/>
  <c r="U295" i="2"/>
  <c r="U294" i="2"/>
  <c r="U293" i="2"/>
  <c r="U292" i="2"/>
  <c r="U291" i="2"/>
  <c r="U290" i="2"/>
  <c r="U289" i="2"/>
  <c r="U288" i="2"/>
  <c r="U287" i="2"/>
  <c r="U286" i="2"/>
  <c r="U285" i="2"/>
  <c r="U284" i="2"/>
  <c r="U283" i="2"/>
  <c r="U282" i="2"/>
  <c r="U281" i="2"/>
  <c r="U280" i="2"/>
  <c r="U279" i="2"/>
  <c r="U278" i="2"/>
  <c r="U277" i="2"/>
  <c r="U276" i="2"/>
  <c r="U275" i="2"/>
  <c r="U274" i="2"/>
  <c r="U273" i="2"/>
  <c r="U272" i="2"/>
  <c r="U271" i="2"/>
  <c r="U270" i="2"/>
  <c r="U269" i="2"/>
  <c r="U268" i="2"/>
  <c r="U267" i="2"/>
  <c r="U266" i="2"/>
  <c r="U265" i="2"/>
  <c r="U264" i="2"/>
  <c r="U263" i="2"/>
  <c r="U262" i="2"/>
  <c r="U261" i="2"/>
  <c r="U260" i="2"/>
  <c r="U259" i="2"/>
  <c r="U258" i="2"/>
  <c r="U257" i="2"/>
  <c r="U256" i="2"/>
  <c r="U255" i="2"/>
  <c r="U254" i="2"/>
  <c r="U253" i="2"/>
  <c r="U252" i="2"/>
  <c r="U251" i="2"/>
  <c r="U250" i="2"/>
  <c r="U249" i="2"/>
  <c r="U248" i="2"/>
  <c r="U247" i="2"/>
  <c r="U246" i="2"/>
  <c r="U245" i="2"/>
  <c r="U244" i="2"/>
  <c r="U243" i="2"/>
  <c r="U242" i="2"/>
  <c r="U241" i="2"/>
  <c r="U240" i="2"/>
  <c r="U239" i="2"/>
  <c r="U238" i="2"/>
  <c r="U237" i="2"/>
  <c r="U236" i="2"/>
  <c r="U235" i="2"/>
  <c r="U234" i="2"/>
  <c r="U233" i="2"/>
  <c r="U232" i="2"/>
  <c r="U231" i="2"/>
  <c r="U230" i="2"/>
  <c r="U229" i="2"/>
  <c r="U228" i="2"/>
  <c r="U227" i="2"/>
  <c r="U226" i="2"/>
  <c r="U225" i="2"/>
  <c r="U224" i="2"/>
  <c r="U223" i="2"/>
  <c r="U222" i="2"/>
  <c r="U221" i="2"/>
  <c r="U220" i="2"/>
  <c r="U219" i="2"/>
  <c r="U218" i="2"/>
  <c r="U217" i="2"/>
  <c r="U216" i="2"/>
  <c r="U215" i="2"/>
  <c r="U214" i="2"/>
  <c r="U213" i="2"/>
  <c r="U212" i="2"/>
  <c r="U211" i="2"/>
  <c r="U210" i="2"/>
  <c r="U209" i="2"/>
  <c r="U208" i="2"/>
  <c r="U207" i="2"/>
  <c r="U206" i="2"/>
  <c r="U205" i="2"/>
  <c r="U204" i="2"/>
  <c r="U203" i="2"/>
  <c r="U202" i="2"/>
  <c r="U201" i="2"/>
  <c r="U200" i="2"/>
  <c r="U199" i="2"/>
  <c r="U198" i="2"/>
  <c r="U197" i="2"/>
  <c r="U196" i="2"/>
  <c r="U195" i="2"/>
  <c r="U194" i="2"/>
  <c r="U193" i="2"/>
  <c r="U192" i="2"/>
  <c r="U191" i="2"/>
  <c r="U190" i="2"/>
  <c r="U189" i="2"/>
  <c r="U188" i="2"/>
  <c r="U187" i="2"/>
  <c r="U186" i="2"/>
  <c r="U185" i="2"/>
  <c r="U184" i="2"/>
  <c r="U183" i="2"/>
  <c r="U8" i="2"/>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C3" i="19"/>
  <c r="G59" i="21"/>
  <c r="H59" i="21"/>
  <c r="I59" i="21"/>
  <c r="J59" i="21"/>
  <c r="C68" i="20"/>
  <c r="C66" i="20"/>
  <c r="G106" i="2"/>
  <c r="C15" i="20"/>
  <c r="C13" i="20"/>
  <c r="S37" i="3"/>
  <c r="S83" i="3" s="1"/>
  <c r="R37" i="3"/>
  <c r="R83" i="3" s="1"/>
  <c r="Q37" i="3"/>
  <c r="Q83" i="3" s="1"/>
  <c r="P37" i="3"/>
  <c r="P83" i="3" s="1"/>
  <c r="O37" i="3"/>
  <c r="O83" i="3" s="1"/>
  <c r="N37" i="3"/>
  <c r="N83" i="3" s="1"/>
  <c r="M37" i="3"/>
  <c r="M83" i="3" s="1"/>
  <c r="L37" i="3"/>
  <c r="L83" i="3" s="1"/>
  <c r="L82" i="3" s="1"/>
  <c r="G90" i="8"/>
  <c r="L150" i="4"/>
  <c r="C30" i="3"/>
  <c r="U30" i="3" s="1"/>
  <c r="C29" i="3"/>
  <c r="U29" i="3" s="1"/>
  <c r="L56" i="30" l="1"/>
  <c r="J58" i="30"/>
  <c r="K58" i="30"/>
  <c r="H58" i="30"/>
  <c r="M132" i="30"/>
  <c r="M133" i="30"/>
  <c r="M134" i="30"/>
  <c r="G122" i="31"/>
  <c r="G58" i="31"/>
  <c r="L29" i="5"/>
  <c r="H62" i="20"/>
  <c r="H29" i="20"/>
  <c r="H7" i="20"/>
  <c r="H146" i="3"/>
  <c r="H155" i="3"/>
  <c r="I146" i="3"/>
  <c r="I155" i="3"/>
  <c r="J146" i="3"/>
  <c r="J155" i="3"/>
  <c r="K155" i="3"/>
  <c r="K146" i="3"/>
  <c r="H164" i="3"/>
  <c r="I164" i="3"/>
  <c r="J164" i="3"/>
  <c r="K164" i="3"/>
  <c r="M90" i="3"/>
  <c r="M86" i="3"/>
  <c r="M82" i="3"/>
  <c r="M88" i="3"/>
  <c r="G100" i="3"/>
  <c r="H100" i="3"/>
  <c r="I100" i="3"/>
  <c r="J100" i="3"/>
  <c r="K100" i="3"/>
  <c r="C32" i="3"/>
  <c r="U32" i="3" s="1"/>
  <c r="O46" i="5"/>
  <c r="L54" i="30" l="1"/>
  <c r="L99" i="30" s="1"/>
  <c r="L100" i="30" s="1"/>
  <c r="L101" i="30" s="1"/>
  <c r="M56" i="30"/>
  <c r="N56" i="30" s="1"/>
  <c r="L58" i="30"/>
  <c r="M58" i="30"/>
  <c r="N58" i="30"/>
  <c r="N133" i="30"/>
  <c r="O133" i="30" s="1"/>
  <c r="N134" i="30"/>
  <c r="N132" i="30"/>
  <c r="O132" i="30" s="1"/>
  <c r="J31" i="5"/>
  <c r="J136" i="30"/>
  <c r="J105" i="30"/>
  <c r="J135" i="30"/>
  <c r="I136" i="30"/>
  <c r="I105" i="30"/>
  <c r="I135" i="30"/>
  <c r="K136" i="30"/>
  <c r="K135" i="30"/>
  <c r="K105" i="30"/>
  <c r="H135" i="30"/>
  <c r="H136" i="30"/>
  <c r="H105" i="30"/>
  <c r="G31" i="5"/>
  <c r="G135" i="30"/>
  <c r="G105" i="30"/>
  <c r="G136" i="30"/>
  <c r="N90" i="3"/>
  <c r="N88" i="3"/>
  <c r="N86" i="3"/>
  <c r="N82" i="3"/>
  <c r="K31" i="5"/>
  <c r="I31" i="5"/>
  <c r="H31" i="5"/>
  <c r="J14" i="2"/>
  <c r="I110" i="3"/>
  <c r="I126" i="3"/>
  <c r="I125" i="3"/>
  <c r="H125" i="3"/>
  <c r="H126" i="3"/>
  <c r="G125" i="3"/>
  <c r="G129" i="3" s="1"/>
  <c r="G126" i="3"/>
  <c r="G130" i="3" s="1"/>
  <c r="K110" i="3"/>
  <c r="K126" i="3"/>
  <c r="K125" i="3"/>
  <c r="J110" i="3"/>
  <c r="J126" i="3"/>
  <c r="J125" i="3"/>
  <c r="I14" i="2"/>
  <c r="H14" i="2"/>
  <c r="H110" i="3"/>
  <c r="G14" i="2"/>
  <c r="G110" i="3"/>
  <c r="H24" i="2"/>
  <c r="I10" i="2"/>
  <c r="H10" i="2"/>
  <c r="J105" i="3"/>
  <c r="I105" i="3"/>
  <c r="H105" i="3"/>
  <c r="G105" i="3"/>
  <c r="K24" i="2"/>
  <c r="K105" i="3"/>
  <c r="J16" i="2"/>
  <c r="I16" i="2"/>
  <c r="J10" i="2"/>
  <c r="H16" i="2"/>
  <c r="G16" i="2"/>
  <c r="G24" i="2"/>
  <c r="K16" i="2"/>
  <c r="K14" i="2"/>
  <c r="K10" i="2"/>
  <c r="M46" i="5"/>
  <c r="P46" i="5"/>
  <c r="L46" i="5"/>
  <c r="N46" i="5"/>
  <c r="R46" i="5"/>
  <c r="S46" i="5"/>
  <c r="Q46" i="5"/>
  <c r="C130" i="3"/>
  <c r="U130" i="3" s="1"/>
  <c r="C129" i="3"/>
  <c r="U129" i="3" s="1"/>
  <c r="N54" i="30" l="1"/>
  <c r="N99" i="30" s="1"/>
  <c r="N100" i="30" s="1"/>
  <c r="M54" i="30"/>
  <c r="M99" i="30" s="1"/>
  <c r="M100" i="30" s="1"/>
  <c r="O56" i="30"/>
  <c r="O54" i="30" s="1"/>
  <c r="O99" i="30" s="1"/>
  <c r="O100" i="30" s="1"/>
  <c r="P132" i="30"/>
  <c r="Q132" i="30" s="1"/>
  <c r="H62" i="30"/>
  <c r="H60" i="30"/>
  <c r="H61" i="30"/>
  <c r="K60" i="30"/>
  <c r="K61" i="30"/>
  <c r="K62" i="30"/>
  <c r="I60" i="30"/>
  <c r="I61" i="30"/>
  <c r="I62" i="30"/>
  <c r="I63" i="30" s="1"/>
  <c r="J60" i="30"/>
  <c r="J61" i="30"/>
  <c r="J62" i="30"/>
  <c r="G60" i="30"/>
  <c r="G62" i="30"/>
  <c r="G61" i="30"/>
  <c r="P133" i="30"/>
  <c r="Q133" i="30" s="1"/>
  <c r="O134" i="30"/>
  <c r="P134" i="30" s="1"/>
  <c r="Q134" i="30" s="1"/>
  <c r="J140" i="30"/>
  <c r="J141" i="30" s="1"/>
  <c r="H140" i="30"/>
  <c r="H141" i="30" s="1"/>
  <c r="K140" i="30"/>
  <c r="K141" i="30" s="1"/>
  <c r="I140" i="30"/>
  <c r="I141" i="30" s="1"/>
  <c r="G140" i="30"/>
  <c r="G141" i="30" s="1"/>
  <c r="O90" i="3"/>
  <c r="O88" i="3"/>
  <c r="O86" i="3"/>
  <c r="O82" i="3"/>
  <c r="G133" i="3"/>
  <c r="G134" i="3" s="1"/>
  <c r="J26" i="2"/>
  <c r="H26" i="2"/>
  <c r="K26" i="2"/>
  <c r="G26" i="2"/>
  <c r="I26" i="2"/>
  <c r="G17" i="2"/>
  <c r="K17" i="2"/>
  <c r="H17" i="2"/>
  <c r="S67" i="3"/>
  <c r="S105" i="3" s="1"/>
  <c r="R67" i="3"/>
  <c r="R105" i="3" s="1"/>
  <c r="Q67" i="3"/>
  <c r="Q105" i="3" s="1"/>
  <c r="P67" i="3"/>
  <c r="P105" i="3" s="1"/>
  <c r="O67" i="3"/>
  <c r="O105" i="3" s="1"/>
  <c r="N67" i="3"/>
  <c r="N105" i="3" s="1"/>
  <c r="M67" i="3"/>
  <c r="M105" i="3" s="1"/>
  <c r="L67" i="3"/>
  <c r="L105" i="3" s="1"/>
  <c r="K99" i="3"/>
  <c r="J99" i="3"/>
  <c r="L181" i="3"/>
  <c r="S62" i="3"/>
  <c r="S99" i="3" s="1"/>
  <c r="S100" i="3" s="1"/>
  <c r="R62" i="3"/>
  <c r="Q62" i="3"/>
  <c r="P62" i="3"/>
  <c r="O62" i="3"/>
  <c r="N62" i="3"/>
  <c r="M62" i="3"/>
  <c r="L62" i="3"/>
  <c r="L99" i="3" s="1"/>
  <c r="S42" i="3"/>
  <c r="S85" i="3" s="1"/>
  <c r="R42" i="3"/>
  <c r="R85" i="3" s="1"/>
  <c r="Q42" i="3"/>
  <c r="Q85" i="3" s="1"/>
  <c r="P42" i="3"/>
  <c r="P85" i="3" s="1"/>
  <c r="O42" i="3"/>
  <c r="O85" i="3" s="1"/>
  <c r="N42" i="3"/>
  <c r="N85" i="3" s="1"/>
  <c r="M42" i="3"/>
  <c r="M85" i="3" s="1"/>
  <c r="L42" i="3"/>
  <c r="L85" i="3" s="1"/>
  <c r="L84" i="3" s="1"/>
  <c r="S32" i="3"/>
  <c r="R32" i="3"/>
  <c r="Q32" i="3"/>
  <c r="P32" i="3"/>
  <c r="O32" i="3"/>
  <c r="N32" i="3"/>
  <c r="M32" i="3"/>
  <c r="L57" i="30"/>
  <c r="M57" i="30"/>
  <c r="N57" i="30"/>
  <c r="L55" i="30"/>
  <c r="O57" i="30"/>
  <c r="M55" i="30"/>
  <c r="P57" i="30"/>
  <c r="Q57" i="30" s="1"/>
  <c r="N55" i="30"/>
  <c r="O55" i="30"/>
  <c r="P55" i="30"/>
  <c r="Q55" i="30"/>
  <c r="R55" i="30"/>
  <c r="S55" i="30" s="1"/>
  <c r="R132" i="30" l="1"/>
  <c r="S132" i="30" s="1"/>
  <c r="N100" i="3"/>
  <c r="N99" i="3"/>
  <c r="O99" i="3"/>
  <c r="O100" i="3" s="1"/>
  <c r="P56" i="30"/>
  <c r="M99" i="3"/>
  <c r="M100" i="3" s="1"/>
  <c r="P100" i="3"/>
  <c r="P99" i="3"/>
  <c r="J63" i="30"/>
  <c r="R99" i="3"/>
  <c r="R100" i="3" s="1"/>
  <c r="M11" i="20"/>
  <c r="M12" i="20" s="1"/>
  <c r="L92" i="3"/>
  <c r="L11" i="31" s="1"/>
  <c r="L12" i="31" s="1"/>
  <c r="Q100" i="3"/>
  <c r="Q99" i="3"/>
  <c r="H63" i="30"/>
  <c r="L61" i="30"/>
  <c r="K63" i="30"/>
  <c r="R133" i="30"/>
  <c r="S133" i="30" s="1"/>
  <c r="R134" i="30"/>
  <c r="S134" i="30" s="1"/>
  <c r="I31" i="2"/>
  <c r="G31" i="2"/>
  <c r="K31" i="2"/>
  <c r="H31" i="2"/>
  <c r="J31" i="2"/>
  <c r="P90" i="3"/>
  <c r="P88" i="3"/>
  <c r="P86" i="3"/>
  <c r="P82" i="3"/>
  <c r="S81" i="3"/>
  <c r="M81" i="3"/>
  <c r="M80" i="3" s="1"/>
  <c r="N81" i="3"/>
  <c r="Q81" i="3"/>
  <c r="M84" i="3"/>
  <c r="O81" i="3"/>
  <c r="P81" i="3"/>
  <c r="R81" i="3"/>
  <c r="J19" i="20"/>
  <c r="K19" i="20"/>
  <c r="L19" i="20"/>
  <c r="I19" i="20"/>
  <c r="M181" i="3"/>
  <c r="L100" i="3"/>
  <c r="H99" i="3"/>
  <c r="G99" i="3"/>
  <c r="I99" i="3"/>
  <c r="R5" i="21"/>
  <c r="R1" i="21" s="1"/>
  <c r="C7" i="21"/>
  <c r="R7" i="21" s="1"/>
  <c r="C10" i="21"/>
  <c r="R10" i="21" s="1"/>
  <c r="C17" i="21"/>
  <c r="R17" i="21" s="1"/>
  <c r="C18" i="21"/>
  <c r="R18" i="21" s="1"/>
  <c r="C19" i="21"/>
  <c r="R19" i="21" s="1"/>
  <c r="C20" i="21"/>
  <c r="R20" i="21" s="1"/>
  <c r="C21" i="21"/>
  <c r="R21" i="21" s="1"/>
  <c r="C22" i="21"/>
  <c r="R22" i="21" s="1"/>
  <c r="J23" i="21"/>
  <c r="K24" i="21"/>
  <c r="L24" i="21"/>
  <c r="M24" i="21"/>
  <c r="N24" i="21"/>
  <c r="O24" i="21"/>
  <c r="P24" i="21"/>
  <c r="J25" i="21"/>
  <c r="C26" i="21"/>
  <c r="R26" i="21" s="1"/>
  <c r="H26" i="21"/>
  <c r="J26" i="21"/>
  <c r="C27" i="21"/>
  <c r="R27" i="21" s="1"/>
  <c r="J27" i="21"/>
  <c r="C28" i="21"/>
  <c r="R28" i="21" s="1"/>
  <c r="J28" i="21"/>
  <c r="C29" i="21"/>
  <c r="R29" i="21" s="1"/>
  <c r="J29" i="21"/>
  <c r="C44" i="21"/>
  <c r="R44" i="21" s="1"/>
  <c r="J44" i="21"/>
  <c r="C45" i="21"/>
  <c r="R45" i="21" s="1"/>
  <c r="J45" i="21"/>
  <c r="J74" i="21"/>
  <c r="J86" i="21"/>
  <c r="J87" i="21"/>
  <c r="J88" i="21"/>
  <c r="J89" i="21"/>
  <c r="J90" i="21"/>
  <c r="I91" i="21"/>
  <c r="J99" i="21"/>
  <c r="J100" i="21"/>
  <c r="J102" i="21"/>
  <c r="J105" i="21"/>
  <c r="J106" i="21"/>
  <c r="J108" i="21"/>
  <c r="J111" i="21"/>
  <c r="J112" i="21"/>
  <c r="J114" i="21"/>
  <c r="J117" i="21"/>
  <c r="J118" i="21"/>
  <c r="J120" i="21"/>
  <c r="R57" i="30"/>
  <c r="S57" i="30" s="1"/>
  <c r="N63" i="30" l="1"/>
  <c r="P54" i="30"/>
  <c r="P99" i="30" s="1"/>
  <c r="P100" i="30" s="1"/>
  <c r="Q56" i="30"/>
  <c r="R56" i="30" s="1"/>
  <c r="R54" i="30" s="1"/>
  <c r="R99" i="30" s="1"/>
  <c r="R100" i="30" s="1"/>
  <c r="L63" i="30"/>
  <c r="L60" i="30" s="1"/>
  <c r="M63" i="30"/>
  <c r="M61" i="30"/>
  <c r="G179" i="3"/>
  <c r="G188" i="30"/>
  <c r="H179" i="3"/>
  <c r="H188" i="30"/>
  <c r="J179" i="3"/>
  <c r="J188" i="30"/>
  <c r="K179" i="3"/>
  <c r="K188" i="30"/>
  <c r="I179" i="3"/>
  <c r="I188" i="30"/>
  <c r="Q90" i="3"/>
  <c r="Q88" i="3"/>
  <c r="Q86" i="3"/>
  <c r="N84" i="3"/>
  <c r="N11" i="20"/>
  <c r="N12" i="20" s="1"/>
  <c r="Q82" i="3"/>
  <c r="L141" i="3"/>
  <c r="L159" i="3"/>
  <c r="L160" i="3" s="1"/>
  <c r="L150" i="3"/>
  <c r="L151" i="3" s="1"/>
  <c r="L111" i="3"/>
  <c r="L106" i="3"/>
  <c r="L21" i="31" s="1"/>
  <c r="L101" i="3"/>
  <c r="L93" i="3"/>
  <c r="N80" i="3"/>
  <c r="M92" i="3"/>
  <c r="N181" i="3"/>
  <c r="J119" i="21"/>
  <c r="V5" i="20"/>
  <c r="W1" i="20" s="1"/>
  <c r="C31" i="20"/>
  <c r="C33" i="20"/>
  <c r="C55" i="20"/>
  <c r="L62" i="30" l="1"/>
  <c r="M60" i="30"/>
  <c r="N60" i="30" s="1"/>
  <c r="M62" i="30"/>
  <c r="N62" i="30" s="1"/>
  <c r="Q54" i="30"/>
  <c r="Q99" i="30" s="1"/>
  <c r="Q100" i="30" s="1"/>
  <c r="S56" i="30"/>
  <c r="S54" i="30" s="1"/>
  <c r="S99" i="30" s="1"/>
  <c r="S100" i="30" s="1"/>
  <c r="M141" i="3"/>
  <c r="M142" i="3" s="1"/>
  <c r="M11" i="31"/>
  <c r="L59" i="30"/>
  <c r="L105" i="30" s="1"/>
  <c r="N61" i="30"/>
  <c r="L22" i="31"/>
  <c r="L23" i="31" s="1"/>
  <c r="L24" i="31" s="1"/>
  <c r="L14" i="31"/>
  <c r="L15" i="31" s="1"/>
  <c r="L18" i="31" s="1"/>
  <c r="L142" i="3"/>
  <c r="L81" i="31"/>
  <c r="R90" i="3"/>
  <c r="R88" i="3"/>
  <c r="R86" i="3"/>
  <c r="O84" i="3"/>
  <c r="O11" i="20"/>
  <c r="O12" i="20" s="1"/>
  <c r="R82" i="3"/>
  <c r="L167" i="3"/>
  <c r="L162" i="3"/>
  <c r="L133" i="31" s="1"/>
  <c r="M150" i="3"/>
  <c r="M159" i="3"/>
  <c r="M111" i="3"/>
  <c r="M22" i="31" s="1"/>
  <c r="M106" i="3"/>
  <c r="M21" i="31" s="1"/>
  <c r="M23" i="31" s="1"/>
  <c r="M24" i="31" s="1"/>
  <c r="O80" i="3"/>
  <c r="N92" i="3"/>
  <c r="M93" i="3"/>
  <c r="M101" i="3"/>
  <c r="M14" i="31" s="1"/>
  <c r="M15" i="31" s="1"/>
  <c r="O181" i="3"/>
  <c r="J14" i="20"/>
  <c r="L14" i="20"/>
  <c r="I14" i="20"/>
  <c r="K14" i="20"/>
  <c r="U8" i="3"/>
  <c r="U5" i="3"/>
  <c r="O7" i="9"/>
  <c r="B1" i="3"/>
  <c r="O60" i="30" l="1"/>
  <c r="N59" i="30"/>
  <c r="N105" i="30" s="1"/>
  <c r="O62" i="30"/>
  <c r="N141" i="3"/>
  <c r="N81" i="31" s="1"/>
  <c r="N11" i="31"/>
  <c r="Q62" i="30"/>
  <c r="R62" i="30" s="1"/>
  <c r="R59" i="30" s="1"/>
  <c r="R105" i="30" s="1"/>
  <c r="M81" i="31"/>
  <c r="M59" i="30"/>
  <c r="M105" i="30" s="1"/>
  <c r="M12" i="31"/>
  <c r="M18" i="31"/>
  <c r="P62" i="30"/>
  <c r="O61" i="30"/>
  <c r="P61" i="30" s="1"/>
  <c r="O59" i="30"/>
  <c r="O105" i="30" s="1"/>
  <c r="P60" i="30"/>
  <c r="P59" i="30" s="1"/>
  <c r="P105" i="30" s="1"/>
  <c r="L85" i="31"/>
  <c r="L116" i="31"/>
  <c r="L26" i="31"/>
  <c r="L19" i="31"/>
  <c r="L46" i="31"/>
  <c r="L61" i="31"/>
  <c r="S90" i="3"/>
  <c r="S88" i="3"/>
  <c r="S86" i="3"/>
  <c r="P84" i="3"/>
  <c r="P11" i="20"/>
  <c r="P12" i="20" s="1"/>
  <c r="S82" i="3"/>
  <c r="M158" i="3"/>
  <c r="N150" i="3"/>
  <c r="M151" i="3"/>
  <c r="N159" i="3"/>
  <c r="M160" i="3"/>
  <c r="L144" i="3"/>
  <c r="N111" i="3"/>
  <c r="N22" i="31" s="1"/>
  <c r="N106" i="3"/>
  <c r="N21" i="31" s="1"/>
  <c r="N23" i="31" s="1"/>
  <c r="N93" i="3"/>
  <c r="N101" i="3"/>
  <c r="N14" i="31" s="1"/>
  <c r="N15" i="31" s="1"/>
  <c r="P80" i="3"/>
  <c r="O92" i="3"/>
  <c r="P181" i="3"/>
  <c r="S62" i="30" l="1"/>
  <c r="S59" i="30" s="1"/>
  <c r="S105" i="30" s="1"/>
  <c r="N18" i="31"/>
  <c r="N12" i="31"/>
  <c r="N24" i="31"/>
  <c r="N85" i="31"/>
  <c r="N116" i="31"/>
  <c r="M26" i="31"/>
  <c r="M19" i="31"/>
  <c r="O141" i="3"/>
  <c r="O11" i="31"/>
  <c r="M85" i="31"/>
  <c r="M116" i="31"/>
  <c r="N142" i="3"/>
  <c r="Q60" i="30"/>
  <c r="Q61" i="30"/>
  <c r="R61" i="30" s="1"/>
  <c r="L49" i="31"/>
  <c r="L53" i="31" s="1"/>
  <c r="L54" i="31" s="1"/>
  <c r="L60" i="31"/>
  <c r="Q84" i="3"/>
  <c r="Q11" i="20"/>
  <c r="Q12" i="20" s="1"/>
  <c r="M140" i="3"/>
  <c r="M144" i="3" s="1"/>
  <c r="O150" i="3"/>
  <c r="O151" i="3" s="1"/>
  <c r="M167" i="3"/>
  <c r="L153" i="3"/>
  <c r="M149" i="3" s="1"/>
  <c r="M153" i="3" s="1"/>
  <c r="N149" i="3" s="1"/>
  <c r="N151" i="3"/>
  <c r="M162" i="3"/>
  <c r="M133" i="31" s="1"/>
  <c r="O142" i="3"/>
  <c r="O159" i="3"/>
  <c r="N160" i="3"/>
  <c r="O111" i="3"/>
  <c r="O22" i="31" s="1"/>
  <c r="O106" i="3"/>
  <c r="O21" i="31" s="1"/>
  <c r="O23" i="31" s="1"/>
  <c r="O24" i="31" s="1"/>
  <c r="Q80" i="3"/>
  <c r="P92" i="3"/>
  <c r="O93" i="3"/>
  <c r="O101" i="3"/>
  <c r="O14" i="31" s="1"/>
  <c r="O15" i="31" s="1"/>
  <c r="Q181" i="3"/>
  <c r="M61" i="31" l="1"/>
  <c r="M46" i="31"/>
  <c r="M49" i="31" s="1"/>
  <c r="O12" i="31"/>
  <c r="O18" i="31"/>
  <c r="N19" i="31"/>
  <c r="N26" i="31"/>
  <c r="P141" i="3"/>
  <c r="P11" i="31"/>
  <c r="M60" i="31"/>
  <c r="O81" i="31"/>
  <c r="Q59" i="30"/>
  <c r="Q105" i="30" s="1"/>
  <c r="S61" i="30"/>
  <c r="R60" i="30"/>
  <c r="S60" i="30" s="1"/>
  <c r="M134" i="31"/>
  <c r="L134" i="31"/>
  <c r="R84" i="3"/>
  <c r="R11" i="20"/>
  <c r="R12" i="20" s="1"/>
  <c r="N167" i="3"/>
  <c r="N140" i="3"/>
  <c r="N144" i="3" s="1"/>
  <c r="N158" i="3"/>
  <c r="N162" i="3" s="1"/>
  <c r="N133" i="31" s="1"/>
  <c r="N153" i="3"/>
  <c r="O149" i="3" s="1"/>
  <c r="O153" i="3" s="1"/>
  <c r="P149" i="3" s="1"/>
  <c r="O160" i="3"/>
  <c r="P159" i="3"/>
  <c r="P111" i="3"/>
  <c r="P22" i="31" s="1"/>
  <c r="P106" i="3"/>
  <c r="P21" i="31" s="1"/>
  <c r="P23" i="31" s="1"/>
  <c r="P101" i="3"/>
  <c r="P14" i="31" s="1"/>
  <c r="P15" i="31" s="1"/>
  <c r="P93" i="3"/>
  <c r="R80" i="3"/>
  <c r="Q92" i="3"/>
  <c r="R181" i="3"/>
  <c r="Q141" i="3" l="1"/>
  <c r="Q142" i="3" s="1"/>
  <c r="Q11" i="31"/>
  <c r="P12" i="31"/>
  <c r="P18" i="31"/>
  <c r="N60" i="31"/>
  <c r="N46" i="31"/>
  <c r="N49" i="31" s="1"/>
  <c r="N61" i="31"/>
  <c r="O19" i="31"/>
  <c r="O26" i="31"/>
  <c r="P24" i="31"/>
  <c r="O116" i="31"/>
  <c r="O85" i="31"/>
  <c r="N134" i="31"/>
  <c r="S84" i="3"/>
  <c r="S11" i="20"/>
  <c r="S12" i="20" s="1"/>
  <c r="O140" i="3"/>
  <c r="O144" i="3" s="1"/>
  <c r="O134" i="31" s="1"/>
  <c r="O158" i="3"/>
  <c r="O162" i="3" s="1"/>
  <c r="O133" i="31" s="1"/>
  <c r="P150" i="3"/>
  <c r="P151" i="3" s="1"/>
  <c r="P153" i="3" s="1"/>
  <c r="Q149" i="3" s="1"/>
  <c r="Q150" i="3"/>
  <c r="Q151" i="3" s="1"/>
  <c r="O167" i="3"/>
  <c r="P142" i="3"/>
  <c r="P160" i="3"/>
  <c r="Q159" i="3"/>
  <c r="Q111" i="3"/>
  <c r="Q22" i="31" s="1"/>
  <c r="Q106" i="3"/>
  <c r="Q21" i="31" s="1"/>
  <c r="Q23" i="31" s="1"/>
  <c r="Q24" i="31" s="1"/>
  <c r="Q101" i="3"/>
  <c r="Q14" i="31" s="1"/>
  <c r="Q15" i="31" s="1"/>
  <c r="Q93" i="3"/>
  <c r="S80" i="3"/>
  <c r="R92" i="3"/>
  <c r="S181" i="3"/>
  <c r="I117" i="8"/>
  <c r="I116" i="8"/>
  <c r="I115" i="8"/>
  <c r="I114" i="8"/>
  <c r="I113" i="8"/>
  <c r="I112" i="8"/>
  <c r="I111" i="8"/>
  <c r="I110" i="8"/>
  <c r="I109" i="8"/>
  <c r="I108" i="8"/>
  <c r="I107" i="8"/>
  <c r="I106" i="8"/>
  <c r="I105" i="8"/>
  <c r="I104" i="8"/>
  <c r="I103" i="8"/>
  <c r="I102" i="8"/>
  <c r="I101" i="8"/>
  <c r="I100" i="8"/>
  <c r="I98" i="8"/>
  <c r="I97" i="8"/>
  <c r="I96" i="8"/>
  <c r="I95" i="8"/>
  <c r="I94" i="8"/>
  <c r="I93" i="8"/>
  <c r="I92" i="8"/>
  <c r="I91" i="8"/>
  <c r="I90" i="8"/>
  <c r="I89" i="8"/>
  <c r="I88" i="8"/>
  <c r="I87" i="8"/>
  <c r="I86" i="8"/>
  <c r="I85" i="8"/>
  <c r="I84" i="8"/>
  <c r="I83" i="8"/>
  <c r="I82" i="8"/>
  <c r="I81" i="8"/>
  <c r="I80" i="8"/>
  <c r="I79"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5" i="8"/>
  <c r="I1" i="8" s="1"/>
  <c r="O5" i="9"/>
  <c r="O1" i="9" s="1"/>
  <c r="O61" i="31" l="1"/>
  <c r="O46" i="31"/>
  <c r="O49" i="31" s="1"/>
  <c r="P26" i="31"/>
  <c r="P19" i="31"/>
  <c r="O60" i="31"/>
  <c r="P81" i="31"/>
  <c r="R141" i="3"/>
  <c r="R11" i="31"/>
  <c r="Q12" i="31"/>
  <c r="Q18" i="31"/>
  <c r="Q81" i="31"/>
  <c r="M155" i="31"/>
  <c r="S92" i="3"/>
  <c r="T11" i="20"/>
  <c r="T12" i="20" s="1"/>
  <c r="L155" i="31"/>
  <c r="L101" i="31" s="1"/>
  <c r="P140" i="3"/>
  <c r="P144" i="3" s="1"/>
  <c r="P134" i="31" s="1"/>
  <c r="P158" i="3"/>
  <c r="P162" i="3" s="1"/>
  <c r="P133" i="31" s="1"/>
  <c r="Q153" i="3"/>
  <c r="R149" i="3" s="1"/>
  <c r="R150" i="3"/>
  <c r="R151" i="3" s="1"/>
  <c r="P167" i="3"/>
  <c r="Q160" i="3"/>
  <c r="Q167" i="3" s="1"/>
  <c r="R159" i="3"/>
  <c r="R111" i="3"/>
  <c r="R22" i="31" s="1"/>
  <c r="R106" i="3"/>
  <c r="R21" i="31" s="1"/>
  <c r="S101" i="3"/>
  <c r="S14" i="31" s="1"/>
  <c r="S15" i="31" s="1"/>
  <c r="R93" i="3"/>
  <c r="R101" i="3"/>
  <c r="R14" i="31" s="1"/>
  <c r="R15" i="31" s="1"/>
  <c r="C15" i="9"/>
  <c r="O15" i="9" s="1"/>
  <c r="C14" i="9"/>
  <c r="O14" i="9" s="1"/>
  <c r="C11" i="9"/>
  <c r="O11" i="9" s="1"/>
  <c r="C10" i="9"/>
  <c r="O10" i="9" s="1"/>
  <c r="C9" i="9"/>
  <c r="O9" i="9" s="1"/>
  <c r="G52" i="9"/>
  <c r="E66" i="21"/>
  <c r="C99" i="8"/>
  <c r="I99" i="8" s="1"/>
  <c r="F157" i="9"/>
  <c r="F147" i="9"/>
  <c r="F150" i="9"/>
  <c r="F153" i="9"/>
  <c r="C13" i="9"/>
  <c r="O13" i="9" s="1"/>
  <c r="E21" i="8"/>
  <c r="D129" i="9" s="1"/>
  <c r="R12" i="31" l="1"/>
  <c r="R18" i="31"/>
  <c r="Q46" i="31"/>
  <c r="Q61" i="31"/>
  <c r="S141" i="3"/>
  <c r="S11" i="31"/>
  <c r="S150" i="3"/>
  <c r="S151" i="3" s="1"/>
  <c r="Q26" i="31"/>
  <c r="Q19" i="31"/>
  <c r="P60" i="31"/>
  <c r="P49" i="31"/>
  <c r="R23" i="31"/>
  <c r="R24" i="31" s="1"/>
  <c r="R81" i="31"/>
  <c r="P85" i="31"/>
  <c r="P116" i="31"/>
  <c r="P46" i="31"/>
  <c r="P61" i="31"/>
  <c r="Q116" i="31"/>
  <c r="Q85" i="31"/>
  <c r="N155" i="31"/>
  <c r="N101" i="31" s="1"/>
  <c r="M101" i="31"/>
  <c r="S106" i="3"/>
  <c r="S21" i="31" s="1"/>
  <c r="S111" i="3"/>
  <c r="S22" i="31" s="1"/>
  <c r="S93" i="3"/>
  <c r="S159" i="3"/>
  <c r="S160" i="3" s="1"/>
  <c r="Q140" i="3"/>
  <c r="Q144" i="3" s="1"/>
  <c r="Q134" i="31" s="1"/>
  <c r="Q158" i="3"/>
  <c r="Q162" i="3" s="1"/>
  <c r="Q133" i="31" s="1"/>
  <c r="R153" i="3"/>
  <c r="S149" i="3" s="1"/>
  <c r="R142" i="3"/>
  <c r="R160" i="3"/>
  <c r="H129" i="9"/>
  <c r="Q1" i="10"/>
  <c r="R1" i="10"/>
  <c r="G41" i="9"/>
  <c r="C100" i="9"/>
  <c r="O100" i="9" s="1"/>
  <c r="E101" i="9"/>
  <c r="C126" i="9" s="1"/>
  <c r="O126" i="9" s="1"/>
  <c r="C95" i="9"/>
  <c r="O95" i="9" s="1"/>
  <c r="E96" i="9"/>
  <c r="E106" i="9"/>
  <c r="C110" i="9"/>
  <c r="O110" i="9" s="1"/>
  <c r="E111" i="9"/>
  <c r="C129" i="9" s="1"/>
  <c r="O129" i="9" s="1"/>
  <c r="C116" i="9"/>
  <c r="O116" i="9" s="1"/>
  <c r="C117" i="9"/>
  <c r="O117" i="9" s="1"/>
  <c r="C118" i="9"/>
  <c r="O118" i="9" s="1"/>
  <c r="C119" i="9"/>
  <c r="O119" i="9" s="1"/>
  <c r="D167" i="9"/>
  <c r="E167" i="9" s="1"/>
  <c r="F167" i="9" s="1"/>
  <c r="G167" i="9" s="1"/>
  <c r="H167" i="9" s="1"/>
  <c r="I167" i="9" s="1"/>
  <c r="J167" i="9" s="1"/>
  <c r="K167" i="9" s="1"/>
  <c r="L167" i="9" s="1"/>
  <c r="M167" i="9" s="1"/>
  <c r="E9" i="8"/>
  <c r="E12" i="8"/>
  <c r="E49" i="8" s="1"/>
  <c r="E13" i="8"/>
  <c r="E50" i="8" s="1"/>
  <c r="E14" i="8"/>
  <c r="E51" i="8" s="1"/>
  <c r="E15" i="8"/>
  <c r="E52" i="8" s="1"/>
  <c r="E18" i="8"/>
  <c r="E19" i="8"/>
  <c r="E20" i="8"/>
  <c r="E24" i="8"/>
  <c r="E25" i="8"/>
  <c r="E28" i="8"/>
  <c r="D104" i="8" s="1"/>
  <c r="E29" i="8"/>
  <c r="D105" i="8" s="1"/>
  <c r="E30" i="8"/>
  <c r="G83" i="8" s="1"/>
  <c r="E33" i="8"/>
  <c r="C10" i="10" s="1"/>
  <c r="E34" i="8"/>
  <c r="C25" i="21" s="1"/>
  <c r="R25" i="21" s="1"/>
  <c r="F37" i="8"/>
  <c r="G37" i="8" s="1"/>
  <c r="C75" i="8"/>
  <c r="I75" i="8" s="1"/>
  <c r="C76" i="8"/>
  <c r="C77" i="8"/>
  <c r="C78" i="8"/>
  <c r="G116" i="8"/>
  <c r="R116" i="31" l="1"/>
  <c r="R85" i="31"/>
  <c r="S142" i="3"/>
  <c r="S167" i="3" s="1"/>
  <c r="S81" i="31"/>
  <c r="R26" i="31"/>
  <c r="R19" i="31"/>
  <c r="Q60" i="31"/>
  <c r="Q49" i="31"/>
  <c r="S23" i="31"/>
  <c r="S24" i="31" s="1"/>
  <c r="S12" i="31"/>
  <c r="S18" i="31"/>
  <c r="O155" i="31"/>
  <c r="O101" i="31" s="1"/>
  <c r="R140" i="3"/>
  <c r="R144" i="3" s="1"/>
  <c r="R134" i="31" s="1"/>
  <c r="R158" i="3"/>
  <c r="R162" i="3" s="1"/>
  <c r="R133" i="31" s="1"/>
  <c r="R167" i="3"/>
  <c r="S153" i="3"/>
  <c r="C163" i="9"/>
  <c r="O163" i="9" s="1"/>
  <c r="I77" i="8"/>
  <c r="C162" i="9"/>
  <c r="O162" i="9" s="1"/>
  <c r="I76" i="8"/>
  <c r="C164" i="9"/>
  <c r="O164" i="9" s="1"/>
  <c r="I78" i="8"/>
  <c r="D117" i="9"/>
  <c r="D116" i="9"/>
  <c r="D119" i="9"/>
  <c r="C135" i="9"/>
  <c r="O135" i="9" s="1"/>
  <c r="D118" i="9"/>
  <c r="C132" i="9"/>
  <c r="O132" i="9" s="1"/>
  <c r="G76" i="8"/>
  <c r="D127" i="9"/>
  <c r="G75" i="8"/>
  <c r="D126" i="9"/>
  <c r="G77" i="8"/>
  <c r="D128" i="9"/>
  <c r="D107" i="8"/>
  <c r="D106" i="8"/>
  <c r="F79" i="9"/>
  <c r="M79" i="9" s="1"/>
  <c r="M82" i="9" s="1"/>
  <c r="F69" i="9"/>
  <c r="C128" i="9"/>
  <c r="O128" i="9" s="1"/>
  <c r="G115" i="8"/>
  <c r="G93" i="8"/>
  <c r="C161" i="9"/>
  <c r="O161" i="9" s="1"/>
  <c r="E53" i="8"/>
  <c r="C127" i="9"/>
  <c r="O127" i="9" s="1"/>
  <c r="G85" i="8"/>
  <c r="U5" i="5"/>
  <c r="U1" i="5" s="1"/>
  <c r="U5" i="4"/>
  <c r="S46" i="31" l="1"/>
  <c r="S61" i="31"/>
  <c r="F162" i="9"/>
  <c r="S26" i="31"/>
  <c r="S19" i="31"/>
  <c r="R46" i="31"/>
  <c r="R61" i="31"/>
  <c r="F163" i="9"/>
  <c r="I6" i="8"/>
  <c r="J1" i="8" s="1"/>
  <c r="R49" i="31"/>
  <c r="R60" i="31"/>
  <c r="S116" i="31"/>
  <c r="S85" i="31"/>
  <c r="G162" i="9"/>
  <c r="P155" i="31"/>
  <c r="P101" i="31" s="1"/>
  <c r="S140" i="3"/>
  <c r="S144" i="3" s="1"/>
  <c r="S158" i="3"/>
  <c r="S162" i="3" s="1"/>
  <c r="S133" i="31" s="1"/>
  <c r="U6" i="5"/>
  <c r="V1" i="5" s="1"/>
  <c r="H128" i="9"/>
  <c r="H127" i="9"/>
  <c r="H126" i="9"/>
  <c r="C63" i="20"/>
  <c r="F164" i="9"/>
  <c r="C36" i="21"/>
  <c r="R36" i="21" s="1"/>
  <c r="C38" i="21"/>
  <c r="R38" i="21" s="1"/>
  <c r="C34" i="21"/>
  <c r="R34" i="21" s="1"/>
  <c r="H28" i="21"/>
  <c r="C8" i="21"/>
  <c r="R8" i="21" s="1"/>
  <c r="G164" i="9"/>
  <c r="G163" i="9"/>
  <c r="D135" i="9"/>
  <c r="D132" i="9"/>
  <c r="C9" i="10"/>
  <c r="C11" i="10"/>
  <c r="D108" i="8"/>
  <c r="C134" i="9"/>
  <c r="O134" i="9" s="1"/>
  <c r="L79" i="9"/>
  <c r="L82" i="9" s="1"/>
  <c r="M69" i="9"/>
  <c r="I69" i="9"/>
  <c r="L69" i="9"/>
  <c r="H69" i="9"/>
  <c r="K69" i="9"/>
  <c r="J69" i="9"/>
  <c r="G94" i="8"/>
  <c r="H27" i="21" s="1"/>
  <c r="F161" i="9"/>
  <c r="G161" i="9"/>
  <c r="C133" i="9"/>
  <c r="O133" i="9" s="1"/>
  <c r="S49" i="31" l="1"/>
  <c r="S60" i="31"/>
  <c r="S134" i="31"/>
  <c r="Q155" i="31"/>
  <c r="Q101" i="31" s="1"/>
  <c r="V6" i="20"/>
  <c r="V1" i="20" s="1"/>
  <c r="C157" i="9"/>
  <c r="O157" i="9" s="1"/>
  <c r="D133" i="9"/>
  <c r="D134" i="9"/>
  <c r="C150" i="9"/>
  <c r="O150" i="9" s="1"/>
  <c r="C153" i="9"/>
  <c r="O153" i="9" s="1"/>
  <c r="C147" i="9"/>
  <c r="O147" i="9" s="1"/>
  <c r="I126" i="9"/>
  <c r="I128" i="9"/>
  <c r="S155" i="31" l="1"/>
  <c r="R155" i="31"/>
  <c r="R101" i="31" s="1"/>
  <c r="O6" i="9"/>
  <c r="P1" i="9" s="1"/>
  <c r="J128" i="9"/>
  <c r="J126" i="9"/>
  <c r="I127" i="9"/>
  <c r="S101" i="31" l="1"/>
  <c r="J127" i="9"/>
  <c r="K126" i="9"/>
  <c r="L126" i="9" s="1"/>
  <c r="K128" i="9"/>
  <c r="L128" i="9" s="1"/>
  <c r="M128" i="9" l="1"/>
  <c r="M126" i="9"/>
  <c r="K127" i="9"/>
  <c r="L127" i="9" s="1"/>
  <c r="M127" i="9" l="1"/>
  <c r="G50" i="21" l="1"/>
  <c r="G52" i="21" s="1"/>
  <c r="I50" i="21"/>
  <c r="I52" i="21" s="1"/>
  <c r="H50" i="21"/>
  <c r="H52" i="21" s="1"/>
  <c r="L34" i="20"/>
  <c r="K34" i="20"/>
  <c r="J34" i="20"/>
  <c r="I34" i="20"/>
  <c r="I106" i="2" l="1"/>
  <c r="H61" i="21" s="1"/>
  <c r="H106" i="2"/>
  <c r="G61" i="21" s="1"/>
  <c r="J106" i="2"/>
  <c r="I61" i="21" s="1"/>
  <c r="K106" i="2"/>
  <c r="J61" i="21" s="1"/>
  <c r="J50" i="21"/>
  <c r="J52" i="21" s="1"/>
  <c r="J24" i="2"/>
  <c r="I24" i="2"/>
  <c r="J130" i="3"/>
  <c r="J129" i="3"/>
  <c r="K130" i="3"/>
  <c r="K129" i="3"/>
  <c r="H130" i="3"/>
  <c r="H129" i="3"/>
  <c r="I130" i="3"/>
  <c r="I129" i="3"/>
  <c r="J17" i="2"/>
  <c r="I17" i="2"/>
  <c r="H19" i="9" l="1"/>
  <c r="H133" i="3"/>
  <c r="I133" i="3"/>
  <c r="J133" i="3"/>
  <c r="K133" i="3"/>
  <c r="I53" i="21"/>
  <c r="H53" i="21"/>
  <c r="C15" i="6"/>
  <c r="C16" i="6"/>
  <c r="C17" i="6"/>
  <c r="C18" i="6"/>
  <c r="D20" i="5"/>
  <c r="L72" i="20" s="1"/>
  <c r="U1" i="4"/>
  <c r="D7" i="4"/>
  <c r="D89" i="4" s="1"/>
  <c r="E7" i="4"/>
  <c r="E89" i="4" s="1"/>
  <c r="J66" i="21"/>
  <c r="H173" i="4"/>
  <c r="U1" i="3"/>
  <c r="F11" i="3"/>
  <c r="F12" i="3"/>
  <c r="F21" i="3"/>
  <c r="C197" i="3"/>
  <c r="U197" i="3" s="1"/>
  <c r="J54" i="20"/>
  <c r="K54" i="20"/>
  <c r="L60" i="2"/>
  <c r="L112" i="2"/>
  <c r="E167" i="4" l="1"/>
  <c r="D142" i="4"/>
  <c r="F19" i="3"/>
  <c r="G8" i="2" s="1"/>
  <c r="F18" i="3"/>
  <c r="D21" i="5" s="1"/>
  <c r="L45" i="5" s="1"/>
  <c r="F20" i="3"/>
  <c r="U6" i="3"/>
  <c r="V1" i="3" s="1"/>
  <c r="G92" i="8"/>
  <c r="D167" i="4"/>
  <c r="E142" i="4"/>
  <c r="I153" i="2"/>
  <c r="G153" i="2"/>
  <c r="H153" i="2"/>
  <c r="U2" i="2"/>
  <c r="H66" i="21"/>
  <c r="G66" i="21"/>
  <c r="F66" i="21"/>
  <c r="L168" i="4"/>
  <c r="U6" i="4"/>
  <c r="V1" i="4" s="1"/>
  <c r="M45" i="5" l="1"/>
  <c r="L47" i="5"/>
  <c r="F22" i="3"/>
  <c r="G7" i="4"/>
  <c r="F49" i="21" s="1"/>
  <c r="F62" i="8"/>
  <c r="E7" i="21" s="1"/>
  <c r="G95" i="8"/>
  <c r="F63" i="8" s="1"/>
  <c r="E8" i="21" s="1"/>
  <c r="H7" i="3"/>
  <c r="H8" i="31" s="1"/>
  <c r="H122" i="31" l="1"/>
  <c r="H58" i="31"/>
  <c r="N45" i="5"/>
  <c r="M47" i="5"/>
  <c r="G61" i="2"/>
  <c r="G113" i="2"/>
  <c r="G30" i="5"/>
  <c r="I62" i="20"/>
  <c r="I7" i="20"/>
  <c r="I29" i="20"/>
  <c r="E9" i="21"/>
  <c r="G142" i="4"/>
  <c r="G96" i="8"/>
  <c r="F64" i="8"/>
  <c r="G167" i="4"/>
  <c r="H8" i="2"/>
  <c r="H7" i="4" s="1"/>
  <c r="I7" i="3"/>
  <c r="G89" i="4"/>
  <c r="J7" i="3" l="1"/>
  <c r="J8" i="31" s="1"/>
  <c r="I8" i="31"/>
  <c r="F96" i="21"/>
  <c r="G49" i="21"/>
  <c r="O45" i="5"/>
  <c r="N47" i="5"/>
  <c r="J62" i="20"/>
  <c r="J7" i="20"/>
  <c r="J29" i="20"/>
  <c r="H30" i="5"/>
  <c r="H113" i="2"/>
  <c r="H61" i="2"/>
  <c r="I8" i="2"/>
  <c r="I113" i="2" s="1"/>
  <c r="H167" i="4"/>
  <c r="H142" i="4"/>
  <c r="H89" i="4"/>
  <c r="K29" i="20" l="1"/>
  <c r="K7" i="3"/>
  <c r="K8" i="31" s="1"/>
  <c r="K122" i="31" s="1"/>
  <c r="K62" i="20"/>
  <c r="J8" i="2"/>
  <c r="J61" i="2" s="1"/>
  <c r="K7" i="20"/>
  <c r="I122" i="31"/>
  <c r="I58" i="31"/>
  <c r="J122" i="31"/>
  <c r="J58" i="31"/>
  <c r="P45" i="5"/>
  <c r="O47" i="5"/>
  <c r="I30" i="5"/>
  <c r="L62" i="20"/>
  <c r="I61" i="2"/>
  <c r="I7" i="4"/>
  <c r="J7" i="4"/>
  <c r="K8" i="2" l="1"/>
  <c r="K7" i="4" s="1"/>
  <c r="J49" i="21" s="1"/>
  <c r="J96" i="21" s="1"/>
  <c r="J30" i="5"/>
  <c r="K58" i="31"/>
  <c r="L7" i="3"/>
  <c r="L8" i="31" s="1"/>
  <c r="L58" i="31" s="1"/>
  <c r="J113" i="2"/>
  <c r="L7" i="20"/>
  <c r="L29" i="20"/>
  <c r="L122" i="31"/>
  <c r="G96" i="21"/>
  <c r="H49" i="21"/>
  <c r="H96" i="21" s="1"/>
  <c r="I49" i="21"/>
  <c r="Q45" i="5"/>
  <c r="P47" i="5"/>
  <c r="I142" i="4"/>
  <c r="I167" i="4"/>
  <c r="M62" i="20"/>
  <c r="M7" i="20"/>
  <c r="M29" i="20"/>
  <c r="I89" i="4"/>
  <c r="J89" i="4"/>
  <c r="J142" i="4"/>
  <c r="J167" i="4"/>
  <c r="M7" i="3" l="1"/>
  <c r="M8" i="31" s="1"/>
  <c r="M122" i="31" s="1"/>
  <c r="K30" i="5"/>
  <c r="L8" i="2"/>
  <c r="L30" i="5" s="1"/>
  <c r="K113" i="2"/>
  <c r="K61" i="2"/>
  <c r="I96" i="21"/>
  <c r="J32" i="21"/>
  <c r="J16" i="21" s="1"/>
  <c r="G94" i="9"/>
  <c r="R45" i="5"/>
  <c r="Q47" i="5"/>
  <c r="K89" i="4"/>
  <c r="K142" i="4"/>
  <c r="K167" i="4"/>
  <c r="N62" i="20" l="1"/>
  <c r="N29" i="20"/>
  <c r="M8" i="2"/>
  <c r="M30" i="5" s="1"/>
  <c r="L113" i="2"/>
  <c r="L61" i="2"/>
  <c r="N7" i="20"/>
  <c r="M58" i="31"/>
  <c r="L7" i="4"/>
  <c r="L167" i="4" s="1"/>
  <c r="N7" i="3"/>
  <c r="N8" i="31" s="1"/>
  <c r="N122" i="31" s="1"/>
  <c r="K32" i="21"/>
  <c r="K49" i="21"/>
  <c r="H94" i="9" s="1"/>
  <c r="S45" i="5"/>
  <c r="S47" i="5" s="1"/>
  <c r="R47" i="5"/>
  <c r="L89" i="4"/>
  <c r="G155" i="2"/>
  <c r="L142" i="4" l="1"/>
  <c r="M113" i="2"/>
  <c r="N58" i="31"/>
  <c r="M7" i="4"/>
  <c r="M167" i="4" s="1"/>
  <c r="M61" i="2"/>
  <c r="O7" i="3"/>
  <c r="O8" i="31" s="1"/>
  <c r="O122" i="31" s="1"/>
  <c r="O7" i="20"/>
  <c r="O29" i="20"/>
  <c r="N8" i="2"/>
  <c r="O62" i="20"/>
  <c r="K16" i="21"/>
  <c r="K96" i="21"/>
  <c r="P62" i="20"/>
  <c r="N61" i="2"/>
  <c r="N7" i="4"/>
  <c r="N113" i="2"/>
  <c r="N30" i="5"/>
  <c r="O8" i="2" l="1"/>
  <c r="O30" i="5" s="1"/>
  <c r="O58" i="31"/>
  <c r="P7" i="3"/>
  <c r="P8" i="31" s="1"/>
  <c r="P58" i="31" s="1"/>
  <c r="L32" i="21"/>
  <c r="L16" i="21" s="1"/>
  <c r="L49" i="21"/>
  <c r="I94" i="9" s="1"/>
  <c r="M142" i="4"/>
  <c r="M89" i="4"/>
  <c r="P7" i="20"/>
  <c r="P29" i="20"/>
  <c r="M32" i="21"/>
  <c r="M49" i="21"/>
  <c r="J94" i="9" s="1"/>
  <c r="G144" i="9"/>
  <c r="G65" i="9"/>
  <c r="G115" i="9"/>
  <c r="G8" i="9"/>
  <c r="N89" i="4"/>
  <c r="N142" i="4"/>
  <c r="N167" i="4"/>
  <c r="O113" i="2"/>
  <c r="O7" i="4"/>
  <c r="H155" i="2"/>
  <c r="P122" i="31" l="1"/>
  <c r="Q29" i="20"/>
  <c r="Q7" i="20"/>
  <c r="P8" i="2"/>
  <c r="Q62" i="20"/>
  <c r="O61" i="2"/>
  <c r="Q7" i="3"/>
  <c r="Q8" i="31" s="1"/>
  <c r="L96" i="21"/>
  <c r="Q58" i="31"/>
  <c r="Q122" i="31"/>
  <c r="N49" i="21"/>
  <c r="K94" i="9" s="1"/>
  <c r="N32" i="21"/>
  <c r="H134" i="3"/>
  <c r="R7" i="20"/>
  <c r="R29" i="20"/>
  <c r="M16" i="21"/>
  <c r="M96" i="21"/>
  <c r="G31" i="9"/>
  <c r="G45" i="9"/>
  <c r="O142" i="4"/>
  <c r="O167" i="4"/>
  <c r="O89" i="4"/>
  <c r="P113" i="2"/>
  <c r="P30" i="5"/>
  <c r="P61" i="2"/>
  <c r="P7" i="4"/>
  <c r="R62" i="20" l="1"/>
  <c r="Q8" i="2"/>
  <c r="R7" i="3"/>
  <c r="R8" i="31" s="1"/>
  <c r="R58" i="31"/>
  <c r="R122" i="31"/>
  <c r="O32" i="21"/>
  <c r="O49" i="21"/>
  <c r="L94" i="9" s="1"/>
  <c r="N16" i="21"/>
  <c r="N96" i="21"/>
  <c r="S29" i="20"/>
  <c r="P167" i="4"/>
  <c r="P89" i="4"/>
  <c r="P142" i="4"/>
  <c r="R8" i="2"/>
  <c r="Q7" i="4"/>
  <c r="Q61" i="2"/>
  <c r="Q113" i="2"/>
  <c r="Q30" i="5"/>
  <c r="I155" i="2"/>
  <c r="S62" i="20" l="1"/>
  <c r="S7" i="20"/>
  <c r="S7" i="3"/>
  <c r="S8" i="31" s="1"/>
  <c r="S122" i="31"/>
  <c r="S58" i="31"/>
  <c r="P49" i="21"/>
  <c r="M94" i="9" s="1"/>
  <c r="P32" i="21"/>
  <c r="I134" i="3"/>
  <c r="T7" i="20"/>
  <c r="T29" i="20"/>
  <c r="T62" i="20"/>
  <c r="O16" i="21"/>
  <c r="O96" i="21"/>
  <c r="S8" i="2"/>
  <c r="S7" i="4" s="1"/>
  <c r="R113" i="2"/>
  <c r="R7" i="4"/>
  <c r="R30" i="5"/>
  <c r="R61" i="2"/>
  <c r="Q167" i="4"/>
  <c r="Q142" i="4"/>
  <c r="Q89" i="4"/>
  <c r="S61" i="2" l="1"/>
  <c r="P16" i="21"/>
  <c r="P96" i="21"/>
  <c r="S113" i="2"/>
  <c r="S30" i="5"/>
  <c r="R142" i="4"/>
  <c r="R167" i="4"/>
  <c r="R89" i="4"/>
  <c r="S89" i="4"/>
  <c r="S142" i="4"/>
  <c r="S167" i="4"/>
  <c r="J151" i="2" l="1"/>
  <c r="J153" i="2" s="1"/>
  <c r="J155" i="2" s="1"/>
  <c r="J134" i="3"/>
  <c r="L65" i="9"/>
  <c r="L144" i="9"/>
  <c r="L8" i="9"/>
  <c r="L125" i="9"/>
  <c r="L115" i="9"/>
  <c r="M65" i="9" l="1"/>
  <c r="M144" i="9"/>
  <c r="M125" i="9"/>
  <c r="M115" i="9"/>
  <c r="M8" i="9"/>
  <c r="L31" i="9"/>
  <c r="L42" i="9" s="1"/>
  <c r="L45" i="9"/>
  <c r="K151" i="2" l="1"/>
  <c r="K153" i="2" s="1"/>
  <c r="K155" i="2" s="1"/>
  <c r="K134" i="3"/>
  <c r="M31" i="9"/>
  <c r="M42" i="9" s="1"/>
  <c r="M45" i="9"/>
  <c r="H79" i="9" l="1"/>
  <c r="H82" i="9" s="1"/>
  <c r="I79" i="9" l="1"/>
  <c r="I82" i="9" s="1"/>
  <c r="K79" i="9" l="1"/>
  <c r="K82" i="9" s="1"/>
  <c r="J79" i="9"/>
  <c r="J82" i="9" s="1"/>
  <c r="F82" i="9" l="1"/>
  <c r="F18" i="21" s="1"/>
  <c r="C13" i="10" l="1"/>
  <c r="H65" i="9"/>
  <c r="H8" i="9"/>
  <c r="H144" i="9"/>
  <c r="H115" i="9"/>
  <c r="H125" i="9"/>
  <c r="H31" i="9" l="1"/>
  <c r="H42" i="9" s="1"/>
  <c r="H45" i="9"/>
  <c r="I125" i="9"/>
  <c r="I8" i="9"/>
  <c r="I144" i="9"/>
  <c r="I115" i="9"/>
  <c r="I65" i="9"/>
  <c r="I31" i="9" l="1"/>
  <c r="I42" i="9" s="1"/>
  <c r="I45" i="9"/>
  <c r="J115" i="9"/>
  <c r="J65" i="9"/>
  <c r="J125" i="9"/>
  <c r="J8" i="9"/>
  <c r="J144" i="9"/>
  <c r="J31" i="9" l="1"/>
  <c r="J42" i="9" s="1"/>
  <c r="J45" i="9"/>
  <c r="K65" i="9"/>
  <c r="K8" i="9"/>
  <c r="K144" i="9"/>
  <c r="K115" i="9"/>
  <c r="K125" i="9"/>
  <c r="G78" i="8"/>
  <c r="C40" i="21" l="1"/>
  <c r="R40" i="21" s="1"/>
  <c r="K31" i="9"/>
  <c r="K42" i="9" s="1"/>
  <c r="K45" i="9"/>
  <c r="I129" i="9"/>
  <c r="J129" i="9" s="1"/>
  <c r="K129" i="9" s="1"/>
  <c r="L129" i="9" s="1"/>
  <c r="M129" i="9" s="1"/>
  <c r="R6" i="21" l="1"/>
  <c r="S1" i="21" s="1"/>
  <c r="H27" i="9" l="1"/>
  <c r="G34" i="2" l="1"/>
  <c r="G37" i="2" l="1"/>
  <c r="G40" i="2" s="1"/>
  <c r="G63" i="2"/>
  <c r="G68" i="2" s="1"/>
  <c r="G77" i="2" s="1"/>
  <c r="G43" i="2"/>
  <c r="E73" i="21"/>
  <c r="G53" i="2" l="1"/>
  <c r="G56" i="2" s="1"/>
  <c r="G111" i="4"/>
  <c r="G118" i="3"/>
  <c r="G117" i="3" s="1"/>
  <c r="G161" i="4"/>
  <c r="G162" i="4" s="1"/>
  <c r="H55" i="20"/>
  <c r="H96" i="2"/>
  <c r="G85" i="2"/>
  <c r="G123" i="30" l="1"/>
  <c r="G122" i="30" s="1"/>
  <c r="H21" i="20"/>
  <c r="H23" i="20" s="1"/>
  <c r="G57" i="2"/>
  <c r="G112" i="4"/>
  <c r="H31" i="20"/>
  <c r="H24" i="20"/>
  <c r="G85" i="4"/>
  <c r="H36" i="20" l="1"/>
  <c r="H40" i="20" s="1"/>
  <c r="H44" i="20" s="1"/>
  <c r="H52" i="20"/>
  <c r="H51" i="20"/>
  <c r="H73" i="4"/>
  <c r="J53" i="21"/>
  <c r="J34" i="2"/>
  <c r="J37" i="2" s="1"/>
  <c r="K34" i="2"/>
  <c r="K37" i="2" s="1"/>
  <c r="J40" i="2" l="1"/>
  <c r="J161" i="4" s="1"/>
  <c r="J162" i="4" s="1"/>
  <c r="J174" i="4"/>
  <c r="J178" i="4" s="1"/>
  <c r="K63" i="2"/>
  <c r="K68" i="2" s="1"/>
  <c r="K77" i="2" s="1"/>
  <c r="K99" i="2" s="1"/>
  <c r="J63" i="2"/>
  <c r="J68" i="2" s="1"/>
  <c r="J43" i="2"/>
  <c r="K43" i="2"/>
  <c r="H34" i="2"/>
  <c r="H37" i="2" s="1"/>
  <c r="I34" i="2"/>
  <c r="I37" i="2" s="1"/>
  <c r="K55" i="20" l="1"/>
  <c r="K53" i="2"/>
  <c r="J53" i="2"/>
  <c r="J123" i="30" s="1"/>
  <c r="J122" i="30" s="1"/>
  <c r="I40" i="2"/>
  <c r="I161" i="4" s="1"/>
  <c r="I162" i="4" s="1"/>
  <c r="I174" i="4"/>
  <c r="I178" i="4" s="1"/>
  <c r="H40" i="2"/>
  <c r="H174" i="4"/>
  <c r="H178" i="4" s="1"/>
  <c r="I63" i="2"/>
  <c r="I68" i="2" s="1"/>
  <c r="H63" i="2"/>
  <c r="H68" i="2" s="1"/>
  <c r="K174" i="4"/>
  <c r="K178" i="4" s="1"/>
  <c r="H43" i="2"/>
  <c r="I43" i="2"/>
  <c r="F73" i="21"/>
  <c r="J77" i="2"/>
  <c r="K56" i="2" l="1"/>
  <c r="K112" i="4" s="1"/>
  <c r="K123" i="30"/>
  <c r="K122" i="30" s="1"/>
  <c r="K118" i="3"/>
  <c r="K117" i="3" s="1"/>
  <c r="L21" i="20"/>
  <c r="L23" i="20" s="1"/>
  <c r="L31" i="20" s="1"/>
  <c r="K111" i="4"/>
  <c r="J111" i="4"/>
  <c r="J55" i="20"/>
  <c r="I53" i="2"/>
  <c r="J21" i="20" s="1"/>
  <c r="J23" i="20" s="1"/>
  <c r="H53" i="2"/>
  <c r="H123" i="30" s="1"/>
  <c r="H122" i="30" s="1"/>
  <c r="K21" i="20"/>
  <c r="K23" i="20" s="1"/>
  <c r="K24" i="20" s="1"/>
  <c r="J56" i="2"/>
  <c r="I54" i="21" s="1"/>
  <c r="I56" i="21" s="1"/>
  <c r="I57" i="21" s="1"/>
  <c r="J118" i="3"/>
  <c r="J117" i="3" s="1"/>
  <c r="I55" i="20"/>
  <c r="H161" i="4"/>
  <c r="H162" i="4" s="1"/>
  <c r="J99" i="2"/>
  <c r="J85" i="2"/>
  <c r="I77" i="2"/>
  <c r="K57" i="2" l="1"/>
  <c r="J54" i="21"/>
  <c r="J56" i="21" s="1"/>
  <c r="L24" i="20"/>
  <c r="K95" i="4"/>
  <c r="K30" i="30" s="1"/>
  <c r="L112" i="4"/>
  <c r="I123" i="30"/>
  <c r="I122" i="30" s="1"/>
  <c r="L25" i="20"/>
  <c r="I111" i="4"/>
  <c r="K31" i="20"/>
  <c r="K36" i="20" s="1"/>
  <c r="K40" i="20" s="1"/>
  <c r="K44" i="20" s="1"/>
  <c r="I118" i="3"/>
  <c r="I117" i="3" s="1"/>
  <c r="I56" i="2"/>
  <c r="H54" i="21" s="1"/>
  <c r="H56" i="21" s="1"/>
  <c r="H111" i="4"/>
  <c r="H56" i="2"/>
  <c r="H57" i="2" s="1"/>
  <c r="H118" i="3"/>
  <c r="H117" i="3" s="1"/>
  <c r="I21" i="20"/>
  <c r="I23" i="20" s="1"/>
  <c r="I25" i="20" s="1"/>
  <c r="J112" i="4"/>
  <c r="J95" i="4" s="1"/>
  <c r="J30" i="30" s="1"/>
  <c r="J57" i="2"/>
  <c r="L52" i="20"/>
  <c r="L36" i="20"/>
  <c r="L40" i="20" s="1"/>
  <c r="L44" i="20" s="1"/>
  <c r="J24" i="20"/>
  <c r="J31" i="20"/>
  <c r="K25" i="20"/>
  <c r="I99" i="2"/>
  <c r="H77" i="2"/>
  <c r="H99" i="2" s="1"/>
  <c r="I85" i="2"/>
  <c r="M112" i="4" l="1"/>
  <c r="N112" i="4" s="1"/>
  <c r="O112" i="4" s="1"/>
  <c r="P112" i="4" s="1"/>
  <c r="Q112" i="4" s="1"/>
  <c r="R112" i="4" s="1"/>
  <c r="S112" i="4" s="1"/>
  <c r="J25" i="20"/>
  <c r="I31" i="20"/>
  <c r="I52" i="20" s="1"/>
  <c r="K52" i="20"/>
  <c r="I57" i="2"/>
  <c r="H112" i="4"/>
  <c r="H95" i="4" s="1"/>
  <c r="H30" i="30" s="1"/>
  <c r="I112" i="4"/>
  <c r="I95" i="4" s="1"/>
  <c r="I30" i="30" s="1"/>
  <c r="G54" i="21"/>
  <c r="G56" i="21" s="1"/>
  <c r="G57" i="21" s="1"/>
  <c r="I24" i="20"/>
  <c r="J30" i="3"/>
  <c r="J52" i="20"/>
  <c r="J36" i="20"/>
  <c r="J40" i="20" s="1"/>
  <c r="J44" i="20" s="1"/>
  <c r="H62" i="21"/>
  <c r="H73" i="21" s="1"/>
  <c r="H57" i="21"/>
  <c r="H85" i="2"/>
  <c r="I30" i="3" l="1"/>
  <c r="G62" i="21"/>
  <c r="G73" i="21" s="1"/>
  <c r="I36" i="20"/>
  <c r="I40" i="20" s="1"/>
  <c r="I44" i="20" s="1"/>
  <c r="H30" i="3"/>
  <c r="I62" i="21"/>
  <c r="H83" i="4" l="1"/>
  <c r="H74" i="4"/>
  <c r="H75" i="4"/>
  <c r="I73" i="4"/>
  <c r="K85" i="2"/>
  <c r="I85" i="4" l="1"/>
  <c r="I83" i="4" s="1"/>
  <c r="J73" i="4" l="1"/>
  <c r="I74" i="4"/>
  <c r="I75" i="4"/>
  <c r="J85" i="4" l="1"/>
  <c r="J83" i="4" s="1"/>
  <c r="K73" i="4"/>
  <c r="J74" i="4"/>
  <c r="J75" i="4"/>
  <c r="G84" i="8"/>
  <c r="K85" i="4" l="1"/>
  <c r="L85" i="4" s="1"/>
  <c r="L73" i="4"/>
  <c r="K75" i="4"/>
  <c r="K74" i="4"/>
  <c r="M85" i="4" l="1"/>
  <c r="L70" i="4"/>
  <c r="L134" i="2" s="1"/>
  <c r="K83" i="4"/>
  <c r="N85" i="4" l="1"/>
  <c r="M70" i="4"/>
  <c r="M134" i="2" s="1"/>
  <c r="O85" i="4" l="1"/>
  <c r="N70" i="4"/>
  <c r="N134" i="2" s="1"/>
  <c r="P85" i="4" l="1"/>
  <c r="O70" i="4"/>
  <c r="O134" i="2" s="1"/>
  <c r="Q85" i="4" l="1"/>
  <c r="P70" i="4"/>
  <c r="P134" i="2" s="1"/>
  <c r="R85" i="4" l="1"/>
  <c r="Q70" i="4"/>
  <c r="Q134" i="2" s="1"/>
  <c r="S85" i="4" l="1"/>
  <c r="S70" i="4" s="1"/>
  <c r="S134" i="2" s="1"/>
  <c r="R70" i="4"/>
  <c r="R134" i="2" s="1"/>
  <c r="F51" i="8" l="1"/>
  <c r="J57" i="21"/>
  <c r="O9" i="21" l="1"/>
  <c r="G108" i="9"/>
  <c r="F154" i="9"/>
  <c r="J62" i="21" l="1"/>
  <c r="J73" i="21" s="1"/>
  <c r="G57" i="9"/>
  <c r="H55" i="9" s="1"/>
  <c r="J38" i="21"/>
  <c r="H106" i="9"/>
  <c r="J113" i="21"/>
  <c r="H134" i="9" l="1"/>
  <c r="K114" i="21" s="1"/>
  <c r="K111" i="21"/>
  <c r="G86" i="8" l="1"/>
  <c r="F58" i="8" s="1"/>
  <c r="O13" i="21" s="1"/>
  <c r="J78" i="21" s="1"/>
  <c r="F70" i="8"/>
  <c r="I66" i="21" l="1"/>
  <c r="I73" i="21" s="1"/>
  <c r="K30" i="3" l="1"/>
  <c r="M113" i="3" l="1"/>
  <c r="N113" i="3"/>
  <c r="P113" i="3"/>
  <c r="Q113" i="3"/>
  <c r="R113" i="3"/>
  <c r="S113" i="3"/>
  <c r="L113" i="3"/>
  <c r="O113" i="3" l="1"/>
  <c r="M59" i="4" l="1"/>
  <c r="M51" i="31" s="1"/>
  <c r="M53" i="31" s="1"/>
  <c r="M54" i="31" s="1"/>
  <c r="N59" i="4" l="1"/>
  <c r="N51" i="31" s="1"/>
  <c r="N53" i="31" s="1"/>
  <c r="N54" i="31" s="1"/>
  <c r="O59" i="4" l="1"/>
  <c r="O51" i="31" s="1"/>
  <c r="O53" i="31" s="1"/>
  <c r="O54" i="31" s="1"/>
  <c r="P59" i="4" l="1"/>
  <c r="P51" i="31" s="1"/>
  <c r="P53" i="31" s="1"/>
  <c r="P54" i="31" s="1"/>
  <c r="Q59" i="4" l="1"/>
  <c r="Q51" i="31" s="1"/>
  <c r="Q53" i="31" s="1"/>
  <c r="Q54" i="31" s="1"/>
  <c r="R59" i="4" l="1"/>
  <c r="R51" i="31" s="1"/>
  <c r="R53" i="31" s="1"/>
  <c r="R54" i="31" s="1"/>
  <c r="S59" i="4" l="1"/>
  <c r="S51" i="31" s="1"/>
  <c r="S53" i="31" s="1"/>
  <c r="S54" i="31" s="1"/>
  <c r="L176" i="3" l="1"/>
  <c r="L29" i="31" l="1"/>
  <c r="L136" i="31" l="1"/>
  <c r="M136" i="31"/>
  <c r="N136" i="31" l="1"/>
  <c r="O136" i="31" l="1"/>
  <c r="P136" i="31" l="1"/>
  <c r="Q136" i="31" l="1"/>
  <c r="R136" i="31" l="1"/>
  <c r="J21" i="4" l="1"/>
  <c r="K21" i="4"/>
  <c r="S136" i="31" l="1"/>
  <c r="K15" i="4"/>
  <c r="J15" i="4"/>
  <c r="J82" i="4" s="1"/>
  <c r="I82" i="4"/>
  <c r="H15" i="4"/>
  <c r="H82" i="4" s="1"/>
  <c r="G99" i="8" l="1"/>
  <c r="K82" i="4"/>
  <c r="I103" i="4"/>
  <c r="J51" i="20"/>
  <c r="I51" i="20"/>
  <c r="H103" i="4"/>
  <c r="J103" i="4"/>
  <c r="K51" i="20"/>
  <c r="L51" i="20"/>
  <c r="K103" i="4"/>
  <c r="L125" i="4" l="1"/>
  <c r="G107" i="8"/>
  <c r="G108" i="8" s="1"/>
  <c r="F66" i="8"/>
  <c r="F52" i="8" s="1"/>
  <c r="O10" i="21" l="1"/>
  <c r="G113" i="9"/>
  <c r="E10" i="21"/>
  <c r="L22" i="4"/>
  <c r="G105" i="8"/>
  <c r="G104" i="8"/>
  <c r="G61" i="9" l="1"/>
  <c r="H59" i="9" s="1"/>
  <c r="H111" i="9"/>
  <c r="J40" i="21"/>
  <c r="M18" i="4"/>
  <c r="M22" i="4" s="1"/>
  <c r="N18" i="4" s="1"/>
  <c r="G106" i="8"/>
  <c r="F67" i="8" s="1"/>
  <c r="K117" i="21" l="1"/>
  <c r="H135" i="9"/>
  <c r="N22" i="4"/>
  <c r="O18" i="4" s="1"/>
  <c r="E11" i="21"/>
  <c r="F68" i="8"/>
  <c r="G67" i="8" s="1"/>
  <c r="L167" i="31" l="1"/>
  <c r="K120" i="21"/>
  <c r="K63" i="21"/>
  <c r="O22" i="4"/>
  <c r="P18" i="4" s="1"/>
  <c r="F71" i="8"/>
  <c r="G63" i="8"/>
  <c r="G62" i="8"/>
  <c r="G64" i="8"/>
  <c r="G66" i="8"/>
  <c r="E14" i="21"/>
  <c r="F11" i="21" s="1"/>
  <c r="F38" i="8" l="1"/>
  <c r="G70" i="8"/>
  <c r="F39" i="8"/>
  <c r="F9" i="21"/>
  <c r="F8" i="21"/>
  <c r="J82" i="21"/>
  <c r="F7" i="21"/>
  <c r="F10" i="21"/>
  <c r="G68" i="8"/>
  <c r="P22" i="4"/>
  <c r="Q18" i="4" s="1"/>
  <c r="F14" i="21" l="1"/>
  <c r="Q22" i="4"/>
  <c r="R18" i="4" s="1"/>
  <c r="G71" i="8"/>
  <c r="R22" i="4" l="1"/>
  <c r="S18" i="4" s="1"/>
  <c r="S22" i="4" l="1"/>
  <c r="L172" i="3" l="1"/>
  <c r="M174" i="3" s="1"/>
  <c r="M67" i="31" s="1"/>
  <c r="M176" i="3" l="1"/>
  <c r="M29" i="31" l="1"/>
  <c r="M32" i="31" l="1"/>
  <c r="M34" i="31" s="1"/>
  <c r="M69" i="31" s="1"/>
  <c r="M70" i="31" s="1"/>
  <c r="M35" i="31" l="1"/>
  <c r="M37" i="31" s="1"/>
  <c r="M167" i="31"/>
  <c r="M38" i="31" l="1"/>
  <c r="M44" i="31"/>
  <c r="M172" i="3" l="1"/>
  <c r="N174" i="3" s="1"/>
  <c r="N67" i="31" s="1"/>
  <c r="N176" i="3" l="1"/>
  <c r="N29" i="31" l="1"/>
  <c r="N32" i="31" s="1"/>
  <c r="N167" i="31" l="1"/>
  <c r="N34" i="31"/>
  <c r="N69" i="31" s="1"/>
  <c r="N70" i="31" s="1"/>
  <c r="N35" i="31" l="1"/>
  <c r="N38" i="31" s="1"/>
  <c r="N44" i="31" l="1"/>
  <c r="N37" i="31"/>
  <c r="N172" i="3" l="1"/>
  <c r="O174" i="3" s="1"/>
  <c r="O67" i="31" s="1"/>
  <c r="O176" i="3" l="1"/>
  <c r="O29" i="31" l="1"/>
  <c r="O167" i="31" l="1"/>
  <c r="O32" i="31"/>
  <c r="O34" i="31" l="1"/>
  <c r="O69" i="31" s="1"/>
  <c r="O70" i="31" s="1"/>
  <c r="O35" i="31" l="1"/>
  <c r="O44" i="31" s="1"/>
  <c r="O38" i="31" l="1"/>
  <c r="O37" i="31"/>
  <c r="O172" i="3" l="1"/>
  <c r="P174" i="3" s="1"/>
  <c r="P67" i="31" s="1"/>
  <c r="P176" i="3" l="1"/>
  <c r="P29" i="31" l="1"/>
  <c r="P32" i="31" s="1"/>
  <c r="P34" i="31" s="1"/>
  <c r="P69" i="31" s="1"/>
  <c r="P70" i="31" s="1"/>
  <c r="P167" i="31" l="1"/>
  <c r="P35" i="31"/>
  <c r="P37" i="31" s="1"/>
  <c r="P38" i="31" l="1"/>
  <c r="P44" i="31"/>
  <c r="P172" i="3" l="1"/>
  <c r="Q174" i="3" s="1"/>
  <c r="Q67" i="31" s="1"/>
  <c r="Q176" i="3" l="1"/>
  <c r="Q29" i="31" l="1"/>
  <c r="Q32" i="31" s="1"/>
  <c r="Q34" i="31" s="1"/>
  <c r="Q69" i="31" s="1"/>
  <c r="Q70" i="31" s="1"/>
  <c r="Q167" i="31" l="1"/>
  <c r="Q35" i="31"/>
  <c r="Q37" i="31" s="1"/>
  <c r="Q44" i="31" l="1"/>
  <c r="Q38" i="31"/>
  <c r="Q172" i="3" l="1"/>
  <c r="R174" i="3" s="1"/>
  <c r="R67" i="31" s="1"/>
  <c r="R176" i="3" l="1"/>
  <c r="R29" i="31" l="1"/>
  <c r="R32" i="31" l="1"/>
  <c r="R167" i="31" l="1"/>
  <c r="R34" i="31"/>
  <c r="R69" i="31" s="1"/>
  <c r="R70" i="31" s="1"/>
  <c r="R35" i="31" l="1"/>
  <c r="R44" i="31" s="1"/>
  <c r="R38" i="31" l="1"/>
  <c r="R37" i="31"/>
  <c r="R172" i="3" l="1"/>
  <c r="S174" i="3" s="1"/>
  <c r="S67" i="31" s="1"/>
  <c r="S176" i="3" l="1"/>
  <c r="S29" i="31" l="1"/>
  <c r="S32" i="31" l="1"/>
  <c r="S34" i="31" l="1"/>
  <c r="S69" i="31" s="1"/>
  <c r="S70" i="31" s="1"/>
  <c r="S167" i="31" l="1"/>
  <c r="S35" i="31"/>
  <c r="S44" i="31" s="1"/>
  <c r="S38" i="31" l="1"/>
  <c r="S37" i="31"/>
  <c r="S172" i="3" l="1"/>
  <c r="K197" i="3" l="1"/>
  <c r="L189" i="3" s="1"/>
  <c r="K217" i="30"/>
  <c r="K160" i="4"/>
  <c r="K40" i="2"/>
  <c r="K161" i="4" s="1"/>
  <c r="K162" i="4" l="1"/>
  <c r="L54" i="20"/>
  <c r="L213" i="30"/>
  <c r="F40" i="8"/>
  <c r="K196" i="3"/>
  <c r="L55" i="20"/>
  <c r="H100" i="2" l="1"/>
  <c r="H107" i="4" s="1"/>
  <c r="H108" i="4" s="1"/>
  <c r="H110" i="4" s="1"/>
  <c r="H79" i="4" l="1"/>
  <c r="H102" i="2"/>
  <c r="I96" i="2"/>
  <c r="I100" i="2" s="1"/>
  <c r="I107" i="4" s="1"/>
  <c r="I108" i="4" s="1"/>
  <c r="I110" i="4" s="1"/>
  <c r="H94" i="4"/>
  <c r="H29" i="30" s="1"/>
  <c r="H91" i="4"/>
  <c r="I79" i="4" l="1"/>
  <c r="I102" i="2"/>
  <c r="J96" i="2"/>
  <c r="J100" i="2" s="1"/>
  <c r="J107" i="4" s="1"/>
  <c r="J108" i="4" s="1"/>
  <c r="J110" i="4" s="1"/>
  <c r="J91" i="4" s="1"/>
  <c r="H29" i="3"/>
  <c r="I91" i="4"/>
  <c r="I94" i="4"/>
  <c r="J79" i="4" l="1"/>
  <c r="J102" i="2"/>
  <c r="K96" i="2"/>
  <c r="K100" i="2" s="1"/>
  <c r="I29" i="3"/>
  <c r="I29" i="30"/>
  <c r="J94" i="4"/>
  <c r="K79" i="4" l="1"/>
  <c r="K102" i="2"/>
  <c r="K107" i="4"/>
  <c r="K108" i="4" s="1"/>
  <c r="K110" i="4" s="1"/>
  <c r="K94" i="4" s="1"/>
  <c r="L96" i="2"/>
  <c r="L149" i="4" s="1"/>
  <c r="L151" i="4" s="1"/>
  <c r="J29" i="30"/>
  <c r="J29" i="3"/>
  <c r="K91" i="4" l="1"/>
  <c r="K29" i="3"/>
  <c r="K29" i="30"/>
  <c r="L91" i="4" l="1"/>
  <c r="L70" i="31"/>
  <c r="L32" i="31"/>
  <c r="L35" i="31" s="1"/>
  <c r="L96" i="31"/>
  <c r="L118" i="4" l="1"/>
  <c r="L121" i="4" s="1"/>
  <c r="L123" i="4" s="1"/>
  <c r="L124" i="4" s="1"/>
  <c r="L126" i="4" s="1"/>
  <c r="M91" i="4"/>
  <c r="M118" i="4" s="1"/>
  <c r="M121" i="4" s="1"/>
  <c r="M123" i="4" s="1"/>
  <c r="M124" i="4" s="1"/>
  <c r="L44" i="31"/>
  <c r="L37" i="31"/>
  <c r="L38" i="31"/>
  <c r="L34" i="31"/>
  <c r="L69" i="31" s="1"/>
  <c r="M96" i="31"/>
  <c r="L145" i="31"/>
  <c r="L61" i="4"/>
  <c r="N91" i="4" l="1"/>
  <c r="L181" i="30"/>
  <c r="L183" i="30" s="1"/>
  <c r="M37" i="20" s="1"/>
  <c r="M49" i="20"/>
  <c r="L68" i="31"/>
  <c r="L30" i="31"/>
  <c r="M145" i="31"/>
  <c r="O91" i="4" l="1"/>
  <c r="O118" i="4" s="1"/>
  <c r="O121" i="4" s="1"/>
  <c r="O123" i="4" s="1"/>
  <c r="O124" i="4" s="1"/>
  <c r="N118" i="4"/>
  <c r="N121" i="4" s="1"/>
  <c r="N123" i="4" s="1"/>
  <c r="N124" i="4" s="1"/>
  <c r="N96" i="31"/>
  <c r="P91" i="4" l="1"/>
  <c r="N145" i="31"/>
  <c r="Q91" i="4" l="1"/>
  <c r="Q118" i="4" s="1"/>
  <c r="Q121" i="4" s="1"/>
  <c r="Q123" i="4" s="1"/>
  <c r="Q124" i="4" s="1"/>
  <c r="P118" i="4"/>
  <c r="P121" i="4" s="1"/>
  <c r="P123" i="4" s="1"/>
  <c r="P124" i="4" s="1"/>
  <c r="O96" i="31"/>
  <c r="R91" i="4" l="1"/>
  <c r="O145" i="31"/>
  <c r="S91" i="4" l="1"/>
  <c r="S118" i="4" s="1"/>
  <c r="S121" i="4" s="1"/>
  <c r="S123" i="4" s="1"/>
  <c r="S124" i="4" s="1"/>
  <c r="R118" i="4"/>
  <c r="R121" i="4" s="1"/>
  <c r="R123" i="4" s="1"/>
  <c r="R124" i="4" s="1"/>
  <c r="P96" i="31"/>
  <c r="P145" i="31" l="1"/>
  <c r="Q96" i="31" l="1"/>
  <c r="Q145" i="31" l="1"/>
  <c r="R96" i="31" l="1"/>
  <c r="R145" i="31" l="1"/>
  <c r="S96" i="31" l="1"/>
  <c r="S145" i="31" l="1"/>
  <c r="L116" i="30"/>
  <c r="L21" i="2" s="1"/>
  <c r="M17" i="20" s="1"/>
  <c r="L111" i="30"/>
  <c r="L20" i="2" s="1"/>
  <c r="M16" i="20" s="1"/>
  <c r="L136" i="30"/>
  <c r="L118" i="2" s="1"/>
  <c r="L71" i="2" s="1"/>
  <c r="L106" i="30"/>
  <c r="L157" i="30"/>
  <c r="L137" i="30"/>
  <c r="L131" i="2" s="1"/>
  <c r="L206" i="30"/>
  <c r="L9" i="2"/>
  <c r="L31" i="5" s="1"/>
  <c r="L135" i="30"/>
  <c r="L117" i="2" s="1"/>
  <c r="L70" i="2" s="1"/>
  <c r="L158" i="30" l="1"/>
  <c r="L160" i="30" s="1"/>
  <c r="L65" i="2"/>
  <c r="L52" i="2" s="1"/>
  <c r="L35" i="5" s="1"/>
  <c r="L41" i="5" s="1"/>
  <c r="L80" i="2"/>
  <c r="L39" i="5" s="1"/>
  <c r="M67" i="20" s="1"/>
  <c r="L129" i="3"/>
  <c r="L125" i="31" s="1"/>
  <c r="L72" i="31" s="1"/>
  <c r="L170" i="4"/>
  <c r="L171" i="4" s="1"/>
  <c r="L145" i="2" s="1"/>
  <c r="L72" i="2"/>
  <c r="L130" i="3"/>
  <c r="L126" i="31" s="1"/>
  <c r="L73" i="31" s="1"/>
  <c r="G39" i="8"/>
  <c r="K50" i="21"/>
  <c r="L10" i="2"/>
  <c r="M63" i="20"/>
  <c r="L225" i="3"/>
  <c r="L139" i="30"/>
  <c r="L133" i="2" s="1"/>
  <c r="L74" i="2" s="1"/>
  <c r="L138" i="30"/>
  <c r="L132" i="2" s="1"/>
  <c r="L73" i="2" s="1"/>
  <c r="L12" i="2"/>
  <c r="L13" i="2" s="1"/>
  <c r="L149" i="30"/>
  <c r="L151" i="30" s="1"/>
  <c r="L204" i="30"/>
  <c r="L215" i="30" s="1"/>
  <c r="H71" i="9"/>
  <c r="L19" i="2"/>
  <c r="L118" i="30"/>
  <c r="L83" i="2" l="1"/>
  <c r="L105" i="2"/>
  <c r="M35" i="20" s="1"/>
  <c r="M168" i="4"/>
  <c r="L162" i="31"/>
  <c r="L125" i="2"/>
  <c r="M156" i="30"/>
  <c r="L122" i="2"/>
  <c r="L55" i="4" s="1"/>
  <c r="M147" i="30"/>
  <c r="L75" i="2"/>
  <c r="L135" i="2"/>
  <c r="L174" i="30"/>
  <c r="L173" i="30"/>
  <c r="L22" i="2" s="1"/>
  <c r="M13" i="20"/>
  <c r="M14" i="20" s="1"/>
  <c r="L132" i="3"/>
  <c r="L151" i="31" s="1"/>
  <c r="L32" i="5"/>
  <c r="L131" i="3"/>
  <c r="L148" i="31" s="1"/>
  <c r="L16" i="2"/>
  <c r="M15" i="20"/>
  <c r="H9" i="9"/>
  <c r="H72" i="9"/>
  <c r="H73" i="9" s="1"/>
  <c r="L140" i="30"/>
  <c r="L141" i="30" s="1"/>
  <c r="K60" i="21" l="1"/>
  <c r="H18" i="9"/>
  <c r="L51" i="2"/>
  <c r="L64" i="2"/>
  <c r="M18" i="20"/>
  <c r="M19" i="20" s="1"/>
  <c r="L133" i="3"/>
  <c r="L134" i="3" s="1"/>
  <c r="H10" i="9"/>
  <c r="K51" i="21"/>
  <c r="K52" i="21" s="1"/>
  <c r="L74" i="31"/>
  <c r="L75" i="31" s="1"/>
  <c r="L152" i="31"/>
  <c r="H11" i="9"/>
  <c r="L106" i="2"/>
  <c r="L42" i="5" s="1"/>
  <c r="M68" i="20" s="1"/>
  <c r="M34" i="20"/>
  <c r="L23" i="2"/>
  <c r="L17" i="2"/>
  <c r="L117" i="31" l="1"/>
  <c r="L77" i="31"/>
  <c r="L24" i="2"/>
  <c r="L33" i="5"/>
  <c r="K61" i="21"/>
  <c r="I19" i="9"/>
  <c r="K53" i="21"/>
  <c r="K17" i="21"/>
  <c r="L26" i="2"/>
  <c r="L31" i="2" s="1"/>
  <c r="L40" i="5"/>
  <c r="M65" i="20" s="1"/>
  <c r="L36" i="5"/>
  <c r="L186" i="30" l="1"/>
  <c r="L189" i="30" s="1"/>
  <c r="L33" i="2" s="1"/>
  <c r="L34" i="2" s="1"/>
  <c r="L87" i="31"/>
  <c r="L63" i="2" l="1"/>
  <c r="L68" i="2" s="1"/>
  <c r="L77" i="2" s="1"/>
  <c r="L85" i="2" s="1"/>
  <c r="L144" i="4" s="1"/>
  <c r="L147" i="4" s="1"/>
  <c r="L37" i="2"/>
  <c r="L43" i="2"/>
  <c r="L48" i="2"/>
  <c r="M33" i="20"/>
  <c r="L53" i="2" l="1"/>
  <c r="L174" i="4"/>
  <c r="L152" i="4"/>
  <c r="L153" i="4"/>
  <c r="L131" i="4" s="1"/>
  <c r="L118" i="3" l="1"/>
  <c r="L117" i="3" s="1"/>
  <c r="L123" i="30"/>
  <c r="L122" i="30" s="1"/>
  <c r="L56" i="2"/>
  <c r="M21" i="20"/>
  <c r="M23" i="20" s="1"/>
  <c r="M24" i="20" s="1"/>
  <c r="L111" i="4"/>
  <c r="L129" i="4"/>
  <c r="L130" i="4" s="1"/>
  <c r="L31" i="4" s="1"/>
  <c r="L154" i="4"/>
  <c r="L30" i="4" s="1"/>
  <c r="H85" i="9" l="1"/>
  <c r="H13" i="9" s="1"/>
  <c r="K54" i="21"/>
  <c r="L57" i="2"/>
  <c r="H81" i="9" s="1"/>
  <c r="H86" i="9" s="1"/>
  <c r="L34" i="5"/>
  <c r="L37" i="5" s="1"/>
  <c r="G38" i="8"/>
  <c r="M25" i="20"/>
  <c r="M31" i="20"/>
  <c r="M36" i="20" s="1"/>
  <c r="L133" i="4"/>
  <c r="L134" i="4" s="1"/>
  <c r="L32" i="4"/>
  <c r="L33" i="4" s="1"/>
  <c r="M27" i="4" s="1"/>
  <c r="L100" i="31"/>
  <c r="L12" i="4"/>
  <c r="L155" i="4"/>
  <c r="L157" i="4" s="1"/>
  <c r="L38" i="5" l="1"/>
  <c r="M66" i="20" s="1"/>
  <c r="H83" i="9"/>
  <c r="H88" i="9" s="1"/>
  <c r="H87" i="9" s="1"/>
  <c r="H15" i="9" s="1"/>
  <c r="M52" i="20"/>
  <c r="M64" i="20"/>
  <c r="L135" i="4"/>
  <c r="L102" i="31" s="1"/>
  <c r="L99" i="31"/>
  <c r="L91" i="2"/>
  <c r="L13" i="4"/>
  <c r="L92" i="2" s="1"/>
  <c r="L132" i="4"/>
  <c r="L113" i="4"/>
  <c r="L95" i="4" s="1"/>
  <c r="M11" i="4"/>
  <c r="H14" i="9"/>
  <c r="L211" i="30"/>
  <c r="L90" i="31"/>
  <c r="L103" i="31" s="1"/>
  <c r="L107" i="31" s="1"/>
  <c r="L108" i="31" s="1"/>
  <c r="L190" i="3"/>
  <c r="L191" i="3" s="1"/>
  <c r="L197" i="3" s="1"/>
  <c r="L43" i="5" l="1"/>
  <c r="M69" i="20" s="1"/>
  <c r="H16" i="9"/>
  <c r="H41" i="9" s="1"/>
  <c r="H34" i="9" s="1"/>
  <c r="H89" i="9"/>
  <c r="K55" i="21" s="1"/>
  <c r="K56" i="21" s="1"/>
  <c r="L163" i="4"/>
  <c r="M42" i="20" s="1"/>
  <c r="L88" i="2"/>
  <c r="L177" i="4"/>
  <c r="M38" i="20"/>
  <c r="M40" i="20" s="1"/>
  <c r="M36" i="4"/>
  <c r="L40" i="31"/>
  <c r="L41" i="31" s="1"/>
  <c r="M189" i="3"/>
  <c r="M54" i="20"/>
  <c r="M105" i="31"/>
  <c r="M108" i="31" s="1"/>
  <c r="L209" i="30"/>
  <c r="L216" i="30" s="1"/>
  <c r="L217" i="30" s="1"/>
  <c r="L39" i="2" s="1"/>
  <c r="L176" i="4"/>
  <c r="L30" i="30"/>
  <c r="L30" i="3"/>
  <c r="L15" i="4"/>
  <c r="L103" i="4" s="1"/>
  <c r="L48" i="5" l="1"/>
  <c r="K18" i="21"/>
  <c r="N105" i="31"/>
  <c r="N108" i="31" s="1"/>
  <c r="M30" i="2"/>
  <c r="M49" i="2" s="1"/>
  <c r="M61" i="4"/>
  <c r="M64" i="4"/>
  <c r="M125" i="4"/>
  <c r="M126" i="4" s="1"/>
  <c r="L154" i="31"/>
  <c r="L160" i="31" s="1"/>
  <c r="L82" i="4"/>
  <c r="L137" i="2"/>
  <c r="M213" i="30"/>
  <c r="K19" i="21"/>
  <c r="K57" i="21"/>
  <c r="F49" i="8"/>
  <c r="F50" i="8"/>
  <c r="H36" i="9"/>
  <c r="K25" i="21"/>
  <c r="H33" i="9"/>
  <c r="K86" i="21"/>
  <c r="L90" i="2"/>
  <c r="L179" i="4"/>
  <c r="L40" i="2" l="1"/>
  <c r="L160" i="4"/>
  <c r="L165" i="31"/>
  <c r="L166" i="31" s="1"/>
  <c r="L168" i="31" s="1"/>
  <c r="L170" i="31" s="1"/>
  <c r="L147" i="2"/>
  <c r="L149" i="2" s="1"/>
  <c r="L151" i="2" s="1"/>
  <c r="M173" i="4"/>
  <c r="M41" i="20"/>
  <c r="M44" i="20" s="1"/>
  <c r="L94" i="2"/>
  <c r="L99" i="2" s="1"/>
  <c r="L100" i="2" s="1"/>
  <c r="M181" i="30"/>
  <c r="M183" i="30" s="1"/>
  <c r="N37" i="20" s="1"/>
  <c r="N49" i="20"/>
  <c r="M68" i="31"/>
  <c r="M30" i="31"/>
  <c r="K26" i="21"/>
  <c r="K87" i="21"/>
  <c r="O105" i="31"/>
  <c r="O108" i="31" s="1"/>
  <c r="O7" i="21"/>
  <c r="F53" i="8"/>
  <c r="G103" i="9"/>
  <c r="M47" i="20"/>
  <c r="L142" i="2"/>
  <c r="K89" i="21"/>
  <c r="K28" i="21"/>
  <c r="O8" i="21"/>
  <c r="G98" i="9"/>
  <c r="M57" i="20" l="1"/>
  <c r="L153" i="2"/>
  <c r="P105" i="31"/>
  <c r="P108" i="31" s="1"/>
  <c r="L161" i="4"/>
  <c r="L162" i="4" s="1"/>
  <c r="G40" i="8"/>
  <c r="M55" i="20"/>
  <c r="L107" i="4"/>
  <c r="L108" i="4" s="1"/>
  <c r="L110" i="4" s="1"/>
  <c r="L94" i="4" s="1"/>
  <c r="L116" i="2"/>
  <c r="L79" i="4"/>
  <c r="L76" i="4" s="1"/>
  <c r="M96" i="2"/>
  <c r="J101" i="21"/>
  <c r="J36" i="21"/>
  <c r="G53" i="9"/>
  <c r="H51" i="9" s="1"/>
  <c r="H101" i="9"/>
  <c r="J80" i="21"/>
  <c r="O11" i="21"/>
  <c r="J107" i="21"/>
  <c r="J34" i="21"/>
  <c r="G49" i="9"/>
  <c r="H47" i="9" s="1"/>
  <c r="H96" i="9"/>
  <c r="J81" i="21"/>
  <c r="G110" i="8"/>
  <c r="F105" i="8" s="1"/>
  <c r="F55" i="8"/>
  <c r="J41" i="21" l="1"/>
  <c r="J68" i="21" s="1"/>
  <c r="J43" i="21" s="1"/>
  <c r="F42" i="8" s="1"/>
  <c r="F56" i="8"/>
  <c r="F59" i="8" s="1"/>
  <c r="G53" i="8" s="1"/>
  <c r="O12" i="21"/>
  <c r="O14" i="21" s="1"/>
  <c r="P11" i="21" s="1"/>
  <c r="G32" i="9"/>
  <c r="H132" i="9"/>
  <c r="K99" i="21"/>
  <c r="L111" i="31"/>
  <c r="L110" i="31" s="1"/>
  <c r="M73" i="4"/>
  <c r="L74" i="4"/>
  <c r="L75" i="4"/>
  <c r="F43" i="8"/>
  <c r="M149" i="4"/>
  <c r="M151" i="4" s="1"/>
  <c r="M46" i="20"/>
  <c r="M48" i="20" s="1"/>
  <c r="M51" i="20" s="1"/>
  <c r="L119" i="2"/>
  <c r="L128" i="2" s="1"/>
  <c r="L155" i="2" s="1"/>
  <c r="L179" i="30"/>
  <c r="L102" i="2"/>
  <c r="H133" i="9"/>
  <c r="K105" i="21"/>
  <c r="Q105" i="31"/>
  <c r="Q108" i="31" s="1"/>
  <c r="L29" i="30"/>
  <c r="L29" i="3"/>
  <c r="G49" i="8" l="1"/>
  <c r="C8" i="10"/>
  <c r="G52" i="8"/>
  <c r="G50" i="8"/>
  <c r="G55" i="8"/>
  <c r="G51" i="8"/>
  <c r="A68" i="8"/>
  <c r="G58" i="8"/>
  <c r="J24" i="21"/>
  <c r="J30" i="21" s="1"/>
  <c r="G38" i="9"/>
  <c r="R105" i="31"/>
  <c r="R108" i="31" s="1"/>
  <c r="J85" i="21"/>
  <c r="J79" i="21"/>
  <c r="P12" i="21"/>
  <c r="G56" i="8"/>
  <c r="G109" i="8"/>
  <c r="E104" i="8" s="1"/>
  <c r="L129" i="31"/>
  <c r="L130" i="31" s="1"/>
  <c r="L142" i="31" s="1"/>
  <c r="L172" i="31" s="1"/>
  <c r="H137" i="9"/>
  <c r="K65" i="21" s="1"/>
  <c r="K108" i="21"/>
  <c r="H136" i="9"/>
  <c r="K64" i="21" s="1"/>
  <c r="H138" i="9"/>
  <c r="K102" i="21"/>
  <c r="P10" i="21"/>
  <c r="P9" i="21"/>
  <c r="P13" i="21"/>
  <c r="P7" i="21"/>
  <c r="P8" i="21"/>
  <c r="J91" i="21" l="1"/>
  <c r="K66" i="21"/>
  <c r="K69" i="21" s="1"/>
  <c r="P14" i="21"/>
  <c r="G59" i="8"/>
  <c r="L113" i="31"/>
  <c r="S105" i="31"/>
  <c r="S108" i="31" s="1"/>
  <c r="H17" i="9"/>
  <c r="H21" i="9"/>
  <c r="K21" i="21" l="1"/>
  <c r="K59" i="21"/>
  <c r="K62" i="21" s="1"/>
  <c r="K70" i="21" s="1"/>
  <c r="K44" i="21" s="1"/>
  <c r="H20" i="9"/>
  <c r="H23" i="9" s="1"/>
  <c r="K71" i="21" l="1"/>
  <c r="K45" i="21" s="1"/>
  <c r="K73" i="21"/>
  <c r="K20" i="21"/>
  <c r="H146" i="9"/>
  <c r="H147" i="9" l="1"/>
  <c r="H97" i="9" s="1"/>
  <c r="H149" i="9" l="1"/>
  <c r="H150" i="9" s="1"/>
  <c r="H102" i="9" s="1"/>
  <c r="K100" i="21" s="1"/>
  <c r="K106" i="21"/>
  <c r="H48" i="9"/>
  <c r="H98" i="9"/>
  <c r="H152" i="9" l="1"/>
  <c r="H153" i="9" s="1"/>
  <c r="H156" i="9" s="1"/>
  <c r="H157" i="9" s="1"/>
  <c r="H112" i="9" s="1"/>
  <c r="H103" i="9"/>
  <c r="I101" i="9" s="1"/>
  <c r="H52" i="9"/>
  <c r="K35" i="21" s="1"/>
  <c r="I96" i="9"/>
  <c r="K107" i="21"/>
  <c r="K34" i="21"/>
  <c r="H117" i="9"/>
  <c r="K33" i="21"/>
  <c r="H49" i="9"/>
  <c r="H53" i="9" l="1"/>
  <c r="H107" i="9"/>
  <c r="H56" i="9" s="1"/>
  <c r="K36" i="21"/>
  <c r="G43" i="8" s="1"/>
  <c r="H116" i="9"/>
  <c r="K101" i="21"/>
  <c r="I51" i="9"/>
  <c r="I132" i="9"/>
  <c r="L99" i="21"/>
  <c r="H24" i="9"/>
  <c r="K118" i="21"/>
  <c r="K119" i="21" s="1"/>
  <c r="H60" i="9"/>
  <c r="H113" i="9"/>
  <c r="I133" i="9"/>
  <c r="L105" i="21"/>
  <c r="I47" i="9"/>
  <c r="K112" i="21" l="1"/>
  <c r="H108" i="9"/>
  <c r="K38" i="21" s="1"/>
  <c r="H61" i="9"/>
  <c r="K39" i="21"/>
  <c r="L102" i="21"/>
  <c r="L108" i="21"/>
  <c r="H57" i="9"/>
  <c r="K37" i="21"/>
  <c r="H119" i="9"/>
  <c r="H121" i="9" s="1"/>
  <c r="I111" i="9"/>
  <c r="K40" i="21"/>
  <c r="K74" i="21"/>
  <c r="H25" i="9"/>
  <c r="H37" i="9" s="1"/>
  <c r="K29" i="21" s="1"/>
  <c r="I106" i="9" l="1"/>
  <c r="I134" i="9" s="1"/>
  <c r="K113" i="21"/>
  <c r="H118" i="9"/>
  <c r="H120" i="9" s="1"/>
  <c r="H122" i="9" s="1"/>
  <c r="H28" i="9"/>
  <c r="I27" i="9" s="1"/>
  <c r="L117" i="21"/>
  <c r="I59" i="9"/>
  <c r="I135" i="9"/>
  <c r="K22" i="21"/>
  <c r="K23" i="21" s="1"/>
  <c r="K75" i="21"/>
  <c r="K41" i="21"/>
  <c r="K68" i="21" s="1"/>
  <c r="K43" i="21" s="1"/>
  <c r="G42" i="8" s="1"/>
  <c r="I55" i="9" l="1"/>
  <c r="L111" i="21"/>
  <c r="K90" i="21"/>
  <c r="L63" i="21"/>
  <c r="L120" i="21"/>
  <c r="I137" i="9"/>
  <c r="L65" i="21" s="1"/>
  <c r="H123" i="9"/>
  <c r="H35" i="9"/>
  <c r="L114" i="21"/>
  <c r="I136" i="9"/>
  <c r="L64" i="21" s="1"/>
  <c r="I138" i="9"/>
  <c r="I21" i="9" s="1"/>
  <c r="L66" i="21" l="1"/>
  <c r="L21" i="21" s="1"/>
  <c r="H38" i="9"/>
  <c r="K88" i="21"/>
  <c r="K91" i="21" s="1"/>
  <c r="K27" i="21"/>
  <c r="K30" i="21" s="1"/>
  <c r="P136" i="30" l="1"/>
  <c r="P118" i="2" s="1"/>
  <c r="P157" i="30"/>
  <c r="P158" i="30" s="1"/>
  <c r="Q157" i="30"/>
  <c r="Q158" i="30" s="1"/>
  <c r="O136" i="30"/>
  <c r="O118" i="2" s="1"/>
  <c r="O111" i="30"/>
  <c r="O20" i="2" s="1"/>
  <c r="P16" i="20" s="1"/>
  <c r="M136" i="30"/>
  <c r="M118" i="2" s="1"/>
  <c r="S136" i="30"/>
  <c r="S118" i="2" s="1"/>
  <c r="M116" i="30"/>
  <c r="M21" i="2" s="1"/>
  <c r="N17" i="20" s="1"/>
  <c r="S135" i="30"/>
  <c r="S117" i="2" s="1"/>
  <c r="O116" i="30"/>
  <c r="O21" i="2" s="1"/>
  <c r="P17" i="20" s="1"/>
  <c r="Q116" i="30"/>
  <c r="Q21" i="2" s="1"/>
  <c r="R17" i="20" s="1"/>
  <c r="S111" i="30"/>
  <c r="S20" i="2" s="1"/>
  <c r="T16" i="20" s="1"/>
  <c r="R148" i="30"/>
  <c r="R149" i="30" s="1"/>
  <c r="S157" i="30"/>
  <c r="S158" i="30" s="1"/>
  <c r="R135" i="30"/>
  <c r="R117" i="2" s="1"/>
  <c r="N106" i="30"/>
  <c r="N19" i="2" s="1"/>
  <c r="O15" i="20" s="1"/>
  <c r="R111" i="30"/>
  <c r="R20" i="2" s="1"/>
  <c r="S16" i="20" s="1"/>
  <c r="O157" i="30"/>
  <c r="O158" i="30" s="1"/>
  <c r="P206" i="30"/>
  <c r="N101" i="30"/>
  <c r="N139" i="30" s="1"/>
  <c r="N133" i="2" s="1"/>
  <c r="S106" i="30"/>
  <c r="S19" i="2" s="1"/>
  <c r="Q111" i="30"/>
  <c r="Q20" i="2" s="1"/>
  <c r="R16" i="20" s="1"/>
  <c r="N116" i="30"/>
  <c r="N21" i="2" s="1"/>
  <c r="O17" i="20" s="1"/>
  <c r="N136" i="30"/>
  <c r="N118" i="2" s="1"/>
  <c r="R9" i="2"/>
  <c r="R130" i="3" s="1"/>
  <c r="R126" i="31" s="1"/>
  <c r="N111" i="30"/>
  <c r="N20" i="2" s="1"/>
  <c r="O16" i="20" s="1"/>
  <c r="R206" i="30"/>
  <c r="R204" i="30" s="1"/>
  <c r="R215" i="30" s="1"/>
  <c r="M111" i="30"/>
  <c r="M20" i="2" s="1"/>
  <c r="N16" i="20" s="1"/>
  <c r="P116" i="30"/>
  <c r="P21" i="2" s="1"/>
  <c r="Q17" i="20" s="1"/>
  <c r="R101" i="30"/>
  <c r="R137" i="30" s="1"/>
  <c r="R131" i="2" s="1"/>
  <c r="S148" i="30"/>
  <c r="S149" i="30" s="1"/>
  <c r="O101" i="30"/>
  <c r="O139" i="30" s="1"/>
  <c r="O133" i="2" s="1"/>
  <c r="P111" i="30"/>
  <c r="P20" i="2" s="1"/>
  <c r="Q16" i="20" s="1"/>
  <c r="R157" i="30"/>
  <c r="R116" i="30"/>
  <c r="R21" i="2" s="1"/>
  <c r="S17" i="20" s="1"/>
  <c r="R106" i="30"/>
  <c r="R19" i="2" s="1"/>
  <c r="P106" i="30"/>
  <c r="P19" i="2" s="1"/>
  <c r="O148" i="30"/>
  <c r="O149" i="30" s="1"/>
  <c r="Q135" i="30"/>
  <c r="Q117" i="2" s="1"/>
  <c r="Q101" i="30"/>
  <c r="Q139" i="30" s="1"/>
  <c r="Q133" i="2" s="1"/>
  <c r="S116" i="30"/>
  <c r="S21" i="2" s="1"/>
  <c r="T17" i="20" s="1"/>
  <c r="O206" i="30"/>
  <c r="O204" i="30" s="1"/>
  <c r="O215" i="30" s="1"/>
  <c r="S101" i="30"/>
  <c r="S139" i="30" s="1"/>
  <c r="S133" i="2" s="1"/>
  <c r="Q206" i="30"/>
  <c r="Q170" i="4" s="1"/>
  <c r="R136" i="30"/>
  <c r="R118" i="2" s="1"/>
  <c r="Q106" i="30"/>
  <c r="Q19" i="2" s="1"/>
  <c r="R15" i="20" s="1"/>
  <c r="Q148" i="30"/>
  <c r="S206" i="30"/>
  <c r="S65" i="2" s="1"/>
  <c r="S52" i="2" s="1"/>
  <c r="S35" i="5" s="1"/>
  <c r="S41" i="5" s="1"/>
  <c r="N206" i="30"/>
  <c r="N170" i="4" s="1"/>
  <c r="O106" i="30"/>
  <c r="M148" i="30"/>
  <c r="M149" i="30" s="1"/>
  <c r="S9" i="2"/>
  <c r="P135" i="30"/>
  <c r="P117" i="2" s="1"/>
  <c r="Q9" i="2"/>
  <c r="N148" i="30"/>
  <c r="N149" i="30" s="1"/>
  <c r="P9" i="2"/>
  <c r="M106" i="30"/>
  <c r="M19" i="2" s="1"/>
  <c r="N157" i="30"/>
  <c r="N158" i="30" s="1"/>
  <c r="O135" i="30"/>
  <c r="O117" i="2" s="1"/>
  <c r="N9" i="2"/>
  <c r="N129" i="3" s="1"/>
  <c r="M206" i="30"/>
  <c r="M170" i="4" s="1"/>
  <c r="M171" i="4" s="1"/>
  <c r="O9" i="2"/>
  <c r="K71" i="9" s="1"/>
  <c r="M157" i="30"/>
  <c r="M158" i="30" s="1"/>
  <c r="P101" i="30"/>
  <c r="P139" i="30" s="1"/>
  <c r="P133" i="2" s="1"/>
  <c r="M135" i="30"/>
  <c r="M117" i="2" s="1"/>
  <c r="M70" i="2" s="1"/>
  <c r="P148" i="30"/>
  <c r="N135" i="30"/>
  <c r="N117" i="2" s="1"/>
  <c r="Q136" i="30"/>
  <c r="Q118" i="2" s="1"/>
  <c r="M9" i="2"/>
  <c r="M129" i="3" s="1"/>
  <c r="M125" i="31" s="1"/>
  <c r="M72" i="31" s="1"/>
  <c r="M101" i="30"/>
  <c r="M151" i="30" l="1"/>
  <c r="N147" i="30" s="1"/>
  <c r="N151" i="30" s="1"/>
  <c r="O147" i="30" s="1"/>
  <c r="O151" i="30" s="1"/>
  <c r="N204" i="30"/>
  <c r="N215" i="30" s="1"/>
  <c r="M204" i="30"/>
  <c r="M215" i="30" s="1"/>
  <c r="S80" i="2"/>
  <c r="S105" i="2" s="1"/>
  <c r="T35" i="20" s="1"/>
  <c r="Q80" i="2"/>
  <c r="Q83" i="2" s="1"/>
  <c r="N173" i="30"/>
  <c r="N22" i="2" s="1"/>
  <c r="N64" i="2" s="1"/>
  <c r="Q12" i="2"/>
  <c r="Q13" i="2" s="1"/>
  <c r="Q131" i="3" s="1"/>
  <c r="Q148" i="31" s="1"/>
  <c r="P12" i="2"/>
  <c r="P13" i="2" s="1"/>
  <c r="P32" i="5" s="1"/>
  <c r="Q10" i="2"/>
  <c r="S10" i="2"/>
  <c r="O50" i="21"/>
  <c r="P129" i="3"/>
  <c r="P125" i="31" s="1"/>
  <c r="Q149" i="30"/>
  <c r="O65" i="2"/>
  <c r="O52" i="2" s="1"/>
  <c r="O35" i="5" s="1"/>
  <c r="O41" i="5" s="1"/>
  <c r="O118" i="30"/>
  <c r="O129" i="3"/>
  <c r="O125" i="31" s="1"/>
  <c r="R80" i="2"/>
  <c r="R39" i="5" s="1"/>
  <c r="S67" i="20" s="1"/>
  <c r="P80" i="2"/>
  <c r="P39" i="5" s="1"/>
  <c r="Q67" i="20" s="1"/>
  <c r="N80" i="2"/>
  <c r="N39" i="5" s="1"/>
  <c r="O67" i="20" s="1"/>
  <c r="O137" i="30"/>
  <c r="O131" i="2" s="1"/>
  <c r="C7" i="6"/>
  <c r="P71" i="2"/>
  <c r="I71" i="9"/>
  <c r="O70" i="2"/>
  <c r="R129" i="3"/>
  <c r="R125" i="31" s="1"/>
  <c r="Q118" i="30"/>
  <c r="O19" i="2"/>
  <c r="P15" i="20" s="1"/>
  <c r="Q137" i="30"/>
  <c r="Q131" i="2" s="1"/>
  <c r="R72" i="2" s="1"/>
  <c r="N65" i="2"/>
  <c r="N52" i="2" s="1"/>
  <c r="N35" i="5" s="1"/>
  <c r="N41" i="5" s="1"/>
  <c r="R170" i="4"/>
  <c r="R65" i="2"/>
  <c r="R52" i="2" s="1"/>
  <c r="R35" i="5" s="1"/>
  <c r="R41" i="5" s="1"/>
  <c r="O173" i="30"/>
  <c r="O22" i="2" s="1"/>
  <c r="O64" i="2" s="1"/>
  <c r="O80" i="2"/>
  <c r="O83" i="2" s="1"/>
  <c r="S173" i="30"/>
  <c r="S22" i="2" s="1"/>
  <c r="S51" i="2" s="1"/>
  <c r="M71" i="2"/>
  <c r="N71" i="2"/>
  <c r="P70" i="2"/>
  <c r="N70" i="2"/>
  <c r="O74" i="2"/>
  <c r="Q70" i="2"/>
  <c r="R139" i="30"/>
  <c r="R133" i="2" s="1"/>
  <c r="R74" i="2" s="1"/>
  <c r="Q138" i="30"/>
  <c r="Q132" i="2" s="1"/>
  <c r="P74" i="2"/>
  <c r="K9" i="9"/>
  <c r="K72" i="9"/>
  <c r="N125" i="31"/>
  <c r="M162" i="31"/>
  <c r="M145" i="2"/>
  <c r="N168" i="4"/>
  <c r="N171" i="4" s="1"/>
  <c r="T15" i="20"/>
  <c r="N174" i="30"/>
  <c r="N15" i="20"/>
  <c r="Q71" i="2"/>
  <c r="R71" i="2"/>
  <c r="Q15" i="20"/>
  <c r="S15" i="20"/>
  <c r="M50" i="21"/>
  <c r="S31" i="5"/>
  <c r="S129" i="3"/>
  <c r="P149" i="30"/>
  <c r="S170" i="4"/>
  <c r="Q65" i="2"/>
  <c r="Q52" i="2" s="1"/>
  <c r="Q35" i="5" s="1"/>
  <c r="Q41" i="5" s="1"/>
  <c r="M71" i="9"/>
  <c r="M65" i="2"/>
  <c r="S174" i="30"/>
  <c r="Q130" i="3"/>
  <c r="Q126" i="31" s="1"/>
  <c r="N137" i="30"/>
  <c r="M118" i="30"/>
  <c r="M80" i="2"/>
  <c r="S70" i="2"/>
  <c r="R158" i="30"/>
  <c r="R174" i="30" s="1"/>
  <c r="S130" i="3"/>
  <c r="S126" i="31" s="1"/>
  <c r="S73" i="31" s="1"/>
  <c r="R138" i="30"/>
  <c r="R132" i="2" s="1"/>
  <c r="R12" i="2"/>
  <c r="R13" i="2" s="1"/>
  <c r="O174" i="30"/>
  <c r="S118" i="30"/>
  <c r="M138" i="30"/>
  <c r="M132" i="2" s="1"/>
  <c r="M73" i="2" s="1"/>
  <c r="M137" i="30"/>
  <c r="M131" i="2" s="1"/>
  <c r="J71" i="9"/>
  <c r="Q74" i="2"/>
  <c r="M160" i="30"/>
  <c r="R118" i="30"/>
  <c r="O130" i="3"/>
  <c r="O126" i="31" s="1"/>
  <c r="O10" i="2"/>
  <c r="N50" i="21"/>
  <c r="R10" i="2"/>
  <c r="Q129" i="3"/>
  <c r="Q31" i="5"/>
  <c r="R63" i="20" s="1"/>
  <c r="P50" i="21"/>
  <c r="M12" i="2"/>
  <c r="M13" i="2" s="1"/>
  <c r="M16" i="2" s="1"/>
  <c r="Q204" i="30"/>
  <c r="Q215" i="30" s="1"/>
  <c r="S137" i="30"/>
  <c r="S131" i="2" s="1"/>
  <c r="S138" i="30"/>
  <c r="S132" i="2" s="1"/>
  <c r="P10" i="2"/>
  <c r="N138" i="30"/>
  <c r="N132" i="2" s="1"/>
  <c r="N12" i="2"/>
  <c r="N13" i="2" s="1"/>
  <c r="M130" i="3"/>
  <c r="M126" i="31" s="1"/>
  <c r="M10" i="2"/>
  <c r="M31" i="5"/>
  <c r="N63" i="20" s="1"/>
  <c r="O170" i="4"/>
  <c r="L50" i="21"/>
  <c r="N130" i="3"/>
  <c r="N126" i="31" s="1"/>
  <c r="S12" i="2"/>
  <c r="S13" i="2" s="1"/>
  <c r="O71" i="2"/>
  <c r="M174" i="30"/>
  <c r="P204" i="30"/>
  <c r="P215" i="30" s="1"/>
  <c r="P65" i="2"/>
  <c r="P52" i="2" s="1"/>
  <c r="P35" i="5" s="1"/>
  <c r="P41" i="5" s="1"/>
  <c r="P170" i="4"/>
  <c r="S204" i="30"/>
  <c r="S215" i="30" s="1"/>
  <c r="R70" i="2"/>
  <c r="N10" i="2"/>
  <c r="P137" i="30"/>
  <c r="P131" i="2" s="1"/>
  <c r="P138" i="30"/>
  <c r="P132" i="2" s="1"/>
  <c r="P31" i="5"/>
  <c r="Q63" i="20" s="1"/>
  <c r="P130" i="3"/>
  <c r="P126" i="31" s="1"/>
  <c r="O12" i="2"/>
  <c r="O13" i="2" s="1"/>
  <c r="O138" i="30"/>
  <c r="O132" i="2" s="1"/>
  <c r="M173" i="30"/>
  <c r="M22" i="2" s="1"/>
  <c r="M23" i="2" s="1"/>
  <c r="N118" i="30"/>
  <c r="P118" i="30"/>
  <c r="S71" i="2"/>
  <c r="N31" i="5"/>
  <c r="O63" i="20" s="1"/>
  <c r="O31" i="5"/>
  <c r="P63" i="20" s="1"/>
  <c r="L71" i="9"/>
  <c r="M139" i="30"/>
  <c r="M133" i="2" s="1"/>
  <c r="M74" i="2" s="1"/>
  <c r="R31" i="5"/>
  <c r="S63" i="20" s="1"/>
  <c r="M52" i="2" l="1"/>
  <c r="M35" i="5" s="1"/>
  <c r="M41" i="5" s="1"/>
  <c r="N83" i="2"/>
  <c r="M122" i="2"/>
  <c r="M55" i="4" s="1"/>
  <c r="P83" i="2"/>
  <c r="S83" i="2"/>
  <c r="S39" i="5"/>
  <c r="T67" i="20" s="1"/>
  <c r="P72" i="31"/>
  <c r="N122" i="2"/>
  <c r="N55" i="4" s="1"/>
  <c r="N51" i="2"/>
  <c r="N40" i="5" s="1"/>
  <c r="O65" i="20" s="1"/>
  <c r="Q39" i="5"/>
  <c r="R67" i="20" s="1"/>
  <c r="R13" i="20"/>
  <c r="R14" i="20" s="1"/>
  <c r="Q105" i="2"/>
  <c r="R35" i="20" s="1"/>
  <c r="M18" i="9" s="1"/>
  <c r="Q132" i="3"/>
  <c r="Q151" i="31" s="1"/>
  <c r="O18" i="20"/>
  <c r="O19" i="20" s="1"/>
  <c r="N23" i="2"/>
  <c r="N33" i="5" s="1"/>
  <c r="P132" i="3"/>
  <c r="P151" i="31" s="1"/>
  <c r="Q32" i="5"/>
  <c r="Q13" i="20"/>
  <c r="Q14" i="20" s="1"/>
  <c r="Q16" i="2"/>
  <c r="Q17" i="2" s="1"/>
  <c r="O51" i="2"/>
  <c r="O40" i="5" s="1"/>
  <c r="P65" i="20" s="1"/>
  <c r="O39" i="5"/>
  <c r="P67" i="20" s="1"/>
  <c r="P105" i="2"/>
  <c r="Q35" i="20" s="1"/>
  <c r="L18" i="9" s="1"/>
  <c r="O105" i="2"/>
  <c r="P35" i="20" s="1"/>
  <c r="N60" i="21" s="1"/>
  <c r="P16" i="2"/>
  <c r="P17" i="2" s="1"/>
  <c r="P131" i="3"/>
  <c r="P148" i="31" s="1"/>
  <c r="S23" i="2"/>
  <c r="S24" i="2" s="1"/>
  <c r="N105" i="2"/>
  <c r="O35" i="20" s="1"/>
  <c r="J18" i="9" s="1"/>
  <c r="R83" i="2"/>
  <c r="R105" i="2"/>
  <c r="S35" i="20" s="1"/>
  <c r="O135" i="2"/>
  <c r="P18" i="20"/>
  <c r="P19" i="20" s="1"/>
  <c r="Q174" i="30"/>
  <c r="Q173" i="30"/>
  <c r="Q22" i="2" s="1"/>
  <c r="Q73" i="31"/>
  <c r="I9" i="9"/>
  <c r="I72" i="9"/>
  <c r="Q135" i="2"/>
  <c r="O23" i="2"/>
  <c r="O24" i="2" s="1"/>
  <c r="P73" i="31"/>
  <c r="R73" i="31"/>
  <c r="N73" i="2"/>
  <c r="Q140" i="30"/>
  <c r="Q141" i="30" s="1"/>
  <c r="S64" i="2"/>
  <c r="T18" i="20"/>
  <c r="T19" i="20" s="1"/>
  <c r="P73" i="2"/>
  <c r="S74" i="2"/>
  <c r="R73" i="2"/>
  <c r="R75" i="2" s="1"/>
  <c r="S140" i="30"/>
  <c r="S141" i="30" s="1"/>
  <c r="S73" i="2"/>
  <c r="R140" i="30"/>
  <c r="R141" i="30" s="1"/>
  <c r="R135" i="2"/>
  <c r="J9" i="9"/>
  <c r="J72" i="9"/>
  <c r="S11" i="5"/>
  <c r="T63" i="20"/>
  <c r="M135" i="2"/>
  <c r="M72" i="2"/>
  <c r="M75" i="2" s="1"/>
  <c r="R173" i="30"/>
  <c r="R22" i="2" s="1"/>
  <c r="P147" i="30"/>
  <c r="P151" i="30" s="1"/>
  <c r="O122" i="2"/>
  <c r="O55" i="4" s="1"/>
  <c r="L72" i="9"/>
  <c r="L9" i="9"/>
  <c r="N132" i="3"/>
  <c r="N151" i="31" s="1"/>
  <c r="O13" i="20"/>
  <c r="O14" i="20" s="1"/>
  <c r="N32" i="5"/>
  <c r="N131" i="3"/>
  <c r="M132" i="3"/>
  <c r="M151" i="31" s="1"/>
  <c r="N13" i="20"/>
  <c r="N14" i="20" s="1"/>
  <c r="M32" i="5"/>
  <c r="M131" i="3"/>
  <c r="N131" i="2"/>
  <c r="N140" i="30"/>
  <c r="N141" i="30" s="1"/>
  <c r="M140" i="30"/>
  <c r="M141" i="30" s="1"/>
  <c r="S125" i="31"/>
  <c r="M125" i="2"/>
  <c r="N156" i="30"/>
  <c r="N160" i="30" s="1"/>
  <c r="M33" i="5"/>
  <c r="M24" i="2"/>
  <c r="Q73" i="2"/>
  <c r="P140" i="30"/>
  <c r="P141" i="30" s="1"/>
  <c r="P72" i="2"/>
  <c r="P135" i="2"/>
  <c r="N162" i="31"/>
  <c r="N145" i="2"/>
  <c r="O168" i="4"/>
  <c r="O171" i="4" s="1"/>
  <c r="M64" i="2"/>
  <c r="N18" i="20"/>
  <c r="N19" i="20" s="1"/>
  <c r="M51" i="2"/>
  <c r="S132" i="3"/>
  <c r="S151" i="31" s="1"/>
  <c r="S131" i="3"/>
  <c r="S148" i="31" s="1"/>
  <c r="S32" i="5"/>
  <c r="T13" i="20"/>
  <c r="T14" i="20" s="1"/>
  <c r="S16" i="2"/>
  <c r="O73" i="2"/>
  <c r="N51" i="21"/>
  <c r="N52" i="21" s="1"/>
  <c r="K10" i="9"/>
  <c r="N73" i="31"/>
  <c r="Q125" i="31"/>
  <c r="O32" i="5"/>
  <c r="O132" i="3"/>
  <c r="O151" i="31" s="1"/>
  <c r="O131" i="3"/>
  <c r="O16" i="2"/>
  <c r="P13" i="20"/>
  <c r="P14" i="20" s="1"/>
  <c r="M9" i="9"/>
  <c r="M72" i="9"/>
  <c r="M73" i="9" s="1"/>
  <c r="N74" i="2"/>
  <c r="K73" i="9"/>
  <c r="M26" i="2"/>
  <c r="M31" i="2" s="1"/>
  <c r="M17" i="2"/>
  <c r="N72" i="31"/>
  <c r="S40" i="5"/>
  <c r="T65" i="20" s="1"/>
  <c r="S36" i="5"/>
  <c r="R16" i="2"/>
  <c r="R32" i="5"/>
  <c r="S13" i="20"/>
  <c r="S14" i="20" s="1"/>
  <c r="R132" i="3"/>
  <c r="R151" i="31" s="1"/>
  <c r="R131" i="3"/>
  <c r="M73" i="31"/>
  <c r="M39" i="5"/>
  <c r="N67" i="20" s="1"/>
  <c r="M105" i="2"/>
  <c r="N35" i="20" s="1"/>
  <c r="M83" i="2"/>
  <c r="S72" i="2"/>
  <c r="S135" i="2"/>
  <c r="O72" i="31"/>
  <c r="N16" i="2"/>
  <c r="Q72" i="2"/>
  <c r="O140" i="30"/>
  <c r="O141" i="30" s="1"/>
  <c r="O73" i="31"/>
  <c r="P174" i="30"/>
  <c r="P173" i="30"/>
  <c r="P22" i="2" s="1"/>
  <c r="C11" i="6" l="1"/>
  <c r="Q74" i="31"/>
  <c r="N36" i="5"/>
  <c r="P60" i="21"/>
  <c r="P152" i="31"/>
  <c r="O36" i="5"/>
  <c r="N24" i="2"/>
  <c r="M60" i="21"/>
  <c r="Q133" i="3"/>
  <c r="Q134" i="3" s="1"/>
  <c r="O60" i="21"/>
  <c r="Q152" i="31"/>
  <c r="P133" i="3"/>
  <c r="P134" i="3" s="1"/>
  <c r="K18" i="9"/>
  <c r="S33" i="5"/>
  <c r="Q51" i="2"/>
  <c r="Q64" i="2"/>
  <c r="R18" i="20"/>
  <c r="R19" i="20" s="1"/>
  <c r="Q23" i="2"/>
  <c r="R106" i="2"/>
  <c r="R42" i="5" s="1"/>
  <c r="S68" i="20" s="1"/>
  <c r="S34" i="20"/>
  <c r="O33" i="5"/>
  <c r="P75" i="2"/>
  <c r="P106" i="2" s="1"/>
  <c r="P42" i="5" s="1"/>
  <c r="Q68" i="20" s="1"/>
  <c r="L51" i="21"/>
  <c r="L52" i="21" s="1"/>
  <c r="L17" i="21" s="1"/>
  <c r="I10" i="9"/>
  <c r="I73" i="9"/>
  <c r="S133" i="3"/>
  <c r="S134" i="3" s="1"/>
  <c r="S75" i="2"/>
  <c r="T34" i="20" s="1"/>
  <c r="Q75" i="2"/>
  <c r="R34" i="20" s="1"/>
  <c r="P61" i="21" s="1"/>
  <c r="Q18" i="20"/>
  <c r="Q19" i="20" s="1"/>
  <c r="P64" i="2"/>
  <c r="P51" i="2"/>
  <c r="P23" i="2"/>
  <c r="S72" i="31"/>
  <c r="S26" i="2"/>
  <c r="S17" i="2"/>
  <c r="N148" i="31"/>
  <c r="N133" i="3"/>
  <c r="N134" i="3" s="1"/>
  <c r="K11" i="9"/>
  <c r="M11" i="9"/>
  <c r="O17" i="2"/>
  <c r="O26" i="2"/>
  <c r="M36" i="5"/>
  <c r="M40" i="5"/>
  <c r="N65" i="20" s="1"/>
  <c r="M51" i="21"/>
  <c r="M52" i="21" s="1"/>
  <c r="N53" i="21" s="1"/>
  <c r="J10" i="9"/>
  <c r="F72" i="9"/>
  <c r="P51" i="21"/>
  <c r="P52" i="21" s="1"/>
  <c r="M10" i="9"/>
  <c r="R64" i="2"/>
  <c r="S18" i="20"/>
  <c r="S19" i="20" s="1"/>
  <c r="R51" i="2"/>
  <c r="R23" i="2"/>
  <c r="M148" i="31"/>
  <c r="M133" i="3"/>
  <c r="M134" i="3" s="1"/>
  <c r="N17" i="21"/>
  <c r="O162" i="31"/>
  <c r="P168" i="4"/>
  <c r="P171" i="4" s="1"/>
  <c r="O145" i="2"/>
  <c r="N34" i="20"/>
  <c r="M106" i="2"/>
  <c r="M42" i="5" s="1"/>
  <c r="N68" i="20" s="1"/>
  <c r="O51" i="21"/>
  <c r="O52" i="21" s="1"/>
  <c r="L10" i="9"/>
  <c r="L73" i="9"/>
  <c r="R17" i="2"/>
  <c r="Q72" i="31"/>
  <c r="R72" i="31"/>
  <c r="N17" i="2"/>
  <c r="N26" i="2"/>
  <c r="N135" i="2"/>
  <c r="N72" i="2"/>
  <c r="N75" i="2" s="1"/>
  <c r="O72" i="2"/>
  <c r="O75" i="2" s="1"/>
  <c r="Q147" i="30"/>
  <c r="Q151" i="30" s="1"/>
  <c r="P122" i="2"/>
  <c r="P55" i="4" s="1"/>
  <c r="N125" i="2"/>
  <c r="O156" i="30"/>
  <c r="O160" i="30" s="1"/>
  <c r="S152" i="31"/>
  <c r="R148" i="31"/>
  <c r="S74" i="31" s="1"/>
  <c r="R133" i="3"/>
  <c r="R134" i="3" s="1"/>
  <c r="O148" i="31"/>
  <c r="O133" i="3"/>
  <c r="O134" i="3" s="1"/>
  <c r="J73" i="9"/>
  <c r="K74" i="9" s="1"/>
  <c r="L60" i="21"/>
  <c r="I18" i="9"/>
  <c r="M186" i="30"/>
  <c r="M189" i="30" s="1"/>
  <c r="M33" i="2" s="1"/>
  <c r="M34" i="2" s="1"/>
  <c r="Q75" i="31" l="1"/>
  <c r="Q77" i="31" s="1"/>
  <c r="Q106" i="2"/>
  <c r="Q42" i="5" s="1"/>
  <c r="R68" i="20" s="1"/>
  <c r="Q34" i="20"/>
  <c r="O61" i="21" s="1"/>
  <c r="S106" i="2"/>
  <c r="S42" i="5" s="1"/>
  <c r="T68" i="20" s="1"/>
  <c r="Q26" i="2"/>
  <c r="Q24" i="2"/>
  <c r="Q33" i="5"/>
  <c r="Q40" i="5"/>
  <c r="R65" i="20" s="1"/>
  <c r="Q36" i="5"/>
  <c r="L53" i="21"/>
  <c r="I74" i="9"/>
  <c r="I11" i="9"/>
  <c r="M63" i="2"/>
  <c r="M68" i="2" s="1"/>
  <c r="M77" i="2" s="1"/>
  <c r="M85" i="2" s="1"/>
  <c r="M144" i="4" s="1"/>
  <c r="M147" i="4" s="1"/>
  <c r="M43" i="2"/>
  <c r="M37" i="2"/>
  <c r="R40" i="5"/>
  <c r="S65" i="20" s="1"/>
  <c r="R36" i="5"/>
  <c r="L74" i="9"/>
  <c r="L11" i="9"/>
  <c r="P53" i="21"/>
  <c r="P17" i="21"/>
  <c r="N152" i="31"/>
  <c r="N74" i="31"/>
  <c r="N75" i="31" s="1"/>
  <c r="C12" i="10"/>
  <c r="F17" i="21"/>
  <c r="M152" i="31"/>
  <c r="M74" i="31"/>
  <c r="M75" i="31" s="1"/>
  <c r="P156" i="30"/>
  <c r="P160" i="30" s="1"/>
  <c r="O125" i="2"/>
  <c r="R24" i="2"/>
  <c r="R33" i="5"/>
  <c r="R26" i="2"/>
  <c r="S75" i="31"/>
  <c r="R152" i="31"/>
  <c r="R74" i="31"/>
  <c r="R75" i="31" s="1"/>
  <c r="O53" i="21"/>
  <c r="O17" i="21"/>
  <c r="P34" i="20"/>
  <c r="O106" i="2"/>
  <c r="O42" i="5" s="1"/>
  <c r="P68" i="20" s="1"/>
  <c r="P36" i="5"/>
  <c r="P40" i="5"/>
  <c r="Q65" i="20" s="1"/>
  <c r="L61" i="21"/>
  <c r="J19" i="9"/>
  <c r="N106" i="2"/>
  <c r="N42" i="5" s="1"/>
  <c r="O68" i="20" s="1"/>
  <c r="O34" i="20"/>
  <c r="P33" i="5"/>
  <c r="P24" i="2"/>
  <c r="P26" i="2"/>
  <c r="O152" i="31"/>
  <c r="O74" i="31"/>
  <c r="O75" i="31" s="1"/>
  <c r="P74" i="31"/>
  <c r="P75" i="31" s="1"/>
  <c r="N33" i="20"/>
  <c r="M48" i="2"/>
  <c r="M74" i="9"/>
  <c r="Q168" i="4"/>
  <c r="Q171" i="4" s="1"/>
  <c r="P145" i="2"/>
  <c r="P162" i="31"/>
  <c r="R147" i="30"/>
  <c r="R151" i="30" s="1"/>
  <c r="Q122" i="2"/>
  <c r="Q55" i="4" s="1"/>
  <c r="M53" i="21"/>
  <c r="M17" i="21"/>
  <c r="J11" i="9"/>
  <c r="J74" i="9"/>
  <c r="Q117" i="31" l="1"/>
  <c r="M19" i="9"/>
  <c r="M117" i="31"/>
  <c r="M77" i="31"/>
  <c r="K19" i="9"/>
  <c r="M61" i="21"/>
  <c r="R168" i="4"/>
  <c r="R171" i="4" s="1"/>
  <c r="Q145" i="2"/>
  <c r="Q162" i="31"/>
  <c r="N77" i="31"/>
  <c r="N117" i="31"/>
  <c r="R122" i="2"/>
  <c r="R55" i="4" s="1"/>
  <c r="S147" i="30"/>
  <c r="S151" i="30" s="1"/>
  <c r="S122" i="2" s="1"/>
  <c r="S55" i="4" s="1"/>
  <c r="N61" i="21"/>
  <c r="L19" i="9"/>
  <c r="P77" i="31"/>
  <c r="P117" i="31"/>
  <c r="P125" i="2"/>
  <c r="Q156" i="30"/>
  <c r="Q160" i="30" s="1"/>
  <c r="Q87" i="31"/>
  <c r="O117" i="31"/>
  <c r="O77" i="31"/>
  <c r="S117" i="31"/>
  <c r="S77" i="31"/>
  <c r="R117" i="31"/>
  <c r="R77" i="31"/>
  <c r="M174" i="4"/>
  <c r="M53" i="2"/>
  <c r="M123" i="30" s="1"/>
  <c r="M122" i="30" s="1"/>
  <c r="M153" i="4"/>
  <c r="M131" i="4" s="1"/>
  <c r="M152" i="4"/>
  <c r="M154" i="4" s="1"/>
  <c r="P87" i="31" l="1"/>
  <c r="R156" i="30"/>
  <c r="R160" i="30" s="1"/>
  <c r="Q125" i="2"/>
  <c r="M129" i="4"/>
  <c r="M130" i="4" s="1"/>
  <c r="M31" i="4" s="1"/>
  <c r="M30" i="4"/>
  <c r="M111" i="4"/>
  <c r="M118" i="3"/>
  <c r="M117" i="3" s="1"/>
  <c r="N21" i="20"/>
  <c r="N23" i="20" s="1"/>
  <c r="M56" i="2"/>
  <c r="R87" i="31"/>
  <c r="R162" i="31"/>
  <c r="S168" i="4"/>
  <c r="S171" i="4" s="1"/>
  <c r="R145" i="2"/>
  <c r="M87" i="31"/>
  <c r="N87" i="31"/>
  <c r="S87" i="31"/>
  <c r="O87" i="31"/>
  <c r="M12" i="4" l="1"/>
  <c r="M114" i="4"/>
  <c r="I85" i="9"/>
  <c r="I13" i="9" s="1"/>
  <c r="M34" i="5"/>
  <c r="M37" i="5" s="1"/>
  <c r="L54" i="21"/>
  <c r="M57" i="2"/>
  <c r="I81" i="9" s="1"/>
  <c r="M100" i="31"/>
  <c r="M32" i="4"/>
  <c r="M33" i="4" s="1"/>
  <c r="R125" i="2"/>
  <c r="S156" i="30"/>
  <c r="S160" i="30" s="1"/>
  <c r="S125" i="2" s="1"/>
  <c r="N25" i="20"/>
  <c r="N31" i="20"/>
  <c r="N24" i="20"/>
  <c r="S145" i="2"/>
  <c r="S162" i="31"/>
  <c r="M155" i="4"/>
  <c r="M157" i="4" s="1"/>
  <c r="M133" i="4"/>
  <c r="M113" i="4" l="1"/>
  <c r="M95" i="4" s="1"/>
  <c r="N27" i="4"/>
  <c r="N52" i="20"/>
  <c r="N36" i="20"/>
  <c r="M13" i="4"/>
  <c r="M132" i="4"/>
  <c r="I83" i="9"/>
  <c r="I88" i="9" s="1"/>
  <c r="I86" i="9"/>
  <c r="N64" i="20"/>
  <c r="M38" i="5"/>
  <c r="N66" i="20" s="1"/>
  <c r="M134" i="4"/>
  <c r="M135" i="4"/>
  <c r="M99" i="31"/>
  <c r="M91" i="2"/>
  <c r="M92" i="2" l="1"/>
  <c r="N38" i="20" s="1"/>
  <c r="N40" i="20" s="1"/>
  <c r="M15" i="4"/>
  <c r="M154" i="31" s="1"/>
  <c r="M160" i="31" s="1"/>
  <c r="I87" i="9"/>
  <c r="I15" i="9" s="1"/>
  <c r="M163" i="4"/>
  <c r="M177" i="4"/>
  <c r="M88" i="2"/>
  <c r="M102" i="31"/>
  <c r="M43" i="5"/>
  <c r="I14" i="9"/>
  <c r="N11" i="4"/>
  <c r="N36" i="4"/>
  <c r="M211" i="30"/>
  <c r="M90" i="31"/>
  <c r="M103" i="31" s="1"/>
  <c r="M107" i="31" s="1"/>
  <c r="M190" i="3"/>
  <c r="M191" i="3" s="1"/>
  <c r="M197" i="3" s="1"/>
  <c r="M30" i="3"/>
  <c r="M30" i="30"/>
  <c r="M82" i="4" l="1"/>
  <c r="M137" i="2"/>
  <c r="M142" i="2" s="1"/>
  <c r="M103" i="4"/>
  <c r="I16" i="9"/>
  <c r="I41" i="9" s="1"/>
  <c r="I34" i="9" s="1"/>
  <c r="I89" i="9"/>
  <c r="L55" i="21" s="1"/>
  <c r="L18" i="21" s="1"/>
  <c r="I17" i="9"/>
  <c r="L59" i="21" s="1"/>
  <c r="N125" i="4"/>
  <c r="N126" i="4" s="1"/>
  <c r="M48" i="5"/>
  <c r="N69" i="20"/>
  <c r="M209" i="30"/>
  <c r="M216" i="30" s="1"/>
  <c r="M217" i="30" s="1"/>
  <c r="M176" i="4"/>
  <c r="N30" i="2"/>
  <c r="N64" i="4"/>
  <c r="N61" i="4"/>
  <c r="M40" i="31"/>
  <c r="M41" i="31" s="1"/>
  <c r="N54" i="20"/>
  <c r="N189" i="3"/>
  <c r="N42" i="20"/>
  <c r="N47" i="20" l="1"/>
  <c r="L56" i="21"/>
  <c r="L62" i="21" s="1"/>
  <c r="I20" i="9"/>
  <c r="I23" i="9" s="1"/>
  <c r="I146" i="9" s="1"/>
  <c r="I147" i="9" s="1"/>
  <c r="I97" i="9" s="1"/>
  <c r="I36" i="9"/>
  <c r="L25" i="21"/>
  <c r="I33" i="9"/>
  <c r="L86" i="21"/>
  <c r="N68" i="31"/>
  <c r="O49" i="20"/>
  <c r="N181" i="30"/>
  <c r="N183" i="30" s="1"/>
  <c r="O37" i="20" s="1"/>
  <c r="N30" i="31"/>
  <c r="N213" i="30"/>
  <c r="M39" i="2"/>
  <c r="N49" i="2"/>
  <c r="N31" i="2"/>
  <c r="M90" i="2"/>
  <c r="M179" i="4"/>
  <c r="L69" i="21" l="1"/>
  <c r="L57" i="21"/>
  <c r="L19" i="21"/>
  <c r="I98" i="9"/>
  <c r="L106" i="21"/>
  <c r="I48" i="9"/>
  <c r="I149" i="9"/>
  <c r="I150" i="9" s="1"/>
  <c r="I102" i="9" s="1"/>
  <c r="M40" i="2"/>
  <c r="M160" i="4"/>
  <c r="L28" i="21"/>
  <c r="L89" i="21"/>
  <c r="L26" i="21"/>
  <c r="L87" i="21"/>
  <c r="M165" i="31"/>
  <c r="M166" i="31" s="1"/>
  <c r="M168" i="31" s="1"/>
  <c r="M170" i="31" s="1"/>
  <c r="N173" i="4"/>
  <c r="M147" i="2"/>
  <c r="M149" i="2" s="1"/>
  <c r="M151" i="2" s="1"/>
  <c r="M153" i="2" s="1"/>
  <c r="L73" i="21"/>
  <c r="L70" i="21"/>
  <c r="L44" i="21" s="1"/>
  <c r="L20" i="21"/>
  <c r="L71" i="21"/>
  <c r="L45" i="21" s="1"/>
  <c r="N41" i="20"/>
  <c r="N44" i="20" s="1"/>
  <c r="M94" i="2"/>
  <c r="M99" i="2" s="1"/>
  <c r="M100" i="2" s="1"/>
  <c r="N186" i="30"/>
  <c r="N189" i="30" s="1"/>
  <c r="N33" i="2" s="1"/>
  <c r="N34" i="2" s="1"/>
  <c r="I152" i="9" l="1"/>
  <c r="I153" i="9" s="1"/>
  <c r="I156" i="9" s="1"/>
  <c r="I157" i="9" s="1"/>
  <c r="I112" i="9" s="1"/>
  <c r="L33" i="21"/>
  <c r="I49" i="9"/>
  <c r="L100" i="21"/>
  <c r="I52" i="9"/>
  <c r="I103" i="9"/>
  <c r="J96" i="9"/>
  <c r="L34" i="21"/>
  <c r="L107" i="21"/>
  <c r="I117" i="9"/>
  <c r="M161" i="4"/>
  <c r="M162" i="4" s="1"/>
  <c r="N55" i="20"/>
  <c r="N37" i="2"/>
  <c r="N43" i="2"/>
  <c r="N63" i="2"/>
  <c r="N68" i="2" s="1"/>
  <c r="N77" i="2" s="1"/>
  <c r="N85" i="2" s="1"/>
  <c r="N144" i="4" s="1"/>
  <c r="N147" i="4" s="1"/>
  <c r="M79" i="4"/>
  <c r="M76" i="4" s="1"/>
  <c r="M107" i="4"/>
  <c r="M108" i="4" s="1"/>
  <c r="M110" i="4" s="1"/>
  <c r="M94" i="4" s="1"/>
  <c r="N96" i="2"/>
  <c r="M116" i="2"/>
  <c r="N48" i="2"/>
  <c r="O33" i="20"/>
  <c r="N57" i="20"/>
  <c r="L118" i="21" l="1"/>
  <c r="L119" i="21" s="1"/>
  <c r="I60" i="9"/>
  <c r="I113" i="9"/>
  <c r="L36" i="21"/>
  <c r="J101" i="9"/>
  <c r="I116" i="9"/>
  <c r="L101" i="21"/>
  <c r="J133" i="9"/>
  <c r="J47" i="9"/>
  <c r="M105" i="21"/>
  <c r="L35" i="21"/>
  <c r="I53" i="9"/>
  <c r="I107" i="9"/>
  <c r="I24" i="9"/>
  <c r="M179" i="30"/>
  <c r="M119" i="2"/>
  <c r="M128" i="2" s="1"/>
  <c r="M155" i="2" s="1"/>
  <c r="N46" i="20"/>
  <c r="N48" i="20" s="1"/>
  <c r="N51" i="20" s="1"/>
  <c r="N149" i="4"/>
  <c r="N151" i="4" s="1"/>
  <c r="N152" i="4" s="1"/>
  <c r="M111" i="31"/>
  <c r="M110" i="31" s="1"/>
  <c r="M74" i="4"/>
  <c r="M75" i="4"/>
  <c r="N73" i="4"/>
  <c r="M29" i="3"/>
  <c r="M29" i="30"/>
  <c r="M102" i="2"/>
  <c r="N53" i="2"/>
  <c r="N123" i="30" s="1"/>
  <c r="N122" i="30" s="1"/>
  <c r="N174" i="4"/>
  <c r="L74" i="21" l="1"/>
  <c r="I25" i="9"/>
  <c r="I37" i="9" s="1"/>
  <c r="L29" i="21" s="1"/>
  <c r="M108" i="21"/>
  <c r="J111" i="9"/>
  <c r="I119" i="9"/>
  <c r="I121" i="9" s="1"/>
  <c r="L40" i="21"/>
  <c r="M99" i="21"/>
  <c r="J132" i="9"/>
  <c r="J51" i="9"/>
  <c r="L39" i="21"/>
  <c r="I61" i="9"/>
  <c r="I56" i="9"/>
  <c r="L112" i="21"/>
  <c r="I108" i="9"/>
  <c r="N153" i="4"/>
  <c r="N131" i="4" s="1"/>
  <c r="N118" i="3"/>
  <c r="N117" i="3" s="1"/>
  <c r="N111" i="4"/>
  <c r="N56" i="2"/>
  <c r="O21" i="20"/>
  <c r="O23" i="20" s="1"/>
  <c r="M129" i="31"/>
  <c r="M130" i="31" s="1"/>
  <c r="M142" i="31" s="1"/>
  <c r="M172" i="31" s="1"/>
  <c r="N154" i="4"/>
  <c r="N30" i="4" s="1"/>
  <c r="N129" i="4"/>
  <c r="N130" i="4" s="1"/>
  <c r="N31" i="4" s="1"/>
  <c r="I28" i="9" l="1"/>
  <c r="J27" i="9" s="1"/>
  <c r="L22" i="21"/>
  <c r="L23" i="21" s="1"/>
  <c r="L75" i="21"/>
  <c r="M117" i="21"/>
  <c r="J59" i="9"/>
  <c r="J135" i="9"/>
  <c r="J137" i="9" s="1"/>
  <c r="M65" i="21" s="1"/>
  <c r="L38" i="21"/>
  <c r="L41" i="21" s="1"/>
  <c r="L68" i="21" s="1"/>
  <c r="L43" i="21" s="1"/>
  <c r="J106" i="9"/>
  <c r="I118" i="9"/>
  <c r="I120" i="9" s="1"/>
  <c r="I122" i="9" s="1"/>
  <c r="I35" i="9" s="1"/>
  <c r="I38" i="9" s="1"/>
  <c r="L113" i="21"/>
  <c r="M102" i="21"/>
  <c r="L37" i="21"/>
  <c r="I57" i="9"/>
  <c r="M113" i="31"/>
  <c r="N100" i="31"/>
  <c r="N32" i="4"/>
  <c r="N33" i="4" s="1"/>
  <c r="N155" i="4"/>
  <c r="N157" i="4" s="1"/>
  <c r="N12" i="4"/>
  <c r="N133" i="4"/>
  <c r="O24" i="20"/>
  <c r="O31" i="20"/>
  <c r="O25" i="20"/>
  <c r="N57" i="2"/>
  <c r="J81" i="9" s="1"/>
  <c r="J85" i="9"/>
  <c r="J13" i="9" s="1"/>
  <c r="N34" i="5"/>
  <c r="N37" i="5" s="1"/>
  <c r="M54" i="21"/>
  <c r="L27" i="21" l="1"/>
  <c r="L30" i="21" s="1"/>
  <c r="I123" i="9"/>
  <c r="L90" i="21"/>
  <c r="L88" i="21"/>
  <c r="M63" i="21"/>
  <c r="M120" i="21"/>
  <c r="J55" i="9"/>
  <c r="M111" i="21"/>
  <c r="J134" i="9"/>
  <c r="N99" i="31"/>
  <c r="O27" i="4"/>
  <c r="N113" i="4"/>
  <c r="N95" i="4" s="1"/>
  <c r="N38" i="5"/>
  <c r="O66" i="20" s="1"/>
  <c r="O64" i="20"/>
  <c r="O52" i="20"/>
  <c r="O36" i="20"/>
  <c r="N91" i="2"/>
  <c r="J83" i="9"/>
  <c r="J88" i="9" s="1"/>
  <c r="J86" i="9"/>
  <c r="N135" i="4"/>
  <c r="N134" i="4"/>
  <c r="N132" i="4"/>
  <c r="N13" i="4"/>
  <c r="N92" i="2" s="1"/>
  <c r="L91" i="21" l="1"/>
  <c r="M114" i="21"/>
  <c r="J138" i="9"/>
  <c r="J21" i="9" s="1"/>
  <c r="J136" i="9"/>
  <c r="M64" i="21" s="1"/>
  <c r="M66" i="21" s="1"/>
  <c r="M21" i="21" s="1"/>
  <c r="N43" i="5"/>
  <c r="N48" i="5" s="1"/>
  <c r="J14" i="9"/>
  <c r="N211" i="30"/>
  <c r="N190" i="3"/>
  <c r="N191" i="3" s="1"/>
  <c r="N197" i="3" s="1"/>
  <c r="N90" i="31"/>
  <c r="N103" i="31" s="1"/>
  <c r="N107" i="31" s="1"/>
  <c r="N88" i="2"/>
  <c r="N102" i="31"/>
  <c r="N177" i="4"/>
  <c r="N163" i="4"/>
  <c r="N15" i="4"/>
  <c r="J87" i="9"/>
  <c r="J15" i="9" s="1"/>
  <c r="O38" i="20"/>
  <c r="O40" i="20" s="1"/>
  <c r="N30" i="30"/>
  <c r="N30" i="3"/>
  <c r="O11" i="4"/>
  <c r="O36" i="4"/>
  <c r="J16" i="9" l="1"/>
  <c r="J41" i="9" s="1"/>
  <c r="J34" i="9" s="1"/>
  <c r="J89" i="9"/>
  <c r="M55" i="21" s="1"/>
  <c r="M56" i="21" s="1"/>
  <c r="O69" i="20"/>
  <c r="N154" i="31"/>
  <c r="N160" i="31" s="1"/>
  <c r="N137" i="2"/>
  <c r="N103" i="4"/>
  <c r="N82" i="4"/>
  <c r="O42" i="20"/>
  <c r="J17" i="9"/>
  <c r="M59" i="21" s="1"/>
  <c r="N40" i="31"/>
  <c r="N41" i="31" s="1"/>
  <c r="O54" i="20"/>
  <c r="O189" i="3"/>
  <c r="N176" i="4"/>
  <c r="N209" i="30"/>
  <c r="N216" i="30" s="1"/>
  <c r="N217" i="30" s="1"/>
  <c r="O30" i="2"/>
  <c r="O64" i="4"/>
  <c r="O61" i="4"/>
  <c r="O125" i="4"/>
  <c r="O126" i="4" s="1"/>
  <c r="M18" i="21" l="1"/>
  <c r="J20" i="9"/>
  <c r="J23" i="9" s="1"/>
  <c r="J146" i="9" s="1"/>
  <c r="J147" i="9" s="1"/>
  <c r="J97" i="9" s="1"/>
  <c r="O181" i="30"/>
  <c r="O183" i="30" s="1"/>
  <c r="P37" i="20" s="1"/>
  <c r="O68" i="31"/>
  <c r="O30" i="31"/>
  <c r="P49" i="20"/>
  <c r="N90" i="2"/>
  <c r="N179" i="4"/>
  <c r="O49" i="2"/>
  <c r="O31" i="2"/>
  <c r="J33" i="9"/>
  <c r="M25" i="21"/>
  <c r="M86" i="21"/>
  <c r="J36" i="9"/>
  <c r="M19" i="21"/>
  <c r="M62" i="21"/>
  <c r="M69" i="21"/>
  <c r="M57" i="21"/>
  <c r="O47" i="20"/>
  <c r="N142" i="2"/>
  <c r="O213" i="30"/>
  <c r="N39" i="2"/>
  <c r="J98" i="9" l="1"/>
  <c r="M106" i="21"/>
  <c r="J48" i="9"/>
  <c r="M26" i="21"/>
  <c r="M87" i="21"/>
  <c r="M28" i="21"/>
  <c r="M89" i="21"/>
  <c r="M70" i="21"/>
  <c r="M44" i="21" s="1"/>
  <c r="M73" i="21"/>
  <c r="M71" i="21"/>
  <c r="M45" i="21" s="1"/>
  <c r="M20" i="21"/>
  <c r="O186" i="30"/>
  <c r="O189" i="30" s="1"/>
  <c r="O33" i="2" s="1"/>
  <c r="O34" i="2" s="1"/>
  <c r="O41" i="20"/>
  <c r="O44" i="20" s="1"/>
  <c r="N94" i="2"/>
  <c r="N99" i="2" s="1"/>
  <c r="N100" i="2" s="1"/>
  <c r="J149" i="9"/>
  <c r="J150" i="9" s="1"/>
  <c r="J102" i="9" s="1"/>
  <c r="N40" i="2"/>
  <c r="N160" i="4"/>
  <c r="O173" i="4"/>
  <c r="N165" i="31"/>
  <c r="N166" i="31" s="1"/>
  <c r="N168" i="31" s="1"/>
  <c r="N170" i="31" s="1"/>
  <c r="N147" i="2"/>
  <c r="N149" i="2" s="1"/>
  <c r="N151" i="2" s="1"/>
  <c r="N153" i="2" s="1"/>
  <c r="J152" i="9" l="1"/>
  <c r="J153" i="9" s="1"/>
  <c r="J107" i="9" s="1"/>
  <c r="J103" i="9"/>
  <c r="M100" i="21"/>
  <c r="J52" i="9"/>
  <c r="M33" i="21"/>
  <c r="J49" i="9"/>
  <c r="M107" i="21"/>
  <c r="K96" i="9"/>
  <c r="M34" i="21"/>
  <c r="J117" i="9"/>
  <c r="O63" i="2"/>
  <c r="O68" i="2" s="1"/>
  <c r="O77" i="2" s="1"/>
  <c r="O85" i="2" s="1"/>
  <c r="O144" i="4" s="1"/>
  <c r="O147" i="4" s="1"/>
  <c r="O37" i="2"/>
  <c r="O43" i="2"/>
  <c r="N107" i="4"/>
  <c r="N108" i="4" s="1"/>
  <c r="N110" i="4" s="1"/>
  <c r="N94" i="4" s="1"/>
  <c r="N116" i="2"/>
  <c r="N79" i="4"/>
  <c r="N76" i="4" s="1"/>
  <c r="O96" i="2"/>
  <c r="O57" i="20"/>
  <c r="N161" i="4"/>
  <c r="N162" i="4" s="1"/>
  <c r="O55" i="20"/>
  <c r="P33" i="20"/>
  <c r="O48" i="2"/>
  <c r="J156" i="9" l="1"/>
  <c r="J157" i="9" s="1"/>
  <c r="J112" i="9" s="1"/>
  <c r="J60" i="9" s="1"/>
  <c r="K47" i="9"/>
  <c r="N105" i="21"/>
  <c r="K133" i="9"/>
  <c r="M35" i="21"/>
  <c r="J53" i="9"/>
  <c r="K101" i="9"/>
  <c r="M101" i="21"/>
  <c r="M36" i="21"/>
  <c r="J116" i="9"/>
  <c r="M112" i="21"/>
  <c r="J56" i="9"/>
  <c r="J108" i="9"/>
  <c r="O149" i="4"/>
  <c r="O151" i="4" s="1"/>
  <c r="O152" i="4" s="1"/>
  <c r="O53" i="2"/>
  <c r="O123" i="30" s="1"/>
  <c r="O122" i="30" s="1"/>
  <c r="N29" i="3"/>
  <c r="N29" i="30"/>
  <c r="O174" i="4"/>
  <c r="N74" i="4"/>
  <c r="N75" i="4"/>
  <c r="O73" i="4"/>
  <c r="N111" i="31"/>
  <c r="N110" i="31" s="1"/>
  <c r="N119" i="2"/>
  <c r="N128" i="2" s="1"/>
  <c r="N155" i="2" s="1"/>
  <c r="O46" i="20"/>
  <c r="O48" i="20" s="1"/>
  <c r="O51" i="20" s="1"/>
  <c r="N179" i="30"/>
  <c r="N102" i="2"/>
  <c r="M118" i="21" l="1"/>
  <c r="M119" i="21" s="1"/>
  <c r="J24" i="9"/>
  <c r="M74" i="21" s="1"/>
  <c r="J113" i="9"/>
  <c r="M40" i="21" s="1"/>
  <c r="N108" i="21"/>
  <c r="M37" i="21"/>
  <c r="J57" i="9"/>
  <c r="M39" i="21"/>
  <c r="J61" i="9"/>
  <c r="K51" i="9"/>
  <c r="K132" i="9"/>
  <c r="N99" i="21"/>
  <c r="M113" i="21"/>
  <c r="M38" i="21"/>
  <c r="J118" i="9"/>
  <c r="J120" i="9" s="1"/>
  <c r="K106" i="9"/>
  <c r="O153" i="4"/>
  <c r="O131" i="4" s="1"/>
  <c r="N129" i="31"/>
  <c r="N130" i="31" s="1"/>
  <c r="N142" i="31" s="1"/>
  <c r="N172" i="31" s="1"/>
  <c r="O118" i="3"/>
  <c r="O117" i="3" s="1"/>
  <c r="O111" i="4"/>
  <c r="P21" i="20"/>
  <c r="P23" i="20" s="1"/>
  <c r="O56" i="2"/>
  <c r="O154" i="4"/>
  <c r="O30" i="4" s="1"/>
  <c r="O129" i="4"/>
  <c r="O130" i="4" s="1"/>
  <c r="O31" i="4" s="1"/>
  <c r="J119" i="9" l="1"/>
  <c r="J121" i="9" s="1"/>
  <c r="J122" i="9" s="1"/>
  <c r="J35" i="9" s="1"/>
  <c r="J25" i="9"/>
  <c r="J37" i="9" s="1"/>
  <c r="M29" i="21" s="1"/>
  <c r="K111" i="9"/>
  <c r="K135" i="9" s="1"/>
  <c r="M41" i="21"/>
  <c r="M68" i="21" s="1"/>
  <c r="M43" i="21" s="1"/>
  <c r="K134" i="9"/>
  <c r="N114" i="21" s="1"/>
  <c r="K55" i="9"/>
  <c r="N111" i="21"/>
  <c r="M22" i="21"/>
  <c r="M23" i="21" s="1"/>
  <c r="M75" i="21"/>
  <c r="N102" i="21"/>
  <c r="O100" i="31"/>
  <c r="O32" i="4"/>
  <c r="O33" i="4" s="1"/>
  <c r="O155" i="4"/>
  <c r="O157" i="4" s="1"/>
  <c r="O12" i="4"/>
  <c r="O57" i="2"/>
  <c r="K81" i="9" s="1"/>
  <c r="K85" i="9"/>
  <c r="K13" i="9" s="1"/>
  <c r="N54" i="21"/>
  <c r="O34" i="5"/>
  <c r="O37" i="5" s="1"/>
  <c r="P24" i="20"/>
  <c r="P31" i="20"/>
  <c r="P25" i="20"/>
  <c r="N113" i="31"/>
  <c r="O133" i="4"/>
  <c r="K59" i="9" l="1"/>
  <c r="N117" i="21"/>
  <c r="J28" i="9"/>
  <c r="K27" i="9" s="1"/>
  <c r="K136" i="9"/>
  <c r="N64" i="21" s="1"/>
  <c r="J123" i="9"/>
  <c r="N63" i="21"/>
  <c r="N120" i="21"/>
  <c r="K137" i="9"/>
  <c r="N65" i="21" s="1"/>
  <c r="K138" i="9"/>
  <c r="K21" i="9" s="1"/>
  <c r="M90" i="21"/>
  <c r="M27" i="21"/>
  <c r="M30" i="21" s="1"/>
  <c r="J38" i="9"/>
  <c r="M88" i="21"/>
  <c r="O99" i="31"/>
  <c r="P27" i="4"/>
  <c r="O113" i="4"/>
  <c r="O95" i="4" s="1"/>
  <c r="P64" i="20"/>
  <c r="O38" i="5"/>
  <c r="P66" i="20" s="1"/>
  <c r="O135" i="4"/>
  <c r="O134" i="4"/>
  <c r="P52" i="20"/>
  <c r="P36" i="20"/>
  <c r="K83" i="9"/>
  <c r="K88" i="9" s="1"/>
  <c r="K86" i="9"/>
  <c r="O91" i="2"/>
  <c r="O132" i="4"/>
  <c r="O13" i="4"/>
  <c r="O92" i="2" s="1"/>
  <c r="M91" i="21" l="1"/>
  <c r="N66" i="21"/>
  <c r="N21" i="21" s="1"/>
  <c r="O15" i="4"/>
  <c r="O103" i="4" s="1"/>
  <c r="K87" i="9"/>
  <c r="K15" i="9" s="1"/>
  <c r="O177" i="4"/>
  <c r="O102" i="31"/>
  <c r="O88" i="2"/>
  <c r="O163" i="4"/>
  <c r="K14" i="9"/>
  <c r="P38" i="20"/>
  <c r="P40" i="20" s="1"/>
  <c r="O190" i="3"/>
  <c r="O191" i="3" s="1"/>
  <c r="O197" i="3" s="1"/>
  <c r="O211" i="30"/>
  <c r="O90" i="31"/>
  <c r="O103" i="31" s="1"/>
  <c r="O107" i="31" s="1"/>
  <c r="O43" i="5"/>
  <c r="O30" i="30"/>
  <c r="O30" i="3"/>
  <c r="P36" i="4"/>
  <c r="P11" i="4"/>
  <c r="K89" i="9" l="1"/>
  <c r="N55" i="21" s="1"/>
  <c r="N18" i="21" s="1"/>
  <c r="K16" i="9"/>
  <c r="K41" i="9" s="1"/>
  <c r="K34" i="9" s="1"/>
  <c r="O82" i="4"/>
  <c r="O137" i="2"/>
  <c r="O142" i="2" s="1"/>
  <c r="O154" i="31"/>
  <c r="O160" i="31" s="1"/>
  <c r="K17" i="9"/>
  <c r="N59" i="21" s="1"/>
  <c r="O48" i="5"/>
  <c r="P69" i="20"/>
  <c r="O209" i="30"/>
  <c r="O216" i="30" s="1"/>
  <c r="O217" i="30" s="1"/>
  <c r="O176" i="4"/>
  <c r="P42" i="20"/>
  <c r="P189" i="3"/>
  <c r="P54" i="20"/>
  <c r="O40" i="31"/>
  <c r="O41" i="31" s="1"/>
  <c r="P125" i="4"/>
  <c r="P126" i="4" s="1"/>
  <c r="P64" i="4"/>
  <c r="P30" i="2"/>
  <c r="P61" i="4"/>
  <c r="N56" i="21" l="1"/>
  <c r="N19" i="21" s="1"/>
  <c r="K20" i="9"/>
  <c r="K23" i="9" s="1"/>
  <c r="K146" i="9" s="1"/>
  <c r="K147" i="9" s="1"/>
  <c r="K97" i="9" s="1"/>
  <c r="P47" i="20"/>
  <c r="K33" i="9"/>
  <c r="K36" i="9"/>
  <c r="N25" i="21"/>
  <c r="N86" i="21"/>
  <c r="O39" i="2"/>
  <c r="P213" i="30"/>
  <c r="O90" i="2"/>
  <c r="O179" i="4"/>
  <c r="P49" i="2"/>
  <c r="P31" i="2"/>
  <c r="P68" i="31"/>
  <c r="P181" i="30"/>
  <c r="P183" i="30" s="1"/>
  <c r="Q37" i="20" s="1"/>
  <c r="P30" i="31"/>
  <c r="Q49" i="20"/>
  <c r="N57" i="21" l="1"/>
  <c r="N62" i="21"/>
  <c r="N71" i="21" s="1"/>
  <c r="N45" i="21" s="1"/>
  <c r="N69" i="21"/>
  <c r="N106" i="21"/>
  <c r="K48" i="9"/>
  <c r="K98" i="9"/>
  <c r="N28" i="21"/>
  <c r="N89" i="21"/>
  <c r="K149" i="9"/>
  <c r="K150" i="9" s="1"/>
  <c r="K102" i="9" s="1"/>
  <c r="P186" i="30"/>
  <c r="P189" i="30" s="1"/>
  <c r="P33" i="2" s="1"/>
  <c r="P34" i="2" s="1"/>
  <c r="O147" i="2"/>
  <c r="O149" i="2" s="1"/>
  <c r="O151" i="2" s="1"/>
  <c r="O153" i="2" s="1"/>
  <c r="O165" i="31"/>
  <c r="O166" i="31" s="1"/>
  <c r="O168" i="31" s="1"/>
  <c r="O170" i="31" s="1"/>
  <c r="P173" i="4"/>
  <c r="P41" i="20"/>
  <c r="P44" i="20" s="1"/>
  <c r="O94" i="2"/>
  <c r="O99" i="2" s="1"/>
  <c r="O100" i="2" s="1"/>
  <c r="O40" i="2"/>
  <c r="O160" i="4"/>
  <c r="N87" i="21"/>
  <c r="N26" i="21"/>
  <c r="N73" i="21" l="1"/>
  <c r="N70" i="21"/>
  <c r="N44" i="21" s="1"/>
  <c r="N20" i="21"/>
  <c r="K152" i="9"/>
  <c r="K153" i="9" s="1"/>
  <c r="K156" i="9" s="1"/>
  <c r="K157" i="9" s="1"/>
  <c r="K112" i="9" s="1"/>
  <c r="N33" i="21"/>
  <c r="K49" i="9"/>
  <c r="L96" i="9"/>
  <c r="N107" i="21"/>
  <c r="N34" i="21"/>
  <c r="K117" i="9"/>
  <c r="K103" i="9"/>
  <c r="N100" i="21"/>
  <c r="K52" i="9"/>
  <c r="P37" i="2"/>
  <c r="P63" i="2"/>
  <c r="P68" i="2" s="1"/>
  <c r="P77" i="2" s="1"/>
  <c r="P85" i="2" s="1"/>
  <c r="P144" i="4" s="1"/>
  <c r="P147" i="4" s="1"/>
  <c r="P43" i="2"/>
  <c r="O79" i="4"/>
  <c r="O76" i="4" s="1"/>
  <c r="O116" i="2"/>
  <c r="O102" i="2" s="1"/>
  <c r="P96" i="2"/>
  <c r="O107" i="4"/>
  <c r="O108" i="4" s="1"/>
  <c r="O110" i="4" s="1"/>
  <c r="O94" i="4" s="1"/>
  <c r="P57" i="20"/>
  <c r="O161" i="4"/>
  <c r="O162" i="4" s="1"/>
  <c r="P55" i="20"/>
  <c r="Q33" i="20"/>
  <c r="P48" i="2"/>
  <c r="K107" i="9" l="1"/>
  <c r="K56" i="9" s="1"/>
  <c r="K113" i="9"/>
  <c r="L111" i="9" s="1"/>
  <c r="K60" i="9"/>
  <c r="N39" i="21" s="1"/>
  <c r="N118" i="21"/>
  <c r="N119" i="21" s="1"/>
  <c r="K24" i="9"/>
  <c r="N74" i="21" s="1"/>
  <c r="L101" i="9"/>
  <c r="N36" i="21"/>
  <c r="N101" i="21"/>
  <c r="K116" i="9"/>
  <c r="O105" i="21"/>
  <c r="L133" i="9"/>
  <c r="L47" i="9"/>
  <c r="N35" i="21"/>
  <c r="K53" i="9"/>
  <c r="O111" i="31"/>
  <c r="O110" i="31" s="1"/>
  <c r="O75" i="4"/>
  <c r="O74" i="4"/>
  <c r="P73" i="4"/>
  <c r="O29" i="30"/>
  <c r="O29" i="3"/>
  <c r="P149" i="4"/>
  <c r="P151" i="4" s="1"/>
  <c r="P152" i="4" s="1"/>
  <c r="P53" i="2"/>
  <c r="P123" i="30" s="1"/>
  <c r="P122" i="30" s="1"/>
  <c r="P46" i="20"/>
  <c r="P48" i="20" s="1"/>
  <c r="P51" i="20" s="1"/>
  <c r="O179" i="30"/>
  <c r="O119" i="2"/>
  <c r="O128" i="2" s="1"/>
  <c r="O155" i="2" s="1"/>
  <c r="P174" i="4"/>
  <c r="N40" i="21" l="1"/>
  <c r="K119" i="9"/>
  <c r="K121" i="9" s="1"/>
  <c r="K61" i="9"/>
  <c r="N112" i="21"/>
  <c r="K108" i="9"/>
  <c r="L106" i="9" s="1"/>
  <c r="K25" i="9"/>
  <c r="K37" i="9" s="1"/>
  <c r="N29" i="21" s="1"/>
  <c r="O99" i="21"/>
  <c r="L132" i="9"/>
  <c r="L51" i="9"/>
  <c r="O108" i="21"/>
  <c r="N37" i="21"/>
  <c r="K57" i="9"/>
  <c r="N22" i="21"/>
  <c r="N23" i="21" s="1"/>
  <c r="N75" i="21"/>
  <c r="L135" i="9"/>
  <c r="L137" i="9" s="1"/>
  <c r="O65" i="21" s="1"/>
  <c r="L59" i="9"/>
  <c r="O117" i="21"/>
  <c r="P153" i="4"/>
  <c r="P131" i="4" s="1"/>
  <c r="Q21" i="20"/>
  <c r="Q23" i="20" s="1"/>
  <c r="P56" i="2"/>
  <c r="P111" i="4"/>
  <c r="P118" i="3"/>
  <c r="P117" i="3" s="1"/>
  <c r="P154" i="4"/>
  <c r="P30" i="4" s="1"/>
  <c r="P129" i="4"/>
  <c r="P130" i="4" s="1"/>
  <c r="P31" i="4" s="1"/>
  <c r="O129" i="31"/>
  <c r="O130" i="31" s="1"/>
  <c r="O142" i="31" s="1"/>
  <c r="O172" i="31" s="1"/>
  <c r="K28" i="9" l="1"/>
  <c r="L27" i="9" s="1"/>
  <c r="N113" i="21"/>
  <c r="N38" i="21"/>
  <c r="N41" i="21" s="1"/>
  <c r="N68" i="21" s="1"/>
  <c r="N43" i="21" s="1"/>
  <c r="K118" i="9"/>
  <c r="K120" i="9" s="1"/>
  <c r="K122" i="9" s="1"/>
  <c r="K123" i="9" s="1"/>
  <c r="O102" i="21"/>
  <c r="O120" i="21"/>
  <c r="O63" i="21"/>
  <c r="N90" i="21"/>
  <c r="L55" i="9"/>
  <c r="O111" i="21"/>
  <c r="L134" i="9"/>
  <c r="O114" i="21" s="1"/>
  <c r="P100" i="31"/>
  <c r="P32" i="4"/>
  <c r="P99" i="31" s="1"/>
  <c r="Q24" i="20"/>
  <c r="Q31" i="20"/>
  <c r="Q25" i="20"/>
  <c r="O113" i="31"/>
  <c r="P155" i="4"/>
  <c r="P157" i="4" s="1"/>
  <c r="P12" i="4"/>
  <c r="P57" i="2"/>
  <c r="L81" i="9" s="1"/>
  <c r="O54" i="21"/>
  <c r="L85" i="9"/>
  <c r="L13" i="9" s="1"/>
  <c r="P34" i="5"/>
  <c r="P37" i="5" s="1"/>
  <c r="P133" i="4"/>
  <c r="K35" i="9" l="1"/>
  <c r="N88" i="21" s="1"/>
  <c r="N91" i="21" s="1"/>
  <c r="L138" i="9"/>
  <c r="L21" i="9" s="1"/>
  <c r="L136" i="9"/>
  <c r="O64" i="21" s="1"/>
  <c r="O66" i="21" s="1"/>
  <c r="O21" i="21" s="1"/>
  <c r="P91" i="2"/>
  <c r="P13" i="4"/>
  <c r="P92" i="2" s="1"/>
  <c r="P132" i="4"/>
  <c r="P135" i="4"/>
  <c r="P134" i="4"/>
  <c r="P38" i="5"/>
  <c r="Q66" i="20" s="1"/>
  <c r="Q64" i="20"/>
  <c r="L83" i="9"/>
  <c r="L88" i="9" s="1"/>
  <c r="L86" i="9"/>
  <c r="Q52" i="20"/>
  <c r="Q36" i="20"/>
  <c r="P33" i="4"/>
  <c r="K38" i="9" l="1"/>
  <c r="N27" i="21"/>
  <c r="N30" i="21" s="1"/>
  <c r="P43" i="5"/>
  <c r="Q69" i="20" s="1"/>
  <c r="P15" i="4"/>
  <c r="P137" i="2" s="1"/>
  <c r="L87" i="9"/>
  <c r="L15" i="9" s="1"/>
  <c r="L14" i="9"/>
  <c r="P88" i="2"/>
  <c r="P102" i="31"/>
  <c r="P163" i="4"/>
  <c r="P177" i="4"/>
  <c r="Q27" i="4"/>
  <c r="P113" i="4"/>
  <c r="P95" i="4" s="1"/>
  <c r="P90" i="31"/>
  <c r="P103" i="31" s="1"/>
  <c r="P107" i="31" s="1"/>
  <c r="P211" i="30"/>
  <c r="P190" i="3"/>
  <c r="P191" i="3" s="1"/>
  <c r="P197" i="3" s="1"/>
  <c r="Q38" i="20"/>
  <c r="Q40" i="20" s="1"/>
  <c r="L89" i="9" l="1"/>
  <c r="O55" i="21" s="1"/>
  <c r="O18" i="21" s="1"/>
  <c r="L16" i="9"/>
  <c r="L41" i="9" s="1"/>
  <c r="L34" i="9" s="1"/>
  <c r="P48" i="5"/>
  <c r="P82" i="4"/>
  <c r="P154" i="31"/>
  <c r="P160" i="31" s="1"/>
  <c r="P103" i="4"/>
  <c r="L17" i="9"/>
  <c r="O59" i="21" s="1"/>
  <c r="P176" i="4"/>
  <c r="P209" i="30"/>
  <c r="P216" i="30" s="1"/>
  <c r="P217" i="30" s="1"/>
  <c r="Q42" i="20"/>
  <c r="Q54" i="20"/>
  <c r="P40" i="31"/>
  <c r="P41" i="31" s="1"/>
  <c r="Q189" i="3"/>
  <c r="P30" i="30"/>
  <c r="P30" i="3"/>
  <c r="Q36" i="4"/>
  <c r="Q11" i="4"/>
  <c r="Q47" i="20"/>
  <c r="P142" i="2"/>
  <c r="O56" i="21" l="1"/>
  <c r="O69" i="21" s="1"/>
  <c r="L20" i="9"/>
  <c r="L23" i="9" s="1"/>
  <c r="L146" i="9" s="1"/>
  <c r="L147" i="9" s="1"/>
  <c r="L97" i="9" s="1"/>
  <c r="Q64" i="4"/>
  <c r="Q30" i="2"/>
  <c r="Q61" i="4"/>
  <c r="Q125" i="4"/>
  <c r="Q126" i="4" s="1"/>
  <c r="L33" i="9"/>
  <c r="L36" i="9"/>
  <c r="O25" i="21"/>
  <c r="O86" i="21"/>
  <c r="P90" i="2"/>
  <c r="P179" i="4"/>
  <c r="P39" i="2"/>
  <c r="Q213" i="30"/>
  <c r="O19" i="21" l="1"/>
  <c r="O57" i="21"/>
  <c r="O62" i="21"/>
  <c r="O73" i="21" s="1"/>
  <c r="O106" i="21"/>
  <c r="L48" i="9"/>
  <c r="L98" i="9"/>
  <c r="L149" i="9"/>
  <c r="L150" i="9" s="1"/>
  <c r="L102" i="9" s="1"/>
  <c r="O26" i="21"/>
  <c r="O87" i="21"/>
  <c r="Q173" i="4"/>
  <c r="P147" i="2"/>
  <c r="P149" i="2" s="1"/>
  <c r="P151" i="2" s="1"/>
  <c r="P153" i="2" s="1"/>
  <c r="P165" i="31"/>
  <c r="P166" i="31" s="1"/>
  <c r="P168" i="31" s="1"/>
  <c r="P170" i="31" s="1"/>
  <c r="O28" i="21"/>
  <c r="O89" i="21"/>
  <c r="Q49" i="2"/>
  <c r="Q31" i="2"/>
  <c r="Q41" i="20"/>
  <c r="Q44" i="20" s="1"/>
  <c r="P94" i="2"/>
  <c r="P99" i="2" s="1"/>
  <c r="P100" i="2" s="1"/>
  <c r="P40" i="2"/>
  <c r="P160" i="4"/>
  <c r="Q181" i="30"/>
  <c r="Q183" i="30" s="1"/>
  <c r="R37" i="20" s="1"/>
  <c r="Q30" i="31"/>
  <c r="Q68" i="31"/>
  <c r="R49" i="20"/>
  <c r="O71" i="21" l="1"/>
  <c r="O45" i="21" s="1"/>
  <c r="O20" i="21"/>
  <c r="O70" i="21"/>
  <c r="O44" i="21" s="1"/>
  <c r="L103" i="9"/>
  <c r="L52" i="9"/>
  <c r="O100" i="21"/>
  <c r="M96" i="9"/>
  <c r="O34" i="21"/>
  <c r="L117" i="9"/>
  <c r="O107" i="21"/>
  <c r="L152" i="9"/>
  <c r="L153" i="9" s="1"/>
  <c r="L156" i="9" s="1"/>
  <c r="L157" i="9" s="1"/>
  <c r="L112" i="9" s="1"/>
  <c r="O33" i="21"/>
  <c r="L49" i="9"/>
  <c r="Q186" i="30"/>
  <c r="Q189" i="30" s="1"/>
  <c r="Q33" i="2" s="1"/>
  <c r="Q34" i="2" s="1"/>
  <c r="P79" i="4"/>
  <c r="P76" i="4" s="1"/>
  <c r="P107" i="4"/>
  <c r="P108" i="4" s="1"/>
  <c r="P110" i="4" s="1"/>
  <c r="P94" i="4" s="1"/>
  <c r="Q96" i="2"/>
  <c r="P116" i="2"/>
  <c r="P102" i="2" s="1"/>
  <c r="Q57" i="20"/>
  <c r="Q55" i="20"/>
  <c r="P161" i="4"/>
  <c r="P162" i="4" s="1"/>
  <c r="P105" i="21" l="1"/>
  <c r="M47" i="9"/>
  <c r="M133" i="9"/>
  <c r="O35" i="21"/>
  <c r="L53" i="9"/>
  <c r="L60" i="9"/>
  <c r="O118" i="21"/>
  <c r="O119" i="21" s="1"/>
  <c r="L113" i="9"/>
  <c r="M101" i="9"/>
  <c r="L116" i="9"/>
  <c r="O36" i="21"/>
  <c r="O101" i="21"/>
  <c r="L24" i="9"/>
  <c r="L107" i="9"/>
  <c r="Q149" i="4"/>
  <c r="Q151" i="4" s="1"/>
  <c r="P119" i="2"/>
  <c r="P128" i="2" s="1"/>
  <c r="P155" i="2" s="1"/>
  <c r="P179" i="30"/>
  <c r="Q46" i="20"/>
  <c r="Q48" i="20" s="1"/>
  <c r="Q51" i="20" s="1"/>
  <c r="Q37" i="2"/>
  <c r="Q43" i="2"/>
  <c r="Q63" i="2"/>
  <c r="Q68" i="2" s="1"/>
  <c r="Q77" i="2" s="1"/>
  <c r="Q85" i="2" s="1"/>
  <c r="Q144" i="4" s="1"/>
  <c r="Q147" i="4" s="1"/>
  <c r="P29" i="3"/>
  <c r="P29" i="30"/>
  <c r="P75" i="4"/>
  <c r="Q73" i="4"/>
  <c r="P74" i="4"/>
  <c r="P111" i="31"/>
  <c r="P110" i="31" s="1"/>
  <c r="R33" i="20"/>
  <c r="Q48" i="2"/>
  <c r="P108" i="21" l="1"/>
  <c r="M132" i="9"/>
  <c r="P99" i="21"/>
  <c r="M51" i="9"/>
  <c r="M111" i="9"/>
  <c r="L119" i="9"/>
  <c r="L121" i="9" s="1"/>
  <c r="O40" i="21"/>
  <c r="O112" i="21"/>
  <c r="L56" i="9"/>
  <c r="L108" i="9"/>
  <c r="O39" i="21"/>
  <c r="L61" i="9"/>
  <c r="O74" i="21"/>
  <c r="L25" i="9"/>
  <c r="L37" i="9" s="1"/>
  <c r="O29" i="21" s="1"/>
  <c r="Q153" i="4"/>
  <c r="Q131" i="4" s="1"/>
  <c r="P129" i="31"/>
  <c r="P130" i="31" s="1"/>
  <c r="P142" i="31" s="1"/>
  <c r="P172" i="31" s="1"/>
  <c r="Q53" i="2"/>
  <c r="Q123" i="30" s="1"/>
  <c r="Q122" i="30" s="1"/>
  <c r="Q174" i="4"/>
  <c r="Q152" i="4"/>
  <c r="L28" i="9" l="1"/>
  <c r="M27" i="9" s="1"/>
  <c r="O37" i="21"/>
  <c r="L57" i="9"/>
  <c r="P117" i="21"/>
  <c r="M135" i="9"/>
  <c r="M59" i="9"/>
  <c r="L118" i="9"/>
  <c r="L120" i="9" s="1"/>
  <c r="L122" i="9" s="1"/>
  <c r="O113" i="21"/>
  <c r="O38" i="21"/>
  <c r="O41" i="21" s="1"/>
  <c r="O68" i="21" s="1"/>
  <c r="O43" i="21" s="1"/>
  <c r="M106" i="9"/>
  <c r="P102" i="21"/>
  <c r="O22" i="21"/>
  <c r="O23" i="21" s="1"/>
  <c r="O75" i="21"/>
  <c r="P113" i="31"/>
  <c r="Q129" i="4"/>
  <c r="Q130" i="4" s="1"/>
  <c r="Q154" i="4"/>
  <c r="Q30" i="4" s="1"/>
  <c r="Q111" i="4"/>
  <c r="Q118" i="3"/>
  <c r="Q117" i="3" s="1"/>
  <c r="Q56" i="2"/>
  <c r="R21" i="20"/>
  <c r="R23" i="20" s="1"/>
  <c r="P120" i="21" l="1"/>
  <c r="P63" i="21"/>
  <c r="M137" i="9"/>
  <c r="P65" i="21" s="1"/>
  <c r="M134" i="9"/>
  <c r="P111" i="21"/>
  <c r="M55" i="9"/>
  <c r="O90" i="21"/>
  <c r="L123" i="9"/>
  <c r="L35" i="9"/>
  <c r="R24" i="20"/>
  <c r="R31" i="20"/>
  <c r="R25" i="20"/>
  <c r="P54" i="21"/>
  <c r="Q57" i="2"/>
  <c r="M81" i="9" s="1"/>
  <c r="Q34" i="5"/>
  <c r="Q37" i="5" s="1"/>
  <c r="M85" i="9"/>
  <c r="M13" i="9" s="1"/>
  <c r="Q100" i="31"/>
  <c r="Q32" i="4"/>
  <c r="Q31" i="4"/>
  <c r="Q133" i="4"/>
  <c r="L38" i="9" l="1"/>
  <c r="O88" i="21"/>
  <c r="O91" i="21" s="1"/>
  <c r="O27" i="21"/>
  <c r="O30" i="21" s="1"/>
  <c r="P114" i="21"/>
  <c r="M138" i="9"/>
  <c r="M21" i="9" s="1"/>
  <c r="M136" i="9"/>
  <c r="P64" i="21" s="1"/>
  <c r="P66" i="21" s="1"/>
  <c r="P21" i="21" s="1"/>
  <c r="Q38" i="5"/>
  <c r="R66" i="20" s="1"/>
  <c r="R64" i="20"/>
  <c r="Q13" i="4"/>
  <c r="Q92" i="2" s="1"/>
  <c r="Q132" i="4"/>
  <c r="M83" i="9"/>
  <c r="M88" i="9" s="1"/>
  <c r="M86" i="9"/>
  <c r="Q135" i="4"/>
  <c r="Q134" i="4"/>
  <c r="Q99" i="31"/>
  <c r="Q155" i="4"/>
  <c r="Q157" i="4" s="1"/>
  <c r="Q12" i="4"/>
  <c r="Q33" i="4"/>
  <c r="R52" i="20"/>
  <c r="R36" i="20"/>
  <c r="Q190" i="3" l="1"/>
  <c r="Q191" i="3" s="1"/>
  <c r="Q197" i="3" s="1"/>
  <c r="Q90" i="31"/>
  <c r="Q103" i="31" s="1"/>
  <c r="Q107" i="31" s="1"/>
  <c r="Q211" i="30"/>
  <c r="R27" i="4"/>
  <c r="Q113" i="4"/>
  <c r="Q95" i="4" s="1"/>
  <c r="M14" i="9"/>
  <c r="Q91" i="2"/>
  <c r="R38" i="20" s="1"/>
  <c r="R40" i="20" s="1"/>
  <c r="Q15" i="4"/>
  <c r="Q88" i="2"/>
  <c r="Q102" i="31"/>
  <c r="Q177" i="4"/>
  <c r="Q163" i="4"/>
  <c r="M87" i="9"/>
  <c r="M15" i="9" s="1"/>
  <c r="Q43" i="5"/>
  <c r="M89" i="9" l="1"/>
  <c r="P55" i="21" s="1"/>
  <c r="P56" i="21" s="1"/>
  <c r="M16" i="9"/>
  <c r="M41" i="9" s="1"/>
  <c r="M34" i="9" s="1"/>
  <c r="M17" i="9"/>
  <c r="P59" i="21" s="1"/>
  <c r="R11" i="4"/>
  <c r="R36" i="4"/>
  <c r="Q48" i="5"/>
  <c r="R69" i="20"/>
  <c r="R42" i="20"/>
  <c r="R54" i="20"/>
  <c r="Q40" i="31"/>
  <c r="Q41" i="31" s="1"/>
  <c r="R189" i="3"/>
  <c r="Q103" i="4"/>
  <c r="Q154" i="31"/>
  <c r="Q160" i="31" s="1"/>
  <c r="Q82" i="4"/>
  <c r="Q137" i="2"/>
  <c r="Q30" i="3"/>
  <c r="Q30" i="30"/>
  <c r="Q176" i="4"/>
  <c r="Q209" i="30"/>
  <c r="Q216" i="30" s="1"/>
  <c r="Q217" i="30" s="1"/>
  <c r="P18" i="21" l="1"/>
  <c r="M20" i="9"/>
  <c r="M23" i="9" s="1"/>
  <c r="M146" i="9" s="1"/>
  <c r="M147" i="9" s="1"/>
  <c r="M97" i="9" s="1"/>
  <c r="R47" i="20"/>
  <c r="Q142" i="2"/>
  <c r="Q39" i="2"/>
  <c r="R213" i="30"/>
  <c r="Q90" i="2"/>
  <c r="Q179" i="4"/>
  <c r="R125" i="4"/>
  <c r="R126" i="4" s="1"/>
  <c r="P57" i="21"/>
  <c r="P69" i="21"/>
  <c r="P19" i="21"/>
  <c r="F19" i="21" s="1"/>
  <c r="P62" i="21"/>
  <c r="R64" i="4"/>
  <c r="R61" i="4"/>
  <c r="R30" i="2"/>
  <c r="M33" i="9"/>
  <c r="M36" i="9"/>
  <c r="P25" i="21"/>
  <c r="P86" i="21"/>
  <c r="M48" i="9" l="1"/>
  <c r="P106" i="21"/>
  <c r="M98" i="9"/>
  <c r="P71" i="21"/>
  <c r="P45" i="21" s="1"/>
  <c r="P70" i="21"/>
  <c r="P44" i="21" s="1"/>
  <c r="P20" i="21"/>
  <c r="P73" i="21"/>
  <c r="M149" i="9"/>
  <c r="M150" i="9" s="1"/>
  <c r="M102" i="9" s="1"/>
  <c r="Q147" i="2"/>
  <c r="Q149" i="2" s="1"/>
  <c r="Q151" i="2" s="1"/>
  <c r="Q153" i="2" s="1"/>
  <c r="Q165" i="31"/>
  <c r="Q166" i="31" s="1"/>
  <c r="Q168" i="31" s="1"/>
  <c r="Q170" i="31" s="1"/>
  <c r="R173" i="4"/>
  <c r="S49" i="20"/>
  <c r="R181" i="30"/>
  <c r="R183" i="30" s="1"/>
  <c r="S37" i="20" s="1"/>
  <c r="R30" i="31"/>
  <c r="R68" i="31"/>
  <c r="R41" i="20"/>
  <c r="R44" i="20" s="1"/>
  <c r="Q94" i="2"/>
  <c r="Q99" i="2" s="1"/>
  <c r="Q100" i="2" s="1"/>
  <c r="P87" i="21"/>
  <c r="P26" i="21"/>
  <c r="P28" i="21"/>
  <c r="P89" i="21"/>
  <c r="Q40" i="2"/>
  <c r="Q160" i="4"/>
  <c r="R49" i="2"/>
  <c r="R31" i="2"/>
  <c r="P34" i="21" l="1"/>
  <c r="P107" i="21"/>
  <c r="M117" i="9"/>
  <c r="M103" i="9"/>
  <c r="M52" i="9"/>
  <c r="P100" i="21"/>
  <c r="P33" i="21"/>
  <c r="M49" i="9"/>
  <c r="M152" i="9"/>
  <c r="M153" i="9" s="1"/>
  <c r="Q116" i="2"/>
  <c r="Q102" i="2" s="1"/>
  <c r="Q79" i="4"/>
  <c r="Q76" i="4" s="1"/>
  <c r="Q107" i="4"/>
  <c r="Q108" i="4" s="1"/>
  <c r="Q110" i="4" s="1"/>
  <c r="Q94" i="4" s="1"/>
  <c r="R96" i="2"/>
  <c r="R186" i="30"/>
  <c r="R189" i="30" s="1"/>
  <c r="R33" i="2" s="1"/>
  <c r="R57" i="20"/>
  <c r="Q161" i="4"/>
  <c r="Q162" i="4" s="1"/>
  <c r="R55" i="20"/>
  <c r="M116" i="9" l="1"/>
  <c r="P101" i="21"/>
  <c r="P36" i="21"/>
  <c r="P35" i="21"/>
  <c r="M53" i="9"/>
  <c r="M107" i="9"/>
  <c r="M156" i="9"/>
  <c r="M157" i="9" s="1"/>
  <c r="M112" i="9" s="1"/>
  <c r="R48" i="2"/>
  <c r="S33" i="20"/>
  <c r="R34" i="2"/>
  <c r="Q74" i="4"/>
  <c r="R73" i="4"/>
  <c r="Q75" i="4"/>
  <c r="Q111" i="31"/>
  <c r="Q110" i="31" s="1"/>
  <c r="R149" i="4"/>
  <c r="R151" i="4" s="1"/>
  <c r="Q29" i="30"/>
  <c r="Q29" i="3"/>
  <c r="R46" i="20"/>
  <c r="R48" i="20" s="1"/>
  <c r="R51" i="20" s="1"/>
  <c r="Q179" i="30"/>
  <c r="Q119" i="2"/>
  <c r="Q128" i="2" s="1"/>
  <c r="Q155" i="2" s="1"/>
  <c r="M24" i="9" l="1"/>
  <c r="P74" i="21" s="1"/>
  <c r="M56" i="9"/>
  <c r="P112" i="21"/>
  <c r="M108" i="9"/>
  <c r="M60" i="9"/>
  <c r="P118" i="21"/>
  <c r="P119" i="21" s="1"/>
  <c r="M113" i="9"/>
  <c r="Q129" i="31"/>
  <c r="Q130" i="31" s="1"/>
  <c r="Q142" i="31" s="1"/>
  <c r="Q172" i="31" s="1"/>
  <c r="R63" i="2"/>
  <c r="R68" i="2" s="1"/>
  <c r="R77" i="2" s="1"/>
  <c r="R85" i="2" s="1"/>
  <c r="R144" i="4" s="1"/>
  <c r="R147" i="4" s="1"/>
  <c r="R153" i="4" s="1"/>
  <c r="R131" i="4" s="1"/>
  <c r="R37" i="2"/>
  <c r="R43" i="2"/>
  <c r="R53" i="2" s="1"/>
  <c r="R123" i="30" l="1"/>
  <c r="R122" i="30" s="1"/>
  <c r="R56" i="2"/>
  <c r="M25" i="9"/>
  <c r="M37" i="9" s="1"/>
  <c r="P29" i="21" s="1"/>
  <c r="P113" i="21"/>
  <c r="M118" i="9"/>
  <c r="M120" i="9" s="1"/>
  <c r="P38" i="21"/>
  <c r="P39" i="21"/>
  <c r="M61" i="9"/>
  <c r="P37" i="21"/>
  <c r="M57" i="9"/>
  <c r="M119" i="9"/>
  <c r="M121" i="9" s="1"/>
  <c r="P40" i="21"/>
  <c r="P22" i="21"/>
  <c r="P23" i="21" s="1"/>
  <c r="P75" i="21"/>
  <c r="Q113" i="31"/>
  <c r="R174" i="4"/>
  <c r="S21" i="20"/>
  <c r="S23" i="20" s="1"/>
  <c r="R111" i="4"/>
  <c r="R118" i="3"/>
  <c r="R117" i="3" s="1"/>
  <c r="R152" i="4"/>
  <c r="M28" i="9" l="1"/>
  <c r="P41" i="21"/>
  <c r="P68" i="21" s="1"/>
  <c r="P43" i="21" s="1"/>
  <c r="P90" i="21"/>
  <c r="M122" i="9"/>
  <c r="R154" i="4"/>
  <c r="R30" i="4" s="1"/>
  <c r="R129" i="4"/>
  <c r="R130" i="4" s="1"/>
  <c r="R34" i="5"/>
  <c r="R37" i="5" s="1"/>
  <c r="R57" i="2"/>
  <c r="S24" i="20"/>
  <c r="S31" i="20"/>
  <c r="S25" i="20"/>
  <c r="M123" i="9" l="1"/>
  <c r="M35" i="9"/>
  <c r="R31" i="4"/>
  <c r="R133" i="4"/>
  <c r="S52" i="20"/>
  <c r="S36" i="20"/>
  <c r="S64" i="20"/>
  <c r="R38" i="5"/>
  <c r="S66" i="20" s="1"/>
  <c r="R100" i="31"/>
  <c r="R32" i="4"/>
  <c r="M38" i="9" l="1"/>
  <c r="G39" i="9" s="1"/>
  <c r="P27" i="21"/>
  <c r="P30" i="21" s="1"/>
  <c r="P88" i="21"/>
  <c r="P91" i="21" s="1"/>
  <c r="R33" i="4"/>
  <c r="S27" i="4" s="1"/>
  <c r="R135" i="4"/>
  <c r="R134" i="4"/>
  <c r="R13" i="4"/>
  <c r="R92" i="2" s="1"/>
  <c r="R132" i="4"/>
  <c r="R43" i="5"/>
  <c r="R99" i="31"/>
  <c r="R12" i="4"/>
  <c r="R155" i="4"/>
  <c r="R157" i="4" s="1"/>
  <c r="G117" i="8" l="1"/>
  <c r="G45" i="8" s="1"/>
  <c r="D91" i="21"/>
  <c r="H30" i="21"/>
  <c r="R113" i="4"/>
  <c r="R95" i="4" s="1"/>
  <c r="R30" i="3" s="1"/>
  <c r="R91" i="2"/>
  <c r="S38" i="20" s="1"/>
  <c r="S40" i="20" s="1"/>
  <c r="R15" i="4"/>
  <c r="S69" i="20"/>
  <c r="R48" i="5"/>
  <c r="R190" i="3"/>
  <c r="R191" i="3" s="1"/>
  <c r="R197" i="3" s="1"/>
  <c r="R90" i="31"/>
  <c r="R103" i="31" s="1"/>
  <c r="R107" i="31" s="1"/>
  <c r="R211" i="30"/>
  <c r="R177" i="4"/>
  <c r="R102" i="31"/>
  <c r="R88" i="2"/>
  <c r="R163" i="4"/>
  <c r="S36" i="4"/>
  <c r="S11" i="4"/>
  <c r="R30" i="30" l="1"/>
  <c r="S30" i="2"/>
  <c r="S61" i="4"/>
  <c r="S64" i="4"/>
  <c r="S42" i="20"/>
  <c r="S125" i="4"/>
  <c r="S126" i="4" s="1"/>
  <c r="R176" i="4"/>
  <c r="R209" i="30"/>
  <c r="R216" i="30" s="1"/>
  <c r="R217" i="30" s="1"/>
  <c r="R154" i="31"/>
  <c r="R160" i="31" s="1"/>
  <c r="R137" i="2"/>
  <c r="R82" i="4"/>
  <c r="R103" i="4"/>
  <c r="S189" i="3"/>
  <c r="S54" i="20"/>
  <c r="R40" i="31"/>
  <c r="R41" i="31" s="1"/>
  <c r="S47" i="20" l="1"/>
  <c r="R142" i="2"/>
  <c r="R39" i="2"/>
  <c r="S213" i="30"/>
  <c r="R90" i="2"/>
  <c r="R179" i="4"/>
  <c r="S181" i="30"/>
  <c r="S183" i="30" s="1"/>
  <c r="T37" i="20" s="1"/>
  <c r="S30" i="31"/>
  <c r="T49" i="20"/>
  <c r="S68" i="31"/>
  <c r="S49" i="2"/>
  <c r="S31" i="2"/>
  <c r="S186" i="30" l="1"/>
  <c r="S189" i="30" s="1"/>
  <c r="S33" i="2" s="1"/>
  <c r="R40" i="2"/>
  <c r="R160" i="4"/>
  <c r="R165" i="31"/>
  <c r="R166" i="31" s="1"/>
  <c r="R168" i="31" s="1"/>
  <c r="R170" i="31" s="1"/>
  <c r="R147" i="2"/>
  <c r="R149" i="2" s="1"/>
  <c r="R151" i="2" s="1"/>
  <c r="R153" i="2" s="1"/>
  <c r="S173" i="4"/>
  <c r="S41" i="20"/>
  <c r="S44" i="20" s="1"/>
  <c r="R94" i="2"/>
  <c r="R99" i="2" s="1"/>
  <c r="R100" i="2" s="1"/>
  <c r="R79" i="4" l="1"/>
  <c r="R76" i="4" s="1"/>
  <c r="R107" i="4"/>
  <c r="R108" i="4" s="1"/>
  <c r="R110" i="4" s="1"/>
  <c r="R94" i="4" s="1"/>
  <c r="R116" i="2"/>
  <c r="S96" i="2"/>
  <c r="T33" i="20"/>
  <c r="S48" i="2"/>
  <c r="S57" i="20"/>
  <c r="S55" i="20"/>
  <c r="R161" i="4"/>
  <c r="R162" i="4" s="1"/>
  <c r="S34" i="2"/>
  <c r="S63" i="2" l="1"/>
  <c r="S68" i="2" s="1"/>
  <c r="S77" i="2" s="1"/>
  <c r="S85" i="2" s="1"/>
  <c r="S144" i="4" s="1"/>
  <c r="S147" i="4" s="1"/>
  <c r="S37" i="2"/>
  <c r="S43" i="2"/>
  <c r="S53" i="2" s="1"/>
  <c r="R179" i="30"/>
  <c r="R119" i="2"/>
  <c r="R128" i="2" s="1"/>
  <c r="R155" i="2" s="1"/>
  <c r="S46" i="20"/>
  <c r="S48" i="20" s="1"/>
  <c r="S51" i="20" s="1"/>
  <c r="R29" i="3"/>
  <c r="R29" i="30"/>
  <c r="S149" i="4"/>
  <c r="S151" i="4" s="1"/>
  <c r="R102" i="2"/>
  <c r="R74" i="4"/>
  <c r="R111" i="31"/>
  <c r="R110" i="31" s="1"/>
  <c r="R75" i="4"/>
  <c r="S73" i="4"/>
  <c r="S123" i="30" l="1"/>
  <c r="S122" i="30" s="1"/>
  <c r="C9" i="6"/>
  <c r="S152" i="4"/>
  <c r="S154" i="4" s="1"/>
  <c r="S30" i="4" s="1"/>
  <c r="S118" i="3"/>
  <c r="S117" i="3" s="1"/>
  <c r="S111" i="4"/>
  <c r="T21" i="20"/>
  <c r="T23" i="20" s="1"/>
  <c r="S56" i="2"/>
  <c r="S174" i="4"/>
  <c r="R129" i="31"/>
  <c r="R130" i="31" s="1"/>
  <c r="R142" i="31" s="1"/>
  <c r="R172" i="31" s="1"/>
  <c r="S153" i="4"/>
  <c r="S131" i="4" s="1"/>
  <c r="C8" i="6" l="1"/>
  <c r="C10" i="6"/>
  <c r="S129" i="4"/>
  <c r="S130" i="4" s="1"/>
  <c r="S31" i="4" s="1"/>
  <c r="S12" i="4" s="1"/>
  <c r="R113" i="31"/>
  <c r="S57" i="2"/>
  <c r="S34" i="5"/>
  <c r="S9" i="5" s="1"/>
  <c r="S12" i="5" s="1"/>
  <c r="S13" i="5" s="1"/>
  <c r="T24" i="20"/>
  <c r="T31" i="20"/>
  <c r="T25" i="20"/>
  <c r="S100" i="31"/>
  <c r="S32" i="4"/>
  <c r="S33" i="4" l="1"/>
  <c r="S113" i="4" s="1"/>
  <c r="S95" i="4" s="1"/>
  <c r="S30" i="3" s="1"/>
  <c r="S155" i="4"/>
  <c r="S157" i="4" s="1"/>
  <c r="S133" i="4"/>
  <c r="S132" i="4"/>
  <c r="S13" i="4"/>
  <c r="S92" i="2" s="1"/>
  <c r="S99" i="31"/>
  <c r="S91" i="2"/>
  <c r="T52" i="20"/>
  <c r="T36" i="20"/>
  <c r="S37" i="5"/>
  <c r="S30" i="30" l="1"/>
  <c r="S15" i="4"/>
  <c r="S154" i="31" s="1"/>
  <c r="S160" i="31" s="1"/>
  <c r="T38" i="20"/>
  <c r="T40" i="20" s="1"/>
  <c r="S134" i="4"/>
  <c r="S135" i="4"/>
  <c r="T64" i="20"/>
  <c r="S38" i="5"/>
  <c r="T66" i="20" s="1"/>
  <c r="D73" i="20"/>
  <c r="S82" i="4" l="1"/>
  <c r="S103" i="4"/>
  <c r="S137" i="2"/>
  <c r="T47" i="20" s="1"/>
  <c r="S177" i="4"/>
  <c r="S163" i="4"/>
  <c r="T42" i="20" s="1"/>
  <c r="S88" i="2"/>
  <c r="S102" i="31"/>
  <c r="S190" i="3"/>
  <c r="S191" i="3" s="1"/>
  <c r="S197" i="3" s="1"/>
  <c r="S90" i="31"/>
  <c r="S103" i="31" s="1"/>
  <c r="S107" i="31" s="1"/>
  <c r="S211" i="30"/>
  <c r="D74" i="20"/>
  <c r="S43" i="5"/>
  <c r="S142" i="2" l="1"/>
  <c r="S176" i="4"/>
  <c r="S209" i="30"/>
  <c r="S216" i="30" s="1"/>
  <c r="S217" i="30" s="1"/>
  <c r="S39" i="2" s="1"/>
  <c r="S40" i="31"/>
  <c r="S41" i="31" s="1"/>
  <c r="T54" i="20"/>
  <c r="T69" i="20"/>
  <c r="S48" i="5"/>
  <c r="S15" i="5" s="1"/>
  <c r="S17" i="5" s="1"/>
  <c r="S24" i="5" s="1"/>
  <c r="S26" i="5" s="1"/>
  <c r="D75" i="20"/>
  <c r="S40" i="2" l="1"/>
  <c r="S160" i="4"/>
  <c r="S179" i="4"/>
  <c r="S90" i="2"/>
  <c r="S14" i="5"/>
  <c r="S16" i="5"/>
  <c r="D76" i="20"/>
  <c r="D77" i="20" s="1"/>
  <c r="D82" i="20" l="1"/>
  <c r="D84" i="20" s="1"/>
  <c r="S94" i="2"/>
  <c r="S99" i="2" s="1"/>
  <c r="S100" i="2" s="1"/>
  <c r="T41" i="20"/>
  <c r="T44" i="20" s="1"/>
  <c r="S165" i="31"/>
  <c r="S166" i="31" s="1"/>
  <c r="S168" i="31" s="1"/>
  <c r="S170" i="31" s="1"/>
  <c r="S147" i="2"/>
  <c r="S149" i="2" s="1"/>
  <c r="S151" i="2" s="1"/>
  <c r="S153" i="2" s="1"/>
  <c r="S161" i="4"/>
  <c r="S162" i="4" s="1"/>
  <c r="T55" i="20"/>
  <c r="T57" i="20" l="1"/>
  <c r="S79" i="4"/>
  <c r="S76" i="4" s="1"/>
  <c r="S116" i="2"/>
  <c r="S107" i="4"/>
  <c r="S108" i="4" s="1"/>
  <c r="S110" i="4" s="1"/>
  <c r="S94" i="4" s="1"/>
  <c r="T46" i="20" l="1"/>
  <c r="T48" i="20" s="1"/>
  <c r="T51" i="20" s="1"/>
  <c r="S119" i="2"/>
  <c r="S128" i="2" s="1"/>
  <c r="S155" i="2" s="1"/>
  <c r="S102" i="2"/>
  <c r="S179" i="30"/>
  <c r="S29" i="30"/>
  <c r="S29" i="3"/>
  <c r="S74" i="4"/>
  <c r="S111" i="31"/>
  <c r="S110" i="31" s="1"/>
  <c r="S129" i="31" s="1"/>
  <c r="S130" i="31" s="1"/>
  <c r="S142" i="31" s="1"/>
  <c r="S172" i="31" s="1"/>
  <c r="S75" i="4"/>
  <c r="S113" i="31" l="1"/>
</calcChain>
</file>

<file path=xl/sharedStrings.xml><?xml version="1.0" encoding="utf-8"?>
<sst xmlns="http://schemas.openxmlformats.org/spreadsheetml/2006/main" count="3068" uniqueCount="1898">
  <si>
    <t>Bumble Inc (BMBL US) - As Reported</t>
  </si>
  <si>
    <t>In Millions of USD except Per Share</t>
  </si>
  <si>
    <t>FY 2018</t>
  </si>
  <si>
    <t>FY 2019</t>
  </si>
  <si>
    <t>FY 2020</t>
  </si>
  <si>
    <t>FY 2021</t>
  </si>
  <si>
    <t>FY 2022</t>
  </si>
  <si>
    <t>FY 2023</t>
  </si>
  <si>
    <t>12 Months Ending</t>
  </si>
  <si>
    <t>12/31/2018</t>
  </si>
  <si>
    <t>12/31/2019</t>
  </si>
  <si>
    <t>12/31/2020</t>
  </si>
  <si>
    <t>12/31/2021</t>
  </si>
  <si>
    <t>12/31/2022</t>
  </si>
  <si>
    <t>12/31/2023</t>
  </si>
  <si>
    <t>Balance Sheet</t>
  </si>
  <si>
    <t xml:space="preserve">  Current Assets</t>
  </si>
  <si>
    <t>Cash and Equivalents</t>
  </si>
  <si>
    <t>ARD_CASH_AND_EQUIVALENTS</t>
  </si>
  <si>
    <t>Accounts Receivable - Trade</t>
  </si>
  <si>
    <t>ARD_ACCTS_RECEIVABLE_TRADE</t>
  </si>
  <si>
    <t>Other Current Assets</t>
  </si>
  <si>
    <t>ARD_OTHER_CURRENT_ASSETS</t>
  </si>
  <si>
    <t>Due From Parties/Affiliates (Short-Term)</t>
  </si>
  <si>
    <t>ARD_DUE_FROM_PARTIES_AFF_ST</t>
  </si>
  <si>
    <t>Total Current Assets</t>
  </si>
  <si>
    <t>ARD_TOTAL_CUR_ASSETS</t>
  </si>
  <si>
    <t xml:space="preserve">  Noncurrent Assets</t>
  </si>
  <si>
    <t>Property Plant &amp; Equipment - Net</t>
  </si>
  <si>
    <t>ARD_PROPERTY_PLANT_EQUIP_NET</t>
  </si>
  <si>
    <t>Deferred Income Tax Asset (Long-Term)</t>
  </si>
  <si>
    <t>ARD_DEFERRED_INC_TAX_ASSET_LT</t>
  </si>
  <si>
    <t>Total Intangible Assets - Net</t>
  </si>
  <si>
    <t>ARD_TOTAL_INTANGIBLE_ASSET_NET</t>
  </si>
  <si>
    <t>Other Intangible Assets</t>
  </si>
  <si>
    <t>ARD_OTHER_INTANGIBLE_ASSET</t>
  </si>
  <si>
    <t>Goodwill</t>
  </si>
  <si>
    <t>ARD_GOODWLL</t>
  </si>
  <si>
    <t>Other Noncurrent Assets</t>
  </si>
  <si>
    <t>ARD_OTHER_NONCURRENT_ASSET</t>
  </si>
  <si>
    <t>Other Receivables (Long-Term)</t>
  </si>
  <si>
    <t>ARD_OTHER_RECEIVABLES_LT</t>
  </si>
  <si>
    <t>Total Non-Current Assets</t>
  </si>
  <si>
    <t>ARD_TOTAL_NONCURRENT_ASSETS</t>
  </si>
  <si>
    <t>Total Assets</t>
  </si>
  <si>
    <t>ARD_TOT_ASSETS</t>
  </si>
  <si>
    <t xml:space="preserve">  Current Liabilities</t>
  </si>
  <si>
    <t>Accounts Payable - Trade</t>
  </si>
  <si>
    <t>ARD_ACCOUNTS_PAYABLE_TRADE</t>
  </si>
  <si>
    <t>Current Portion of Long-Term Debt</t>
  </si>
  <si>
    <t>ARD_CURRENT_PORTION_OF_LT_DEBT</t>
  </si>
  <si>
    <t>Accrued Expenses and Other</t>
  </si>
  <si>
    <t>ARD_ACCRUED_EXP_AND_OTHER</t>
  </si>
  <si>
    <t>Deferred/Unearned Revenue (Short-Term)</t>
  </si>
  <si>
    <t>ARD_DEFERRED_UNEARNED_REV_ST</t>
  </si>
  <si>
    <t>Total Current Liabilities</t>
  </si>
  <si>
    <t>ARD_TOTAL_CURRENT_LIABILITIES</t>
  </si>
  <si>
    <t xml:space="preserve">  Non Current Liabilities</t>
  </si>
  <si>
    <t>Total Noncurrent Liabilities</t>
  </si>
  <si>
    <t>ARD_TOT_NONCURRENT_LIABILITIES</t>
  </si>
  <si>
    <t>Long Term Debt</t>
  </si>
  <si>
    <t>ARD_LT_DEBT</t>
  </si>
  <si>
    <t>Deferred Income Taxes (Liabilities)</t>
  </si>
  <si>
    <t>ARD_DEFERRED_INCOME_TAXES_LIAB</t>
  </si>
  <si>
    <t>Other Noncurrent Liabilities</t>
  </si>
  <si>
    <t>ARD_OTH_NONCURRENT_LIABILITIES</t>
  </si>
  <si>
    <t>Provision For Taxation</t>
  </si>
  <si>
    <t>ARD_PROVISION_FOR_TAXATION</t>
  </si>
  <si>
    <t>Total Liabilities</t>
  </si>
  <si>
    <t>ARD_TOT_LIABILITIES</t>
  </si>
  <si>
    <t xml:space="preserve">  Stockholder Equity</t>
  </si>
  <si>
    <t>Preferred Stock</t>
  </si>
  <si>
    <t>ARD_PREFERRED_STOCK</t>
  </si>
  <si>
    <t>Minority/Non Controlling Int (Stckhldrs Eqty)</t>
  </si>
  <si>
    <t>ARD_MIN_NONCONTROL_INT_SE</t>
  </si>
  <si>
    <t>Common Stock</t>
  </si>
  <si>
    <t>ARD_COMMON_STOCK</t>
  </si>
  <si>
    <t>Additional Paid In Capital</t>
  </si>
  <si>
    <t>ARD_ADDITIONAL_PAID_IN_CAPITAL</t>
  </si>
  <si>
    <t>Treasury Stock (Amount)</t>
  </si>
  <si>
    <t>ARD_TREASURY_STOCK_AMOUNT</t>
  </si>
  <si>
    <t>Accumulated Other Comprehensive Income</t>
  </si>
  <si>
    <t>ARD_ACC_OTH_COMPREHENSIVE_INC</t>
  </si>
  <si>
    <t>Retained Earnings (Accumulated Deficit)</t>
  </si>
  <si>
    <t>ARD_RETAINED_EARN_ACC_DEFICIT</t>
  </si>
  <si>
    <t>Shares Outstanding</t>
  </si>
  <si>
    <t>ARD_SHARES_OUTSTANDING</t>
  </si>
  <si>
    <t>Par Value</t>
  </si>
  <si>
    <t>ARD_PAR_VALUE</t>
  </si>
  <si>
    <t>Treasury Shares (Number)</t>
  </si>
  <si>
    <t>ARD_TREASURY_SHARES_NUM</t>
  </si>
  <si>
    <t>Shares Issued</t>
  </si>
  <si>
    <t>ARD_SHARES_ISSUED</t>
  </si>
  <si>
    <t>Total Shareholders Equity</t>
  </si>
  <si>
    <t>ARD_TOTAL_SHAREHOLDERS_EQUITY</t>
  </si>
  <si>
    <t>Preferred Stock Liquidation Preference</t>
  </si>
  <si>
    <t>ARD_PFD_STK_LIQUID_PREFERENCE</t>
  </si>
  <si>
    <t>Shares Authorized</t>
  </si>
  <si>
    <t>ARD_SHARES_AUTHORIZED</t>
  </si>
  <si>
    <t>Total Shareholders Equity Excluding Minority</t>
  </si>
  <si>
    <t>ARD_TOT_SHARE_EQY_EXCL_MINORITY</t>
  </si>
  <si>
    <t>Total Liabilities and Shareholders Equity</t>
  </si>
  <si>
    <t>ARD_TOT_LIAB_AND_SHAREHOLDER_EQY</t>
  </si>
  <si>
    <t xml:space="preserve">  Reference Items</t>
  </si>
  <si>
    <t>ARDR Number of RSU Beginning of the Period</t>
  </si>
  <si>
    <t>ARDR_NUM_OF_RSU_BEGIN_OF_PER</t>
  </si>
  <si>
    <t>ARDR Number of Restricted Stock Units Granted</t>
  </si>
  <si>
    <t>ARDR_NUMBER_OF_RSU_GRANTED</t>
  </si>
  <si>
    <t>ARDR Number of Restricted Stock Units Vested</t>
  </si>
  <si>
    <t>ARDR_NUMBER_OF_RSU_VESTED</t>
  </si>
  <si>
    <t>ARDR Number of RSU Forfeited Canceled</t>
  </si>
  <si>
    <t>ARDR_NUMBER_OF_RSU_FORFTD_CANCLD</t>
  </si>
  <si>
    <t>Prepaid Expenses (ST)</t>
  </si>
  <si>
    <t>ARDR_PREPAID_EXPENSES_ST</t>
  </si>
  <si>
    <t>Leasehold Improvements</t>
  </si>
  <si>
    <t>ARDR_LEASEHOLD_IMPROVEMENTS</t>
  </si>
  <si>
    <t>Furniture/Machinery/Equipment</t>
  </si>
  <si>
    <t>ARDR_FURNITURE_MACHINERY_EQUIP</t>
  </si>
  <si>
    <t>Property Plant &amp; Equipment - Gross</t>
  </si>
  <si>
    <t>ARDR_PROPERTY_PLANT_EQUIP_GROSS</t>
  </si>
  <si>
    <t>Accumulated Depreciation</t>
  </si>
  <si>
    <t>ARDR_ACCUMULATED_DEPREC</t>
  </si>
  <si>
    <t>ARDR_PROPERTY_PLANT_EQUIP_NET</t>
  </si>
  <si>
    <t>Deferred Income Tax Asset (LT)</t>
  </si>
  <si>
    <t>ARDR_DEFERRED_INC_TAX_ASSET_LT</t>
  </si>
  <si>
    <t>ARDR_TOTAL_INTANGIBLE_ASSET_NET</t>
  </si>
  <si>
    <t>ARDR_OTHER_INTANGIBLE_ASSET</t>
  </si>
  <si>
    <t>ARDR_GOODWLL</t>
  </si>
  <si>
    <t>Patents/Trademarks/Copyrights</t>
  </si>
  <si>
    <t>ARDR_PATENTS_TRADEMRK_COPYRIGHT</t>
  </si>
  <si>
    <t>ARDR_CURRENT_PORTION_OF_LT_DEBT</t>
  </si>
  <si>
    <t>ARDR_DEFERRED_INCOME_TAXES_LIAB</t>
  </si>
  <si>
    <t>Min/Non Cntrlling Int(Stckhldrs Eqty)</t>
  </si>
  <si>
    <t>ARDR_MIN_NONCONTROL_INT_SE</t>
  </si>
  <si>
    <t>ARDR_COMMON_STOCK</t>
  </si>
  <si>
    <t>ARDR_ADDITIONAL_PAID_IN_CAPITAL</t>
  </si>
  <si>
    <t>ARDR_TREASURY_STOCK_AMOUNT</t>
  </si>
  <si>
    <t>ARDR_ACC_OTH_COMPREHENSIVE_INC</t>
  </si>
  <si>
    <t>ARDR_RETAINED_EARN_ACC_DEFICIT</t>
  </si>
  <si>
    <t>ARDR_SHARES_OUTSTANDING</t>
  </si>
  <si>
    <t>ARDR_PAR_VALUE</t>
  </si>
  <si>
    <t>ARDR_TREASURY_SHARES_NUM</t>
  </si>
  <si>
    <t>ARDR_SHARES_ISSUED</t>
  </si>
  <si>
    <t>Future Minimum Operating Lease Obligations</t>
  </si>
  <si>
    <t>ARDR_FUT_MIN_OPER_LEASE_OBLIG</t>
  </si>
  <si>
    <t>Rental Expense - Year 1</t>
  </si>
  <si>
    <t>ARDR_RENTAL_EXP_YR1</t>
  </si>
  <si>
    <t>Rental Expense - Year 2</t>
  </si>
  <si>
    <t>ARDR_RENTAL_EXP_YR2</t>
  </si>
  <si>
    <t>Rental Expense - Year 3</t>
  </si>
  <si>
    <t>ARDR_RENTAL_EXP_YR3</t>
  </si>
  <si>
    <t>Rental Expense - Year 4</t>
  </si>
  <si>
    <t>ARDR_RENTAL_EXP_YR4</t>
  </si>
  <si>
    <t>Rental Expense - Year 5</t>
  </si>
  <si>
    <t>ARDR_RENTAL_EXP_YR5</t>
  </si>
  <si>
    <t>Rental Expense - Beyond Year 5</t>
  </si>
  <si>
    <t>ARDR_RENTAL_EXP_BEYOND_YR5</t>
  </si>
  <si>
    <t>ARDR_TOTAL_SHAREHOLDERS_EQUITY</t>
  </si>
  <si>
    <t>Capitalized Software - Gross</t>
  </si>
  <si>
    <t>ARDR_CAPITALIZED_SOFTWARE_GROSS</t>
  </si>
  <si>
    <t>Derivative Assets Short-Term</t>
  </si>
  <si>
    <t>ARDR_DERIVATIVE_ASSET_ST</t>
  </si>
  <si>
    <t>Taxes Receivable</t>
  </si>
  <si>
    <t>ARDR_INCOME_TAX_RECEIVABLE</t>
  </si>
  <si>
    <t>Shares Outstanding From The Front Cover</t>
  </si>
  <si>
    <t>ARDR_SHARE_OUT_FROM_FRONT_COVER</t>
  </si>
  <si>
    <t>Accumulated Amortization Of Goodwill</t>
  </si>
  <si>
    <t>ARDR_ACCUM_AMORT_GOODWILL</t>
  </si>
  <si>
    <t>Accumulated Amortization Intangible Assets</t>
  </si>
  <si>
    <t>ARDR_ACCCUM_AMORT_INTANG_ASSET</t>
  </si>
  <si>
    <t>Options Granted During Period</t>
  </si>
  <si>
    <t>ARDR_OPTIONS_GRANTED_DURING_PER</t>
  </si>
  <si>
    <t>Options Outstanding End Period</t>
  </si>
  <si>
    <t>ARDR_OPTIONS_OUTSTANDING_END_PER</t>
  </si>
  <si>
    <t>ARDR_SHARES_AUTHORIZED</t>
  </si>
  <si>
    <t>Total Shareholder Equity Excludes Minority</t>
  </si>
  <si>
    <t>ARDR_TOT_SHARE_EQY_EXCL_MINORITY</t>
  </si>
  <si>
    <t>Options Exercised During the Period</t>
  </si>
  <si>
    <t>ARDR_OPTIONS_EXERCISED_DUR_PER</t>
  </si>
  <si>
    <t>Cash Equivalents</t>
  </si>
  <si>
    <t>ARDR_CASH_EQUIVS</t>
  </si>
  <si>
    <t>Debt Schedule In Yr 1</t>
  </si>
  <si>
    <t>ARDR_DEBT_SCHEDULE_IN_YR1</t>
  </si>
  <si>
    <t>Debt Schedule In Yr 2</t>
  </si>
  <si>
    <t>ARDR_DEBT_SCHEDULE_IN_YR2</t>
  </si>
  <si>
    <t>Debt Schedule In Yr 3</t>
  </si>
  <si>
    <t>ARDR_DEBT_SCHEDULE_IN_YR3</t>
  </si>
  <si>
    <t>Debt Schedule In Yr 4</t>
  </si>
  <si>
    <t>ARDR_DEBT_SCHEDULE_IN_YR4</t>
  </si>
  <si>
    <t>Debt Schedule Thereafter</t>
  </si>
  <si>
    <t>ARDR_DEBT_SCHEDULE_THEREAFTER</t>
  </si>
  <si>
    <t>Debt Schedule - Total Debt</t>
  </si>
  <si>
    <t>ARDR_DEBT_SCHEDULE_TOTAL_DEBT</t>
  </si>
  <si>
    <t>Debt Schedule - Total Long Term Debt</t>
  </si>
  <si>
    <t>ARDR_DEBT_SCHEDULE_TOTAL_LT_DEBT</t>
  </si>
  <si>
    <t>Number of Common Shares Repurchased</t>
  </si>
  <si>
    <t>ARDR_COMMON_SHARES_REPURCHASED</t>
  </si>
  <si>
    <t>ARDR Total Operating Liabilities</t>
  </si>
  <si>
    <t>ARDR_TOTAL_OPERATING_LIABILITIES</t>
  </si>
  <si>
    <t>Fair Value Assets Recur - Level 1</t>
  </si>
  <si>
    <t>ARDR_FV_ASSETS_REC_LEVEL_1</t>
  </si>
  <si>
    <t>Fair Value Assets Recur - Level 2</t>
  </si>
  <si>
    <t>ARDR_FV_ASSETS_REC_LEVEL_2</t>
  </si>
  <si>
    <t>Fair Value Assets Recur - Level 3</t>
  </si>
  <si>
    <t>ARDR_FV_ASSETS_REC_LEVEL_3</t>
  </si>
  <si>
    <t>Fair Value Assets Recur - Total</t>
  </si>
  <si>
    <t>ARDR_FV_ASSETS_REC_TOTAL</t>
  </si>
  <si>
    <t>Fair Value Liab Recur - Level 1</t>
  </si>
  <si>
    <t>ARDR_FV_LIAB_REC_LEVEL_1</t>
  </si>
  <si>
    <t>Fair Value Liab Recur - Level 2</t>
  </si>
  <si>
    <t>ARDR_FV_LIAB_REC_LEVEL_2</t>
  </si>
  <si>
    <t>Fair Value Liab Recur - Level 3</t>
  </si>
  <si>
    <t>ARDR_FV_LIAB_REC_LEVEL_3</t>
  </si>
  <si>
    <t>Fair Value Liab Recur - Total</t>
  </si>
  <si>
    <t>ARDR_FV_LIAB_REC_TOTAL</t>
  </si>
  <si>
    <t>ARDR Options Cancelled or Forfeited</t>
  </si>
  <si>
    <t>ARDR_OPTIONS_CANCELLED_FORFEITED</t>
  </si>
  <si>
    <t>Contractual Obligations - Year 1</t>
  </si>
  <si>
    <t>ARDR_CONTRACTUAL_OBLIG_YEAR_1</t>
  </si>
  <si>
    <t>Contractual Obligations Years - 2 &amp; 3</t>
  </si>
  <si>
    <t>ARDR_CONTRACTUAL_OBLIG_YEAR_2_3</t>
  </si>
  <si>
    <t>Contractual Obligations Years - 4 &amp; 5</t>
  </si>
  <si>
    <t>ARDR_CONTRACTUAL_OBLIG_YEAR_4_5</t>
  </si>
  <si>
    <t>Contractual Obligations  - Beyond Year 5</t>
  </si>
  <si>
    <t>ARDR_CONT_OBLIG_BEYOND_YEAR_5</t>
  </si>
  <si>
    <t>Total Contractual Obligations</t>
  </si>
  <si>
    <t>ARDR_CONTRACTUAL_OBLIG_TOTAL</t>
  </si>
  <si>
    <t>PV of Future Min Op Lease Obligations</t>
  </si>
  <si>
    <t>ARDR_PV_FUTURE_MIN_OP_LEASE_OBL</t>
  </si>
  <si>
    <t>Weighted Average Cost of Options Granted</t>
  </si>
  <si>
    <t>ARDR_WEI_AVG_COST_OPTIONS_GRANT</t>
  </si>
  <si>
    <t>Stock Opt Valuation - Risk Free Rate (%)</t>
  </si>
  <si>
    <t>ARDR_STOCK_OPTION_VAL_RFR</t>
  </si>
  <si>
    <t>Stock Opt Valuation - Expected Life (Yrs)</t>
  </si>
  <si>
    <t>ARDR_STOCK_OPTION_VAL_EXP_LIFE</t>
  </si>
  <si>
    <t>Stock Opt Valuation - Expected Volatil (%)</t>
  </si>
  <si>
    <t>ARDR_STOCK_OPTION_VAL_EXP_VOL</t>
  </si>
  <si>
    <t>Stock Opt Valuation - Dividend Yield (%)</t>
  </si>
  <si>
    <t>ARDR_STOCK_OPTION_VAL_DVD_YLD</t>
  </si>
  <si>
    <t>Avg Exercise Price (Options Exercisable)</t>
  </si>
  <si>
    <t>ARDR_AVG_EXER_PX_OPT_EXERCISABLE</t>
  </si>
  <si>
    <t>Avg Exercise Price (Options Outstanding)</t>
  </si>
  <si>
    <t>ARDR_AVG_EXER_PX_OPT_OUTSTANDING</t>
  </si>
  <si>
    <t>Options Exercisable End of Period</t>
  </si>
  <si>
    <t>ARDR_OPTIONS_EXERCISABLE</t>
  </si>
  <si>
    <t>FV Assets Rec L1: Cash and Securities</t>
  </si>
  <si>
    <t>ARDR_FV_ASSETS_REC_L1_CASH_SECS</t>
  </si>
  <si>
    <t>FV Assets Rec L1: Trading Treasuries</t>
  </si>
  <si>
    <t>ARDR_FV_ASSETS_REC_L1_TRAD_TREAS</t>
  </si>
  <si>
    <t>FV Assets Rec L1: Derivatives</t>
  </si>
  <si>
    <t>ARDR_FV_ASTS_REC_L1_DERIVATIVES</t>
  </si>
  <si>
    <t>FV Assets Rec L1: Other</t>
  </si>
  <si>
    <t>ARDR_FV_ASSETS_REC_L1_OTHER</t>
  </si>
  <si>
    <t>FV Assets Rec L2: Cash and Securities</t>
  </si>
  <si>
    <t>ARDR_FV_ASTS_REC_L2_CASH_SECS</t>
  </si>
  <si>
    <t>FV Assets Rec L2: Trading Treasuries</t>
  </si>
  <si>
    <t>ARDR_FV_ASTS_REC_L2_TRAD_TREAS</t>
  </si>
  <si>
    <t>FV Assets Rec L2: Derivatives</t>
  </si>
  <si>
    <t>ARDR_FV_ASTS_REC_L2_DERIVATIVES</t>
  </si>
  <si>
    <t>FV Assets Rec L2: Other</t>
  </si>
  <si>
    <t>ARDR_FV_ASSETS_REC_L2_OTH</t>
  </si>
  <si>
    <t>FV Assets Rec L3: Cash and Sec</t>
  </si>
  <si>
    <t>ARDR_FV_ASTS_REC_L3_CASH_SECS</t>
  </si>
  <si>
    <t>FV Assets Rec L3: Trading Treasuries</t>
  </si>
  <si>
    <t>ARDR_FV_ASTS_REC_L3_TRAD_TREAS</t>
  </si>
  <si>
    <t>FV Assets Rec L3: Derivatives</t>
  </si>
  <si>
    <t>ARDR_FV_ASTS_REC_L3_DERIVATIVES</t>
  </si>
  <si>
    <t>FV Assets Rec L3: Other</t>
  </si>
  <si>
    <t>ARDR_FV_ASSETS_REC_L3_OTHER</t>
  </si>
  <si>
    <t>FV Assets Rec Total: Cash Securities</t>
  </si>
  <si>
    <t>ARDR_FV_ASSETS_REC_TOT_CASH_SECS</t>
  </si>
  <si>
    <t>FV Assets Rec Total: Trading Account</t>
  </si>
  <si>
    <t>ARDR_FV_ASTS_REC_TOT_TRADING_ACC</t>
  </si>
  <si>
    <t>FV Assets Rec Total: Derivatives</t>
  </si>
  <si>
    <t>ARDR_FV_ASTS_REC_TOT_DERIVATIVES</t>
  </si>
  <si>
    <t>FV Assets Rec Total: Other</t>
  </si>
  <si>
    <t>ARDR_FV_ASSETS_REC_TOT_OTHER</t>
  </si>
  <si>
    <t>FV Liabs Rec L1: Derivatives</t>
  </si>
  <si>
    <t>ARDR_FV_LIABS_REC_L1_DERIVATIVES</t>
  </si>
  <si>
    <t>FV Liabs Rec L1: Other</t>
  </si>
  <si>
    <t>ARDR_FV_LIABS_REC_L1_OTHER</t>
  </si>
  <si>
    <t>FV Liabs Rec L2: Derivatives</t>
  </si>
  <si>
    <t>ARDR_FV_LIABS_REC_L2_DERIVATIVES</t>
  </si>
  <si>
    <t>FV Liabs Rec L2: Other</t>
  </si>
  <si>
    <t>ARDR_FV_LIABS_REC_L2_OTHER</t>
  </si>
  <si>
    <t>FV Liabs Rec L3: Derivatives</t>
  </si>
  <si>
    <t>ARDR_FV_LIABS_REC_L3_DERIVATIVES</t>
  </si>
  <si>
    <t>FV Liabs Rec L3: Other</t>
  </si>
  <si>
    <t>ARDR_FV_LIABS_REC_L3_OTHER</t>
  </si>
  <si>
    <t>FV Liabs Rec Total: Derivatives</t>
  </si>
  <si>
    <t>ARDR_FV_LIABS_REC_TOT_DERV</t>
  </si>
  <si>
    <t>FV Liabs Rec Total: Other</t>
  </si>
  <si>
    <t>ARDR_FV_LIABS_REC_TOT_OTHER</t>
  </si>
  <si>
    <t>Options at Beginning of Period</t>
  </si>
  <si>
    <t>ARDR_OPTIONS_BEGINNING_OF_PERIOD</t>
  </si>
  <si>
    <t>Options Adjustment</t>
  </si>
  <si>
    <t>ARDR_OPTIONS_ADJUSTMENT</t>
  </si>
  <si>
    <t>As Reported Data Reference Restricted Stock Units</t>
  </si>
  <si>
    <t>ARDR_RESTRICTED_STOCK_UNITS</t>
  </si>
  <si>
    <t>ARDR Restricted Stock Unit WAvg FV PS</t>
  </si>
  <si>
    <t>ARDR_RSTR_STK_UNIT_WAVG_FV_PS</t>
  </si>
  <si>
    <t>Stock Option Valuation - RFR % - Low</t>
  </si>
  <si>
    <t>ARDR_STK_OPT_VALN_RFR_PCT_LO</t>
  </si>
  <si>
    <t>Stock Option Valuation - RFR % - High</t>
  </si>
  <si>
    <t>ARDR_STK_OPT_VALN_RFR_PCT_HI</t>
  </si>
  <si>
    <t>Stock Opt Val - Expected Life Years - Low</t>
  </si>
  <si>
    <t>ARDR_STK_OPT_VALN_EXPCTD_LF_Y_LO</t>
  </si>
  <si>
    <t>Stock Opt Val - Expected Life Years - High</t>
  </si>
  <si>
    <t>ARDR_STK_OPT_VALN_EXPCTD_LF_Y_HI</t>
  </si>
  <si>
    <t>Stock Opt Val - Expctd Volatility % - Low</t>
  </si>
  <si>
    <t>ARDR_STK_OPT_VALN_EXP_VOL_PCT_LO</t>
  </si>
  <si>
    <t>Stock Opt Val - Expctd Volatility % - High</t>
  </si>
  <si>
    <t>ARDR_STK_OPT_VALN_EXP_VOL_PCT_HI</t>
  </si>
  <si>
    <t>Source: Bloomberg</t>
  </si>
  <si>
    <t>Right click to show data transparency (not supported for all values)</t>
  </si>
  <si>
    <t>Bumble Inc (BMBL US) - Standardized</t>
  </si>
  <si>
    <t xml:space="preserve">  + Cash, Cash Equivalents &amp; STI</t>
  </si>
  <si>
    <t>CASH_CASH_EQTY_STI_DETAILED</t>
  </si>
  <si>
    <t xml:space="preserve">    + Cash &amp; Cash Equivalents</t>
  </si>
  <si>
    <t>BS_CASH_NEAR_CASH_ITEM</t>
  </si>
  <si>
    <t xml:space="preserve">    + ST Investments</t>
  </si>
  <si>
    <t>BS_MKT_SEC_OTHER_ST_INVEST</t>
  </si>
  <si>
    <t xml:space="preserve">  + Accounts &amp; Notes Receiv</t>
  </si>
  <si>
    <t>BS_ACCT_NOTE_RCV</t>
  </si>
  <si>
    <t xml:space="preserve">    + Accounts Receivable, Net</t>
  </si>
  <si>
    <t>BS_ACCTS_REC_EXCL_NOTES_REC</t>
  </si>
  <si>
    <t xml:space="preserve">    + Notes Receivable, Net</t>
  </si>
  <si>
    <t>NOTES_RECEIVABLE</t>
  </si>
  <si>
    <t xml:space="preserve">  + Inventories</t>
  </si>
  <si>
    <t>BS_INVENTORIES</t>
  </si>
  <si>
    <t xml:space="preserve">    + Raw Materials</t>
  </si>
  <si>
    <t>INVTRY_RAW_MATERIALS</t>
  </si>
  <si>
    <t xml:space="preserve">    + Work In Process</t>
  </si>
  <si>
    <t>INVTRY_IN_PROGRESS</t>
  </si>
  <si>
    <t xml:space="preserve">    + Finished Goods</t>
  </si>
  <si>
    <t>INVTRY_FINISHED_GOODS</t>
  </si>
  <si>
    <t xml:space="preserve">    + Other Inventory</t>
  </si>
  <si>
    <t>BS_OTHER_INV</t>
  </si>
  <si>
    <t xml:space="preserve">  + Other ST Assets</t>
  </si>
  <si>
    <t>OTHER_CURRENT_ASSETS_DETAILED</t>
  </si>
  <si>
    <t xml:space="preserve">    + Prepaid Expenses</t>
  </si>
  <si>
    <t>BS_PREPAY</t>
  </si>
  <si>
    <t xml:space="preserve">    + Derivative &amp; Hedging Assets</t>
  </si>
  <si>
    <t>BS_DERIV_HEDGING_ASST_ST</t>
  </si>
  <si>
    <t xml:space="preserve">    + Taxes Receivable</t>
  </si>
  <si>
    <t>BS_TAXES_RECEIVABLE_SHORT_TERM</t>
  </si>
  <si>
    <t xml:space="preserve">    + Misc ST Assets</t>
  </si>
  <si>
    <t>BS_OTHER_CUR_ASSET_LESS_PREPAY</t>
  </si>
  <si>
    <t>BS_CUR_ASSET_REPORT</t>
  </si>
  <si>
    <t xml:space="preserve">  + Property, Plant &amp; Equip, Net</t>
  </si>
  <si>
    <t>BS_NET_FIX_ASSET</t>
  </si>
  <si>
    <t xml:space="preserve">    + Property, Plant &amp; Equip</t>
  </si>
  <si>
    <t>BS_GROSS_FIX_ASSET</t>
  </si>
  <si>
    <t xml:space="preserve">    - Accumulated Depreciation</t>
  </si>
  <si>
    <t>BS_ACCUM_DEPR</t>
  </si>
  <si>
    <t xml:space="preserve">  + LT Investments &amp; Receivables</t>
  </si>
  <si>
    <t>BS_LT_INVEST</t>
  </si>
  <si>
    <t xml:space="preserve">  + Other LT Assets</t>
  </si>
  <si>
    <t>BS_OTHER_ASSETS_DEF_CHRG_OTHER</t>
  </si>
  <si>
    <t xml:space="preserve">    + Total Intangible Assets</t>
  </si>
  <si>
    <t>BS_DISCLOSED_INTANGIBLES</t>
  </si>
  <si>
    <t xml:space="preserve">    + Goodwill</t>
  </si>
  <si>
    <t>BS_GOODWILL</t>
  </si>
  <si>
    <t xml:space="preserve">    + Other Intangible Assets</t>
  </si>
  <si>
    <t>OTHER_INTANGIBLE_ASSETS_DETAILED</t>
  </si>
  <si>
    <t xml:space="preserve">    + Deferred Tax Assets</t>
  </si>
  <si>
    <t>BS_DEFERRED_TAX_ASSETS_LT</t>
  </si>
  <si>
    <t>BS_DERIV_HEDGING_ASST_LT</t>
  </si>
  <si>
    <t xml:space="preserve">    + Misc LT Assets</t>
  </si>
  <si>
    <t>OTHER_NONCURRENT_ASSETS_DETAILED</t>
  </si>
  <si>
    <t>Total Noncurrent Assets</t>
  </si>
  <si>
    <t>BS_TOT_NON_CUR_ASSET</t>
  </si>
  <si>
    <t>BS_TOT_ASSET</t>
  </si>
  <si>
    <t>Liabilities &amp; Shareholders' Equity</t>
  </si>
  <si>
    <t xml:space="preserve">  + Payables &amp; Accruals</t>
  </si>
  <si>
    <t>ACCT_PAYABLE_ACCRUALS_DETAILED</t>
  </si>
  <si>
    <t xml:space="preserve">    + Accounts Payable</t>
  </si>
  <si>
    <t>BS_ACCT_PAYABLE</t>
  </si>
  <si>
    <t xml:space="preserve">    + Other Payables &amp; Accruals</t>
  </si>
  <si>
    <t>BS_ACCRUAL</t>
  </si>
  <si>
    <t xml:space="preserve">  + ST Debt</t>
  </si>
  <si>
    <t>BS_ST_BORROW</t>
  </si>
  <si>
    <t xml:space="preserve">    + ST Borrowings</t>
  </si>
  <si>
    <t>SHORT_TERM_DEBT_DETAILED</t>
  </si>
  <si>
    <t xml:space="preserve">    + ST Lease Liabilities</t>
  </si>
  <si>
    <t>ST_CAPITALIZED_LEASE_LIABILITIES</t>
  </si>
  <si>
    <t xml:space="preserve">      + ST Finance Leases</t>
  </si>
  <si>
    <t>ST_CAPITAL_LEASE_OBLIGATIONS</t>
  </si>
  <si>
    <t xml:space="preserve">      + ST Operating Leases</t>
  </si>
  <si>
    <t>BS_ST_OPERATING_LEASE_LIABS</t>
  </si>
  <si>
    <t xml:space="preserve">    + Current Portion of LT Debt</t>
  </si>
  <si>
    <t>BS_CURR_PORTION_LT_DEBT</t>
  </si>
  <si>
    <t xml:space="preserve">  + Other ST Liabilities</t>
  </si>
  <si>
    <t>OTHER_CURRENT_LIABS_SUB_DETAILED</t>
  </si>
  <si>
    <t xml:space="preserve">    + Deferred Revenue</t>
  </si>
  <si>
    <t>ST_DEFERRED_REVENUE</t>
  </si>
  <si>
    <t xml:space="preserve">    + Derivatives &amp; Hedging</t>
  </si>
  <si>
    <t>BS_DERIV_HEDGING_LIAB_ST</t>
  </si>
  <si>
    <t xml:space="preserve">    + Misc ST Liabilities</t>
  </si>
  <si>
    <t>OTHER_CURRENT_LIABS_DETAILED</t>
  </si>
  <si>
    <t>BS_CUR_LIAB</t>
  </si>
  <si>
    <t xml:space="preserve">  + LT Debt</t>
  </si>
  <si>
    <t>BS_LT_BORROW</t>
  </si>
  <si>
    <t xml:space="preserve">    + LT Borrowings</t>
  </si>
  <si>
    <t>LONG_TERM_BORROWINGS_DETAILED</t>
  </si>
  <si>
    <t xml:space="preserve">    + LT Lease Liabilities</t>
  </si>
  <si>
    <t>LT_CAPITALIZED_LEASE_LIABILITIES</t>
  </si>
  <si>
    <t xml:space="preserve">      + LT Finance Leases</t>
  </si>
  <si>
    <t>LT_CAPITAL_LEASE_OBLIGATIONS</t>
  </si>
  <si>
    <t xml:space="preserve">      + LT Operating Leases</t>
  </si>
  <si>
    <t>BS_LT_OPERATING_LEASE_LIABS</t>
  </si>
  <si>
    <t xml:space="preserve">  + Other LT Liabilities</t>
  </si>
  <si>
    <t>OTHER_NONCUR_LIABS_SUB_DETAILED</t>
  </si>
  <si>
    <t xml:space="preserve">    + Accrued Liabilities</t>
  </si>
  <si>
    <t>BS_ACCRUED_LIABILITIES</t>
  </si>
  <si>
    <t xml:space="preserve">    + Pension Liabilities</t>
  </si>
  <si>
    <t>PENSION_LIABILITIES</t>
  </si>
  <si>
    <t xml:space="preserve">    + Pensions</t>
  </si>
  <si>
    <t>BS_PENSIONS_LT_LIABS</t>
  </si>
  <si>
    <t xml:space="preserve">    + Other Post-Ret Benefits</t>
  </si>
  <si>
    <t>BS_OPRB_LT_LIABS</t>
  </si>
  <si>
    <t>LT_DEFERRED_REVENUE</t>
  </si>
  <si>
    <t xml:space="preserve">    + Deferred Tax Liabilities</t>
  </si>
  <si>
    <t>BS_DEFERRED_TAX_LIABILITIES_LT</t>
  </si>
  <si>
    <t>BS_DERIV_HEDGING_LIAB_LT</t>
  </si>
  <si>
    <t xml:space="preserve">    + Misc LT Liabilities</t>
  </si>
  <si>
    <t>OTHER_NONCURRENT_LIABS_DETAILED</t>
  </si>
  <si>
    <t>NON_CUR_LIAB</t>
  </si>
  <si>
    <t>BS_TOT_LIAB2</t>
  </si>
  <si>
    <t xml:space="preserve">  + Preferred Equity and Hybrid Capital</t>
  </si>
  <si>
    <t>PFD_EQTY_HYBRID_CAPITAL</t>
  </si>
  <si>
    <t xml:space="preserve">  + Share Capital &amp; APIC</t>
  </si>
  <si>
    <t>BS_SH_CAP_AND_APIC</t>
  </si>
  <si>
    <t xml:space="preserve">    + Common Stock</t>
  </si>
  <si>
    <t>BS_COMMON_STOCK</t>
  </si>
  <si>
    <t xml:space="preserve">    + Additional Paid in Capital</t>
  </si>
  <si>
    <t>BS_ADD_PAID_IN_CAP</t>
  </si>
  <si>
    <t xml:space="preserve">  - Treasury Stock</t>
  </si>
  <si>
    <t>BS_AMT_OF_TSY_STOCK</t>
  </si>
  <si>
    <t xml:space="preserve">  + Retained Earnings</t>
  </si>
  <si>
    <t>BS_PURE_RETAINED_EARNINGS</t>
  </si>
  <si>
    <t xml:space="preserve">  + Other Equity</t>
  </si>
  <si>
    <t>OTHER_EQUITY_RATIO</t>
  </si>
  <si>
    <t>Equity Before Minority Interest</t>
  </si>
  <si>
    <t>EQTY_BEF_MINORITY_INT_DETAILED</t>
  </si>
  <si>
    <t xml:space="preserve">  + Minority/Non Controlling Interest</t>
  </si>
  <si>
    <t>MINORITY_NONCONTROLLING_INTEREST</t>
  </si>
  <si>
    <t>Total Equity</t>
  </si>
  <si>
    <t>TOTAL_EQUITY</t>
  </si>
  <si>
    <t>Total Liabilities &amp; Equity</t>
  </si>
  <si>
    <t>TOT_LIAB_AND_EQY</t>
  </si>
  <si>
    <t>Reference Items</t>
  </si>
  <si>
    <t>Accounting Standard</t>
  </si>
  <si>
    <t>ACCOUNTING_STANDARD</t>
  </si>
  <si>
    <t>US GAAP</t>
  </si>
  <si>
    <t>BS_SH_OUT</t>
  </si>
  <si>
    <t>Number of Treasury Shares</t>
  </si>
  <si>
    <t>BS_NUM_OF_TSY_SH</t>
  </si>
  <si>
    <t>BS_FUTURE_MIN_OPER_LEASE_OBLIG</t>
  </si>
  <si>
    <t>Capital Leases - Total</t>
  </si>
  <si>
    <t>BS_TOTAL_CAPITAL_LEASES</t>
  </si>
  <si>
    <t>BS_OPTIONS_GRANTED</t>
  </si>
  <si>
    <t>Options Outstanding at Period End</t>
  </si>
  <si>
    <t>BS_OPTIONS_OUTSTANDING</t>
  </si>
  <si>
    <t>Net Debt</t>
  </si>
  <si>
    <t>NET_DEBT</t>
  </si>
  <si>
    <t>Net Debt to Equity</t>
  </si>
  <si>
    <t>NET_DEBT_TO_SHRHLDR_EQTY</t>
  </si>
  <si>
    <t>Tangible Common Equity Ratio</t>
  </si>
  <si>
    <t>TCE_RATIO</t>
  </si>
  <si>
    <t>Current Ratio</t>
  </si>
  <si>
    <t>CUR_RATIO</t>
  </si>
  <si>
    <t>Number of Employees</t>
  </si>
  <si>
    <t>NUM_OF_EMPLOYEES</t>
  </si>
  <si>
    <t>Cash Flow</t>
  </si>
  <si>
    <t xml:space="preserve">  Cash From Operating Activities</t>
  </si>
  <si>
    <t>Net Income - CF</t>
  </si>
  <si>
    <t>ARD_NET_INCOME_CF</t>
  </si>
  <si>
    <t>Depreciation And Amortization - CF</t>
  </si>
  <si>
    <t>ARD_DEPRECIATION_AND_AMORT_CF</t>
  </si>
  <si>
    <t>Deferred Income Taxes - CF</t>
  </si>
  <si>
    <t>ARD_DEFERRED_INCOME_TAXES_CF</t>
  </si>
  <si>
    <t>Stock Based Compensation</t>
  </si>
  <si>
    <t>ARD_STOCK_BASED_COMPENSATION</t>
  </si>
  <si>
    <t>Other Non-Cash Items</t>
  </si>
  <si>
    <t>ARD_OTHER_NON_CASH_ITEMS</t>
  </si>
  <si>
    <t>Change in Accounts Payable</t>
  </si>
  <si>
    <t>ARD_CHANGE_IN_ACCOUNTS_PAYABLE</t>
  </si>
  <si>
    <t>Change in Accounts Receivable</t>
  </si>
  <si>
    <t>ARD_CHG_IN_ACCOUNTS_RECEIVABLE</t>
  </si>
  <si>
    <t>Change in Accrued Expenses</t>
  </si>
  <si>
    <t>ARD_CHANGE_IN_ACCRUED_EXP</t>
  </si>
  <si>
    <t>Change in Deferred/Unearned Revenue -ST</t>
  </si>
  <si>
    <t>ARD_CHG_IN_DEF_UNEARN_REVENUE_ST</t>
  </si>
  <si>
    <t>Change in Other Current Assets</t>
  </si>
  <si>
    <t>ARD_CHANGE_IN_OTHER_CUR_ASSETS</t>
  </si>
  <si>
    <t>Change in Other Current Liabilities</t>
  </si>
  <si>
    <t>ARD_CHG_IN_OTHER_CURRENT_LIAB</t>
  </si>
  <si>
    <t>Impairments</t>
  </si>
  <si>
    <t>ARD_IMPAIRMENTS</t>
  </si>
  <si>
    <t>Change In Other Liabilites</t>
  </si>
  <si>
    <t>ARD_CHG_IN_OTHER_LIABILITES</t>
  </si>
  <si>
    <t>Total Cash Flows From Operations</t>
  </si>
  <si>
    <t>ARD_TOT_CASH_FLOWS_FROM_OPS</t>
  </si>
  <si>
    <t>Change In Other Assets And Liabilities</t>
  </si>
  <si>
    <t>ARD_CHG_OTH_ASSETS_LIAB</t>
  </si>
  <si>
    <t>Gain/(Loss) On Early Extinguishment of Debt</t>
  </si>
  <si>
    <t>ARD_GL_ON_EARLY_EXT_OF_DEBT</t>
  </si>
  <si>
    <t>Foreign Exchange Gains/Losses</t>
  </si>
  <si>
    <t>ARD_FOREIGN_EXCHANGE_GAIN_LOSS</t>
  </si>
  <si>
    <t>Tax Paid</t>
  </si>
  <si>
    <t>ARD_TAX_PAID</t>
  </si>
  <si>
    <t xml:space="preserve">  Cash From Investing Activities</t>
  </si>
  <si>
    <t>Capital Expenditures</t>
  </si>
  <si>
    <t>ARD_CAPITAL_EXPENDITURES</t>
  </si>
  <si>
    <t>Acquisition of Business</t>
  </si>
  <si>
    <t>ARD_ACQUISITION_OF_BUSINESS</t>
  </si>
  <si>
    <t>Other Investing Activities</t>
  </si>
  <si>
    <t>ARD_OTHER_INVESTING_ACTIVITIES</t>
  </si>
  <si>
    <t>Total Cash Flows From Investing</t>
  </si>
  <si>
    <t>ARD_TOT_CASHFLOWS_FROM_INVESTING</t>
  </si>
  <si>
    <t xml:space="preserve">  Cash from Financing Activities</t>
  </si>
  <si>
    <t>Dividends Paid</t>
  </si>
  <si>
    <t>ARD_DIVIDEND_PD</t>
  </si>
  <si>
    <t>Issuance of Common Stock</t>
  </si>
  <si>
    <t>ARD_ISSUANCE_OF_COMMON_STOCK</t>
  </si>
  <si>
    <t>Repurchase of Common Stock</t>
  </si>
  <si>
    <t>ARD_REPURCHASE_OF_COMMON_STOCK</t>
  </si>
  <si>
    <t>Effect of Exchange Rates On Cash</t>
  </si>
  <si>
    <t>ARD_EFF_OF_EXCH_RATES_ON_CASH</t>
  </si>
  <si>
    <t>Debt Financing/Issuance Costs</t>
  </si>
  <si>
    <t>ARD_DEBT_FIN_ISSUANCE_COSTS</t>
  </si>
  <si>
    <t>Other Financing Activities</t>
  </si>
  <si>
    <t>ARD_OTHER_FINANCING_ACTIVITIES</t>
  </si>
  <si>
    <t>Exercise of Stock Options</t>
  </si>
  <si>
    <t>ARD_EXERCISE_OF_STOCK_OPTIONS</t>
  </si>
  <si>
    <t>Net Change In Cash</t>
  </si>
  <si>
    <t>ARD_NET_CHANGE_IN_CASH</t>
  </si>
  <si>
    <t>Cash and Cash Equivalents (End of Period)</t>
  </si>
  <si>
    <t>ARD_CASH_CASH_EQUIV_END_OF_PER</t>
  </si>
  <si>
    <t>Cash and Cash Equivalents (Beg of Period)</t>
  </si>
  <si>
    <t>ARD_CASH_CASH_EQUIV_BEG_OF_PER</t>
  </si>
  <si>
    <t>Minority Interest Distributions</t>
  </si>
  <si>
    <t>ARD_MINORITY_INT_DISTRIBUTIONS</t>
  </si>
  <si>
    <t>Decrease In Borrowings</t>
  </si>
  <si>
    <t>ARD_DECREASE_IN_BORROWINGS</t>
  </si>
  <si>
    <t>Increase In Borrowings</t>
  </si>
  <si>
    <t>ARD_INCREASE_IN_BORROWINGS</t>
  </si>
  <si>
    <t>Total Cash Flows From Financing</t>
  </si>
  <si>
    <t>ARD_TOT_CASHFLOWS_FROM_FINANCING</t>
  </si>
  <si>
    <t>Cash Paid For Taxes</t>
  </si>
  <si>
    <t>ARDR_CASH_PAID_FOR_TAXES</t>
  </si>
  <si>
    <t>ARDR Free Cash Flow</t>
  </si>
  <si>
    <t>ARDR_FCF</t>
  </si>
  <si>
    <t>Last 12M</t>
  </si>
  <si>
    <t>06/30/2024</t>
  </si>
  <si>
    <t>Cash from Operating Activities</t>
  </si>
  <si>
    <t xml:space="preserve">  + Net Income</t>
  </si>
  <si>
    <t>CF_NET_INC</t>
  </si>
  <si>
    <t xml:space="preserve">  + Depreciation &amp; Amortization</t>
  </si>
  <si>
    <t>CF_DEPR_AMORT</t>
  </si>
  <si>
    <t xml:space="preserve">  + Non-Cash Items</t>
  </si>
  <si>
    <t>NON_CASH_ITEMS_DETAILED</t>
  </si>
  <si>
    <t xml:space="preserve">    + Stock-Based Compensation</t>
  </si>
  <si>
    <t>CF_STOCK_BASED_COMPENSATION</t>
  </si>
  <si>
    <t xml:space="preserve">    + Deferred Income Taxes</t>
  </si>
  <si>
    <t>CF_DEF_INC_TAX</t>
  </si>
  <si>
    <t xml:space="preserve">    + Other Non-Cash Adj</t>
  </si>
  <si>
    <t>OTHER_NON_CASH_ADJ_LESS_DETAILED</t>
  </si>
  <si>
    <t xml:space="preserve">  + Chg in Non-Cash Work Cap</t>
  </si>
  <si>
    <t>CF_CHNG_NON_CASH_WORK_CAP</t>
  </si>
  <si>
    <t xml:space="preserve">    + (Inc) Dec in Accts Receiv</t>
  </si>
  <si>
    <t>CF_ACCT_RCV_UNBILLED_REV</t>
  </si>
  <si>
    <t xml:space="preserve">    + Inc (Dec) in Accts Payable</t>
  </si>
  <si>
    <t>CF_CHANGE_IN_ACCOUNTS_PAYABLE</t>
  </si>
  <si>
    <t xml:space="preserve">    + Inc (Dec) in Other</t>
  </si>
  <si>
    <t>INC_DEC_IN_OT_OP_AST_LIAB_DETAIL</t>
  </si>
  <si>
    <t xml:space="preserve">  + Net Cash From Disc Ops</t>
  </si>
  <si>
    <t>CF_NET_CASH_DISCONT_OPS_OPER</t>
  </si>
  <si>
    <t>CF_CASH_FROM_OPER</t>
  </si>
  <si>
    <t>Cash from Investing Activities</t>
  </si>
  <si>
    <t xml:space="preserve">  + Change in Fixed &amp; Intang</t>
  </si>
  <si>
    <t>FIXED_INTANG_ASST_CHANGE</t>
  </si>
  <si>
    <t xml:space="preserve">    + Disp in Fixed &amp; Intang</t>
  </si>
  <si>
    <t>DISPOSAL_OF_FIXED_INTANG</t>
  </si>
  <si>
    <t xml:space="preserve">    + Disp of Fixed Prod Assets</t>
  </si>
  <si>
    <t>CF_DISPOSAL_OF_FIXED_PROD_ASSETS</t>
  </si>
  <si>
    <t xml:space="preserve">    + Disp of Intangible Assets</t>
  </si>
  <si>
    <t>CF_DISPOSAL_OF_INTANGIBLE_ASSETS</t>
  </si>
  <si>
    <t xml:space="preserve">    + Acq of Fixed &amp; Intang</t>
  </si>
  <si>
    <t>ACQUIS_OF_FIXED_INTANG</t>
  </si>
  <si>
    <t xml:space="preserve">    + Acq of Fixed Prod Assets</t>
  </si>
  <si>
    <t>CF_PURCHASE_OF_FIXED_PROD_ASSETS</t>
  </si>
  <si>
    <t xml:space="preserve">    + Acq of Intangible Assets</t>
  </si>
  <si>
    <t>CF_ACQUISITION_OF_INTANG_ASSETS</t>
  </si>
  <si>
    <t xml:space="preserve">  + Net Change in LT Investment</t>
  </si>
  <si>
    <t>NET_CHG_IN_LT_INVEST_DETAILED</t>
  </si>
  <si>
    <t xml:space="preserve">    + Dec in LT Investment</t>
  </si>
  <si>
    <t>CF_DECR_INVEST</t>
  </si>
  <si>
    <t xml:space="preserve">    + Inc in LT Investment</t>
  </si>
  <si>
    <t>CF_INCR_INVEST</t>
  </si>
  <si>
    <t xml:space="preserve">  + Net Cash From Acq &amp; Div</t>
  </si>
  <si>
    <t>CF_NT_CSH_RCVD_PD_FOR_ACQUIS_DIV</t>
  </si>
  <si>
    <t xml:space="preserve">    + Cash from Divestitures</t>
  </si>
  <si>
    <t>CF_CASH_FOR_DIVESTITURES</t>
  </si>
  <si>
    <t xml:space="preserve">    + Cash for Acq of Subs</t>
  </si>
  <si>
    <t>CF_CASH_FOR_ACQUIS_SUBSIDIARIES</t>
  </si>
  <si>
    <t xml:space="preserve">    + Cash for JVs</t>
  </si>
  <si>
    <t>CF_CASH_FOR_JOINT_VENTURES_ASSOC</t>
  </si>
  <si>
    <t xml:space="preserve">  + Other Investing Activities</t>
  </si>
  <si>
    <t>OTHER_INVESTING_ACT_DETAILED</t>
  </si>
  <si>
    <t>CF_NET_CASH_DISCONTINUED_OPS_INV</t>
  </si>
  <si>
    <t>CF_CASH_FROM_INV_ACT</t>
  </si>
  <si>
    <t>Cash from Financing Activities</t>
  </si>
  <si>
    <t xml:space="preserve">  + Dividends Paid</t>
  </si>
  <si>
    <t>CF_DVD_PAID</t>
  </si>
  <si>
    <t xml:space="preserve">  + Cash From (Repayment) Debt</t>
  </si>
  <si>
    <t>PROC_FR_REPAYMNTS_BOR_DETAILED</t>
  </si>
  <si>
    <t xml:space="preserve">    + Cash From (Repay) ST Debt</t>
  </si>
  <si>
    <t>CF_NET_CHG_ST_DEBT_CPTL_LEAS</t>
  </si>
  <si>
    <t xml:space="preserve">    + Cash From LT Debt</t>
  </si>
  <si>
    <t>CF_LT_DEBT_CAP_LEAS_PROCEEDS</t>
  </si>
  <si>
    <t xml:space="preserve">    + Repayments of LT Debt</t>
  </si>
  <si>
    <t>CF_LT_DEBT_CAP_LEAS_PAYMENT</t>
  </si>
  <si>
    <t xml:space="preserve">  + Cash (Repurchase) of Equity</t>
  </si>
  <si>
    <t>PROC_FR_REPURCH_EQTY_DETAILED</t>
  </si>
  <si>
    <t xml:space="preserve">    + Increase in Capital Stock</t>
  </si>
  <si>
    <t>CF_INCR_CAP_STOCK</t>
  </si>
  <si>
    <t xml:space="preserve">    + Decrease in Capital Stock</t>
  </si>
  <si>
    <t>CF_DECR_CAP_STOCK</t>
  </si>
  <si>
    <t xml:space="preserve">  + Other Financing Activities</t>
  </si>
  <si>
    <t>OTHER_FIN_AND_DEC_CAP</t>
  </si>
  <si>
    <t>CF_NET_CASH_DISCONTINUED_OPS_FIN</t>
  </si>
  <si>
    <t>CFF_ACTIVITIES_DETAILED</t>
  </si>
  <si>
    <t xml:space="preserve">  Effect of Foreign Exchange Rates</t>
  </si>
  <si>
    <t>CF_EFFECT_FOREIGN_EXCHANGES</t>
  </si>
  <si>
    <t>Net Changes in Cash</t>
  </si>
  <si>
    <t>CF_NET_CHNG_CASH</t>
  </si>
  <si>
    <t>Cash Paid for Taxes</t>
  </si>
  <si>
    <t>CF_CASH_PAID_FOR_TAX</t>
  </si>
  <si>
    <t>EBITDA</t>
  </si>
  <si>
    <t>Trailing 12M EBITDA Margin</t>
  </si>
  <si>
    <t>EBITDA_MARGIN</t>
  </si>
  <si>
    <t>Net Cash Paid for Acquisitions</t>
  </si>
  <si>
    <t>CF_NET_CASH_PAID_FOR_AQUIS</t>
  </si>
  <si>
    <t>Free Cash Flow</t>
  </si>
  <si>
    <t>CF_FREE_CASH_FLOW</t>
  </si>
  <si>
    <t>Free Cash Flow to Firm</t>
  </si>
  <si>
    <t>CF_FREE_CASH_FLOW_FIRM</t>
  </si>
  <si>
    <t>Free Cash Flow to Equity</t>
  </si>
  <si>
    <t>FREE_CASH_FLOW_EQUITY</t>
  </si>
  <si>
    <t>Free Cash Flow per Basic Share</t>
  </si>
  <si>
    <t>FREE_CASH_FLOW_PER_SH</t>
  </si>
  <si>
    <t>Price to Free Cash Flow</t>
  </si>
  <si>
    <t>PX_TO_FREE_CASH_FLOW</t>
  </si>
  <si>
    <t>Cash Flow to Net Income</t>
  </si>
  <si>
    <t>CASH_FLOW_TO_NET_INC</t>
  </si>
  <si>
    <t>Income Statement</t>
  </si>
  <si>
    <t xml:space="preserve">  Revenues</t>
  </si>
  <si>
    <t>Revenues</t>
  </si>
  <si>
    <t>ARD_REVENUES</t>
  </si>
  <si>
    <t>Total Revenue</t>
  </si>
  <si>
    <t>ARD_TOTAL_REVENUES</t>
  </si>
  <si>
    <t xml:space="preserve">  Operating Expenses</t>
  </si>
  <si>
    <t>Total Operating Expenses</t>
  </si>
  <si>
    <t>ARD_TOTAL_OPERATING_EXPENSES</t>
  </si>
  <si>
    <t>Cost of Goods Sold</t>
  </si>
  <si>
    <t>ARD_COST_OF_GOODS_SOLD</t>
  </si>
  <si>
    <t>R &amp; D Expenditures</t>
  </si>
  <si>
    <t>ARD_R&amp;D_EXPENDITURES</t>
  </si>
  <si>
    <t>Sales/Marketing/Advertising Expenses</t>
  </si>
  <si>
    <t>ARD_SALES_MKT_ADVERTISING_EXP</t>
  </si>
  <si>
    <t>Depreciation and Amortization</t>
  </si>
  <si>
    <t>ARD_DEPRECIATION_AMORTIZATION</t>
  </si>
  <si>
    <t>General and Administrative Expenses</t>
  </si>
  <si>
    <t>ARD_GENERAL_ADMINISTRATIVE_EXP</t>
  </si>
  <si>
    <t>Gross Profit</t>
  </si>
  <si>
    <t>ARD_GROSS_PROFITS</t>
  </si>
  <si>
    <t>Operating Income</t>
  </si>
  <si>
    <t>ARD_OPERATING_INCOME</t>
  </si>
  <si>
    <t>Total Cost of Revenues</t>
  </si>
  <si>
    <t>ARD_TOT_COST_OF_REVENUES</t>
  </si>
  <si>
    <t xml:space="preserve">  Non-Operating Expenses</t>
  </si>
  <si>
    <t>Interest Expense</t>
  </si>
  <si>
    <t>ARD_INT_EXP</t>
  </si>
  <si>
    <t>Other Non-Operating Income</t>
  </si>
  <si>
    <t>ARD_OTHER_NON_OPERATING_INC</t>
  </si>
  <si>
    <t>Income Tax Expense (Benefit)</t>
  </si>
  <si>
    <t>ARD_INCOME_TAX_EXP_BENEFIT</t>
  </si>
  <si>
    <t>Income Before Income Taxes</t>
  </si>
  <si>
    <t>ARD_INCOME_BEFORE_INCOME_TAXES</t>
  </si>
  <si>
    <t>Income Before XO Items</t>
  </si>
  <si>
    <t>ARD_INCOME_BEFORE_XO_ITEMS</t>
  </si>
  <si>
    <t xml:space="preserve">  Earnings</t>
  </si>
  <si>
    <t>Minority/Non Controlling Interest</t>
  </si>
  <si>
    <t>ARD_MINORITY_NONCONTROL_INTEREST</t>
  </si>
  <si>
    <t>Dividends Per Share</t>
  </si>
  <si>
    <t>ARD_DVD_PER_SH</t>
  </si>
  <si>
    <t>Basic EPS</t>
  </si>
  <si>
    <t>ARD_BASIC_EPS</t>
  </si>
  <si>
    <t>Diluted EPS</t>
  </si>
  <si>
    <t>ARD_DILUTED_EPS</t>
  </si>
  <si>
    <t>Net Income Available For Common Shareholders</t>
  </si>
  <si>
    <t>ARD_NET_INC_AVAIL_COM_SHRHLDR</t>
  </si>
  <si>
    <t>Profit After Taxation Before Minority</t>
  </si>
  <si>
    <t>ARD_PROF_AFTER_TAX_BEF_MINORITY</t>
  </si>
  <si>
    <t>Cumulative Net Income</t>
  </si>
  <si>
    <t>ARD_CUMULATIVE_NET_INCOME</t>
  </si>
  <si>
    <t>Net Income</t>
  </si>
  <si>
    <t>ARD_NET_INC</t>
  </si>
  <si>
    <t xml:space="preserve">  Comprehensive Income</t>
  </si>
  <si>
    <t>Net Income - Comprehensive Income</t>
  </si>
  <si>
    <t>ARDR_COMPR_INCOME_NET_INC</t>
  </si>
  <si>
    <t>ARDR_REVENUES</t>
  </si>
  <si>
    <t>ARDR_COST_OF_GOODS_SOLD</t>
  </si>
  <si>
    <t>Amortization Expense</t>
  </si>
  <si>
    <t>ARDR_AMORT_EXP</t>
  </si>
  <si>
    <t>ARDR_R&amp;D_EXPENDITURES</t>
  </si>
  <si>
    <t>ARDR_SALES_MKT_ADVERTISING_EXP</t>
  </si>
  <si>
    <t>Depreciation Expense</t>
  </si>
  <si>
    <t>ARDR_DEPRECIATION_EXP</t>
  </si>
  <si>
    <t>ARDR_DEPRECIATION_AMORTIZATION</t>
  </si>
  <si>
    <t>ARDR_INT_EXP</t>
  </si>
  <si>
    <t>Foreign Exchange</t>
  </si>
  <si>
    <t>ARDR_FOREIGN_EXCHANGE</t>
  </si>
  <si>
    <t>Write-Down/Impairment of Assets</t>
  </si>
  <si>
    <t>ARDR_WRITEDOWN_IMPAIR_OF_ASSETS</t>
  </si>
  <si>
    <t>Other One-Time Charges</t>
  </si>
  <si>
    <t>ARDR_OTHER_ONE_TIME_CHARGES</t>
  </si>
  <si>
    <t>ARDR_INCOME_TAX_EXP_BENEFIT</t>
  </si>
  <si>
    <t>Foreign Currency Translation Adjustments</t>
  </si>
  <si>
    <t>ARDR_FOR_CRNCY_TRANSLATION_ADJ</t>
  </si>
  <si>
    <t>ARDR_GENERAL_ADMINISTRATIVE_EXP</t>
  </si>
  <si>
    <t>ARDR_BASIC_EPS</t>
  </si>
  <si>
    <t>Weighted Avg. Shares - Basic</t>
  </si>
  <si>
    <t>ARDR_WEIGHTED_AVG_SHARES_BASIC</t>
  </si>
  <si>
    <t>ARDR_DILUTED_EPS</t>
  </si>
  <si>
    <t>Weighted Avg. Shares - Diluted</t>
  </si>
  <si>
    <t>ARDR_WEIGHTED_AVG_SHARE_DILUTED</t>
  </si>
  <si>
    <t>Current Rental Expense</t>
  </si>
  <si>
    <t>ARDR_CURRENT_RENTAL_EXP</t>
  </si>
  <si>
    <t>Stock Based Compensation Expense</t>
  </si>
  <si>
    <t>ARDR_STK_BASED_COMPENSATION_EXP</t>
  </si>
  <si>
    <t>Total Comprehensive Income</t>
  </si>
  <si>
    <t>ARDR_TOTAL_COMPREHENSIVE_INCOME</t>
  </si>
  <si>
    <t>Litigation Expense</t>
  </si>
  <si>
    <t>ARDR_LITIGATION_EXP</t>
  </si>
  <si>
    <t>Merger/Acquisition Expense</t>
  </si>
  <si>
    <t>ARDR_MERGER_ACQUISITION_EXPENSE</t>
  </si>
  <si>
    <t>Amortization of Intangible Assets</t>
  </si>
  <si>
    <t>ARDR_AMORT_OF_INTANGIBLE_ASSETS</t>
  </si>
  <si>
    <t>ARDR_TOTAL_REVENUES</t>
  </si>
  <si>
    <t>Current Income Tax Expense (Benefit)</t>
  </si>
  <si>
    <t>ARDR_CUR_INCOME_TAX_EXP_BENEFIT</t>
  </si>
  <si>
    <t>Deferred Income Tax Expense (Benefit)</t>
  </si>
  <si>
    <t>ARDR_DEFERRED_INC_TAX_EXP_BEN</t>
  </si>
  <si>
    <t>Net Inc Available For Common Shareholders</t>
  </si>
  <si>
    <t>ARDR_NET_INC_AVAIL_COM_SHRHLDR</t>
  </si>
  <si>
    <t>Effective Tax Rate - %</t>
  </si>
  <si>
    <t>ARDR_EFFECTIVE_TAX_RATE_PCT</t>
  </si>
  <si>
    <t>Total Fees Paid To Audit Firms</t>
  </si>
  <si>
    <t>ARDR_TOT_FEES_PAID_AUDIT_FIRMS</t>
  </si>
  <si>
    <t>Unrealized (Gain)/Loss From Secs Non-Op</t>
  </si>
  <si>
    <t>ARDR_UNREAL_GL_FROM_SECS_NON_OP</t>
  </si>
  <si>
    <t>Auditor Expense - Audit</t>
  </si>
  <si>
    <t>ARDR_AUDITOR_EXP_AUDIT</t>
  </si>
  <si>
    <t>Auditor Expense - Non Audit</t>
  </si>
  <si>
    <t>ARDR_AUDITOR_EXP_NON_AUDIT</t>
  </si>
  <si>
    <t>(Gain)/Loss Derivative/Hedging Activities</t>
  </si>
  <si>
    <t>ARDR_GL_DERIV_HEDGING_ACTIVITIES</t>
  </si>
  <si>
    <t>Diluted Net Income</t>
  </si>
  <si>
    <t>ARDR_DILUTED_NET_INCOME</t>
  </si>
  <si>
    <t>Advertising Expenses</t>
  </si>
  <si>
    <t>ARDR_ADVERTISING_EXPENSES</t>
  </si>
  <si>
    <t>Comprehensive Inc Attrib to Minority Int</t>
  </si>
  <si>
    <t>ARDR_COMPREHENSIVE_INC_ATTRIB_MI</t>
  </si>
  <si>
    <t>Stock-Based Compensation Attrib to R&amp;D</t>
  </si>
  <si>
    <t>ARDR_STOCK_BASED_CMPNSTN_IN_R&amp;D</t>
  </si>
  <si>
    <t>Stock-Based Compensation Attrib to COGS</t>
  </si>
  <si>
    <t>ARDR_STOCK_BASED_CMPNSTN_IN_COGS</t>
  </si>
  <si>
    <t>Income Tax Exp - Current Taxes (Intl)</t>
  </si>
  <si>
    <t>ARDR_ITE_CURRENT_TAX_INTL</t>
  </si>
  <si>
    <t>Income Tax Exp - Current Taxes (National)</t>
  </si>
  <si>
    <t>ARDR_ITE_CURRENT_TAX_NATL</t>
  </si>
  <si>
    <t>Income Tax Exp - Current Taxes (Local)</t>
  </si>
  <si>
    <t>ARDR_ITE_CURRENT_TAX_LCL</t>
  </si>
  <si>
    <t>Income Tax Exp - Deferred Taxes (Intl)</t>
  </si>
  <si>
    <t>ARDR_INC_DEFERRED_TAX_INTL</t>
  </si>
  <si>
    <t>Income Tax Exp - Deferred Taxes (National)</t>
  </si>
  <si>
    <t>ARDR_ITE_DEFERRED_TAX_NATL</t>
  </si>
  <si>
    <t>Income Tax Exp - Deferred Taxes (Local)</t>
  </si>
  <si>
    <t>ARDR_ITE_DEFERRED_TAX_LCL</t>
  </si>
  <si>
    <t>Non-GAAP Cost of Sales</t>
  </si>
  <si>
    <t>ARDR_NON_GAAP_COST_OF_SALES</t>
  </si>
  <si>
    <t>Non-GAAP Sales and Marketing</t>
  </si>
  <si>
    <t>ARDR_NON_GAAP_S&amp;M</t>
  </si>
  <si>
    <t>Non-GAAP General &amp; Administrative</t>
  </si>
  <si>
    <t>ARDR_NON_GAAP_G&amp;A</t>
  </si>
  <si>
    <t>Non-GAAP Research and Development</t>
  </si>
  <si>
    <t>ARDR_NON_GAAP_R&amp;D</t>
  </si>
  <si>
    <t>Non-GAAP Operating Expenses</t>
  </si>
  <si>
    <t>ARDR_NON_GAAP_OPERATING_EXPENSES</t>
  </si>
  <si>
    <t>Acquisition Related Charges - Non-GAAP G&amp;A</t>
  </si>
  <si>
    <t>ARDR_ACQ_REL_CHRGS_NON_GAAP_G&amp;A</t>
  </si>
  <si>
    <t>Stock-Based Compensation - Non-GAAP COGS</t>
  </si>
  <si>
    <t>ARDR_SBC_NON_GAAP_COGS</t>
  </si>
  <si>
    <t>Stock-Based Compensation - Non-GAAP SG&amp;A</t>
  </si>
  <si>
    <t>ARDR_SBC_NON_GAAP_SG&amp;A</t>
  </si>
  <si>
    <t>Stock-Based Compensation - Non-GAAP G&amp;A</t>
  </si>
  <si>
    <t>ARDR_SBC_NON_GAAP_G&amp;A</t>
  </si>
  <si>
    <t>Stock-Based Compensation - Non-GAAP R&amp;D</t>
  </si>
  <si>
    <t>ARDR_SBC_NON_GAAP_R&amp;D</t>
  </si>
  <si>
    <t>Other Adjustments - Non-GAAP COGS</t>
  </si>
  <si>
    <t>ARDR_OTH_ADJ_NON_GAAP_COGS</t>
  </si>
  <si>
    <t>Other Adjustments - Non-GAAP S&amp;M</t>
  </si>
  <si>
    <t>ARDR_OTH_ADJ_NON_GAAP_S&amp;M</t>
  </si>
  <si>
    <t>Other Adjustments - Non-GAAP G&amp;A</t>
  </si>
  <si>
    <t>ARDR_OTH_ADJ_NON_GAAP_G&amp;A</t>
  </si>
  <si>
    <t>Adjusted EBITDA Margin</t>
  </si>
  <si>
    <t>ARDR_ADJUSTED_EBITDA_MARGIN</t>
  </si>
  <si>
    <t>ARDR EBIT Margin</t>
  </si>
  <si>
    <t>ARDR_EBIT_MARGIN</t>
  </si>
  <si>
    <t>ARDR Revenue Growth</t>
  </si>
  <si>
    <t>ARDR_REVENUE_GROWTH</t>
  </si>
  <si>
    <t>Capital Expenditures As Reported</t>
  </si>
  <si>
    <t>ARDR_CAPEX_AS_REPORTED</t>
  </si>
  <si>
    <t>ARDR Stock Based Compensation Attributable to G&amp;AE</t>
  </si>
  <si>
    <t>ARDR_STK_BSD_COMP_ATTRIB_TO_G&amp;AE</t>
  </si>
  <si>
    <t>ARDR Stk Bsd Comp Attrib to Selling and Marketing</t>
  </si>
  <si>
    <t>ARDR_STK_BSD_COM_ATT_TO_S&amp;M</t>
  </si>
  <si>
    <t>ARDR Stock Based Compensation CF Pre Tax</t>
  </si>
  <si>
    <t>ARDR_STK_BSD_CMPNSTN_CF_PRE_TAX</t>
  </si>
  <si>
    <t>EBITDA Adjusted (One Time Items)</t>
  </si>
  <si>
    <t>ARDR_ADJUSTED_EBITDA</t>
  </si>
  <si>
    <t>First Round | NIBC 2025 Global Competition</t>
  </si>
  <si>
    <t>LEGAL DISCLAIMER</t>
  </si>
  <si>
    <r>
      <rPr>
        <b/>
        <sz val="8"/>
        <rFont val="Arial"/>
        <family val="2"/>
      </rPr>
      <t xml:space="preserve">Important Notice: </t>
    </r>
    <r>
      <rPr>
        <sz val="8"/>
        <rFont val="Arial"/>
        <family val="2"/>
      </rPr>
      <t xml:space="preserve">The case model and package including attachments are a copyright of the Board Oversight Committee of the National Investment Banking Competition (NIBC) and intended to be used only by registered competitors in NIBC. The information contained herein is copyrighted, proprietary and has not been reviewed for general external publication or audited and therefore should not be relied on or used for any other purpose than preparing a submission for the the NIBC competition. No one may copy, republish, reproduce or redistribute in any form, including electronic reproduction by "uploading" or "downloading", without prior written consent by the copyright holders. Any such use or violation of copyright will be prosecuted to the full extent of law. </t>
    </r>
  </si>
  <si>
    <r>
      <t xml:space="preserve">For additional </t>
    </r>
    <r>
      <rPr>
        <b/>
        <sz val="8"/>
        <rFont val="Arial"/>
        <family val="2"/>
      </rPr>
      <t>case resources and templates</t>
    </r>
    <r>
      <rPr>
        <sz val="8"/>
        <rFont val="Arial"/>
        <family val="2"/>
      </rPr>
      <t xml:space="preserve"> please refer to the templates section of our training library: </t>
    </r>
  </si>
  <si>
    <t>www.NIBCLive.com</t>
  </si>
  <si>
    <t>SHEET</t>
  </si>
  <si>
    <t>DESCRIPTION</t>
  </si>
  <si>
    <t>Discounted Cash Flow Valuation</t>
  </si>
  <si>
    <t>DCF - Outputs</t>
  </si>
  <si>
    <r>
      <t xml:space="preserve">Summary and model outputs </t>
    </r>
    <r>
      <rPr>
        <sz val="8"/>
        <color theme="5" tint="-0.499984740745262"/>
        <rFont val="Arial"/>
        <family val="2"/>
      </rPr>
      <t>[PowerPoint Output]</t>
    </r>
  </si>
  <si>
    <t>DCF - Assumptions</t>
  </si>
  <si>
    <t>Assumptions and inputs</t>
  </si>
  <si>
    <t>DCF - Financials</t>
  </si>
  <si>
    <t>Historical and projected financial results</t>
  </si>
  <si>
    <t>DCF - Capital Structure</t>
  </si>
  <si>
    <t>Financing assumptions and calculations</t>
  </si>
  <si>
    <t>DCF - Valuation</t>
  </si>
  <si>
    <t>Valuation assumptions and calculations</t>
  </si>
  <si>
    <t>DCF - Assumptions Document</t>
  </si>
  <si>
    <r>
      <t>Summary of key assumptions</t>
    </r>
    <r>
      <rPr>
        <sz val="8"/>
        <color rgb="FF86654A"/>
        <rFont val="Arial"/>
        <family val="2"/>
      </rPr>
      <t xml:space="preserve"> </t>
    </r>
    <r>
      <rPr>
        <sz val="8"/>
        <color theme="5" tint="-0.499984740745262"/>
        <rFont val="Arial"/>
        <family val="2"/>
      </rPr>
      <t>[PowerPoint Output]</t>
    </r>
  </si>
  <si>
    <t>Trading Comparables Valuation</t>
  </si>
  <si>
    <t>Comps - Selection</t>
  </si>
  <si>
    <r>
      <t xml:space="preserve">Summary of valuation model outputs </t>
    </r>
    <r>
      <rPr>
        <sz val="8"/>
        <color theme="5" tint="-0.499984740745262"/>
        <rFont val="Arial"/>
        <family val="2"/>
      </rPr>
      <t>[PowerPoint Output]</t>
    </r>
  </si>
  <si>
    <t>Comps - Outputs</t>
  </si>
  <si>
    <r>
      <t xml:space="preserve">Summary of comps outputs </t>
    </r>
    <r>
      <rPr>
        <sz val="8"/>
        <color theme="5" tint="-0.499984740745262"/>
        <rFont val="Arial"/>
        <family val="2"/>
      </rPr>
      <t>[PowerPoint Output]</t>
    </r>
  </si>
  <si>
    <t>Comps - Dataset</t>
  </si>
  <si>
    <t>Peergroup dataset and calculations</t>
  </si>
  <si>
    <t>Precedent Transactions Valuation</t>
  </si>
  <si>
    <t>Precedents - Selection</t>
  </si>
  <si>
    <r>
      <t xml:space="preserve">Summary of model outputs </t>
    </r>
    <r>
      <rPr>
        <sz val="8"/>
        <color theme="5" tint="-0.499984740745262"/>
        <rFont val="Arial"/>
        <family val="2"/>
      </rPr>
      <t>[PowerPoint Output]</t>
    </r>
  </si>
  <si>
    <t>Precedents - Dataset</t>
  </si>
  <si>
    <r>
      <t xml:space="preserve">Transaction dataset and calculations </t>
    </r>
    <r>
      <rPr>
        <sz val="8"/>
        <color theme="5" tint="-0.499984740745262"/>
        <rFont val="Arial"/>
        <family val="2"/>
      </rPr>
      <t>[PowerPoint Output - Please Note!]</t>
    </r>
  </si>
  <si>
    <t>Leveraged Buyout [REFERENCE ONLY]</t>
  </si>
  <si>
    <t>LBO - Outputs</t>
  </si>
  <si>
    <t>Summary of model outputs [REFERENCE ONLY - Not a First Round Deliverable]</t>
  </si>
  <si>
    <t>LBO - Assumptions</t>
  </si>
  <si>
    <t>Assumptions and inputs [REFERENCE ONLY - Not a First Round Deliverable]</t>
  </si>
  <si>
    <t>LBO - Financials</t>
  </si>
  <si>
    <t>Projected financial results [REFERENCE ONLY - Not a First Round Deliverable]</t>
  </si>
  <si>
    <t>LBO - Assumptions Document</t>
  </si>
  <si>
    <t>Summary of key assumptions [REFERENCE ONLY - Not a First Round Deliverable]</t>
  </si>
  <si>
    <t>MODEL NOTES  &amp; LEGEND</t>
  </si>
  <si>
    <t>Legend for Color Coding [mainly applies to DCF &amp; pages]</t>
  </si>
  <si>
    <t>- Assumptions to be filled in</t>
  </si>
  <si>
    <t>[ Blank ]</t>
  </si>
  <si>
    <t>- Formulas to be filled in</t>
  </si>
  <si>
    <t>- Assumptions are placeholders and should be changed based on discretion</t>
  </si>
  <si>
    <t>Blue Text</t>
  </si>
  <si>
    <t>- Assumptions that should be linked to scenario choosers</t>
  </si>
  <si>
    <t>Orange Text</t>
  </si>
  <si>
    <t>- Inputs or historical figures provided [do not change]</t>
  </si>
  <si>
    <t>- Formulas provided</t>
  </si>
  <si>
    <t>Black Text</t>
  </si>
  <si>
    <t>Important Notes</t>
  </si>
  <si>
    <r>
      <t xml:space="preserve">- </t>
    </r>
    <r>
      <rPr>
        <sz val="8"/>
        <color theme="1"/>
        <rFont val="Arial"/>
        <family val="2"/>
      </rPr>
      <t>The above does not apply to summary output pages, which for the most are already fully linked up</t>
    </r>
  </si>
  <si>
    <t>- Cells that have existing formulas or inputs should not be modified regarldess of shading unless specifically indicated</t>
  </si>
  <si>
    <t>- Currencies are in US dollars, unless otherwise specified</t>
  </si>
  <si>
    <t>- Amounts are in millions, unless otherwise specified</t>
  </si>
  <si>
    <t>- Cash flows are assumed to occur at the end of the period</t>
  </si>
  <si>
    <t>We wish you much success in the NIBC 2025 Global Investment Banking Competition!</t>
  </si>
  <si>
    <t>Historical and Projected Income Statement</t>
  </si>
  <si>
    <t>Gross Sales</t>
  </si>
  <si>
    <t>Excise Taxes</t>
  </si>
  <si>
    <t>Net Sales</t>
  </si>
  <si>
    <t>YoY Net Sales Growth</t>
  </si>
  <si>
    <t>Cost of Sales</t>
  </si>
  <si>
    <t>Total Cost of Sales</t>
  </si>
  <si>
    <t>GOGS Margin %</t>
  </si>
  <si>
    <t>Gross Margin</t>
  </si>
  <si>
    <t>Gross Margin %</t>
  </si>
  <si>
    <t>Marketing</t>
  </si>
  <si>
    <t>Other Operating Items</t>
  </si>
  <si>
    <t>Operating Expenses Margin %</t>
  </si>
  <si>
    <t>Operating Profit</t>
  </si>
  <si>
    <t>Non-operating items</t>
  </si>
  <si>
    <t>Finance income</t>
  </si>
  <si>
    <t>Finance charges</t>
  </si>
  <si>
    <t>Share of after tax results of associates and joint ventures</t>
  </si>
  <si>
    <t>Earnings before taxes</t>
  </si>
  <si>
    <t>Provision for income taxes</t>
  </si>
  <si>
    <t>Net income (loss)</t>
  </si>
  <si>
    <t>Equity shareholders of the parent company</t>
  </si>
  <si>
    <t>Non-controlling interests</t>
  </si>
  <si>
    <t>Diluted shares outstanding (mm)</t>
  </si>
  <si>
    <t>Diluted adjusted earnings (loss) per share attributable to parent company</t>
  </si>
  <si>
    <t>Other Comprehensive Income (Loss)</t>
  </si>
  <si>
    <t>Total Comprehensive Income (Loss)</t>
  </si>
  <si>
    <t>Depreciation, amortization and impairment</t>
  </si>
  <si>
    <t xml:space="preserve">Total EBITDA </t>
  </si>
  <si>
    <t>Lease Interest</t>
  </si>
  <si>
    <t xml:space="preserve">Adjusted EBITDA </t>
  </si>
  <si>
    <t>Adjusted EBITDA Margin %</t>
  </si>
  <si>
    <t>Historical and Projected Cash Flow Statement</t>
  </si>
  <si>
    <t>Funds From Operating Activities</t>
  </si>
  <si>
    <t>Dividends received</t>
  </si>
  <si>
    <t>Post employment payments less amounts included in operating profit</t>
  </si>
  <si>
    <t>Other items</t>
  </si>
  <si>
    <t>Other finance income</t>
  </si>
  <si>
    <t>Other finance charges</t>
  </si>
  <si>
    <t>Interest received</t>
  </si>
  <si>
    <t>Interest paid</t>
  </si>
  <si>
    <t>Taxation paid</t>
  </si>
  <si>
    <t>Funds from operations</t>
  </si>
  <si>
    <t>Inventories</t>
  </si>
  <si>
    <t>Trade and other receivables</t>
  </si>
  <si>
    <t>Trade and other payables and provisions</t>
  </si>
  <si>
    <t>Change in working capital</t>
  </si>
  <si>
    <t>Cash Flow from Operating Activities</t>
  </si>
  <si>
    <t>Funds From Investing Activities</t>
  </si>
  <si>
    <t>Disposal of property, plant and equipment &amp; intangibles</t>
  </si>
  <si>
    <t>Purchase of property, plant and equipment &amp; intangibles</t>
  </si>
  <si>
    <t>Movements in loans and other investments</t>
  </si>
  <si>
    <t>Sale of businesses and brands</t>
  </si>
  <si>
    <t>Acquisition of businesses</t>
  </si>
  <si>
    <t>Cash Flow from Investing Activities</t>
  </si>
  <si>
    <t>Cash flows available for debt repayment</t>
  </si>
  <si>
    <t>Funds From Financing Activities</t>
  </si>
  <si>
    <t>Share buyback programme</t>
  </si>
  <si>
    <t>Proceeds from issue of share capital</t>
  </si>
  <si>
    <t>Net sale of own shares for share schemes</t>
  </si>
  <si>
    <t>Purchase of treasury shares in respect of subsidiaries</t>
  </si>
  <si>
    <t>Dividends paid to non-controlling interests</t>
  </si>
  <si>
    <t>Proceeds from bonds</t>
  </si>
  <si>
    <t>Change in other short-term borrowings</t>
  </si>
  <si>
    <t>Repayment of bonds</t>
  </si>
  <si>
    <t>Purchase of shares of non-controlling interests</t>
  </si>
  <si>
    <t>Credit facility for target balance</t>
  </si>
  <si>
    <t>Net movements in other borrowings</t>
  </si>
  <si>
    <t>Change in lease liabilities</t>
  </si>
  <si>
    <t>Equity dividends paid</t>
  </si>
  <si>
    <t>Cash Flow from Financing Activities</t>
  </si>
  <si>
    <t>Beginning net cash balance</t>
  </si>
  <si>
    <t>Exchange differences</t>
  </si>
  <si>
    <t>Change in net cash &amp; equivalents</t>
  </si>
  <si>
    <t>Ending net cash balance</t>
  </si>
  <si>
    <t>Cash &amp; equivalents</t>
  </si>
  <si>
    <t>Bank overdrafts</t>
  </si>
  <si>
    <t>Check:</t>
  </si>
  <si>
    <t>Check Cash</t>
  </si>
  <si>
    <t>Side Calculations for Financing Sheet</t>
  </si>
  <si>
    <t>Change in Working Capital</t>
  </si>
  <si>
    <t>Other adjustments to income</t>
  </si>
  <si>
    <t>Historical and Projected Balance Sheet Statement</t>
  </si>
  <si>
    <t>Assets</t>
  </si>
  <si>
    <t>Current Assets</t>
  </si>
  <si>
    <t>Assets held for sale</t>
  </si>
  <si>
    <t>Other financial assets</t>
  </si>
  <si>
    <t>Cash and cash equivalents</t>
  </si>
  <si>
    <t>Non-current Assets</t>
  </si>
  <si>
    <t>Intangible assets</t>
  </si>
  <si>
    <t>Property, plant &amp; equipment</t>
  </si>
  <si>
    <t>Biological assets</t>
  </si>
  <si>
    <t>Investment In associates and joint ventures</t>
  </si>
  <si>
    <t>Other investments</t>
  </si>
  <si>
    <t>Other receivables</t>
  </si>
  <si>
    <t xml:space="preserve">Deferred tax assets </t>
  </si>
  <si>
    <t>Post employment benefit assets</t>
  </si>
  <si>
    <t>Liabilities &amp; Shareholders Equity</t>
  </si>
  <si>
    <t>Short-term borrowings</t>
  </si>
  <si>
    <t>Other short-term financial liabilities</t>
  </si>
  <si>
    <t>Share buyback liability</t>
  </si>
  <si>
    <t>Trade and other payables</t>
  </si>
  <si>
    <t>Liabilities held for sale</t>
  </si>
  <si>
    <t>Corporate tax payables</t>
  </si>
  <si>
    <t>Short-term Provisions</t>
  </si>
  <si>
    <t>Long-term borrowings</t>
  </si>
  <si>
    <t>Other long-term financial liabilities</t>
  </si>
  <si>
    <t>Other payables</t>
  </si>
  <si>
    <t>Long-term Provisions</t>
  </si>
  <si>
    <t>Deferred tax liabilities</t>
  </si>
  <si>
    <t>Post employment benefit liabilities</t>
  </si>
  <si>
    <t>Total Liabilities</t>
    <phoneticPr fontId="0" type="noConversion"/>
  </si>
  <si>
    <t>Share capital</t>
  </si>
  <si>
    <t>Share premium</t>
  </si>
  <si>
    <t>Other reserves</t>
  </si>
  <si>
    <t>Retained earnings</t>
  </si>
  <si>
    <t>Equity attributable to equity shareholders of the parent company</t>
  </si>
  <si>
    <t>Total Shareholders' Equity</t>
    <phoneticPr fontId="0" type="noConversion"/>
  </si>
  <si>
    <t>Total Liabilities &amp; Shareholders Equity</t>
    <phoneticPr fontId="0" type="noConversion"/>
  </si>
  <si>
    <t>Check: A = L + E</t>
  </si>
  <si>
    <t>Model Timing Assumptions</t>
  </si>
  <si>
    <t>Projected Fiscal Years Ending June 31</t>
  </si>
  <si>
    <t>Unit</t>
  </si>
  <si>
    <t>Type</t>
  </si>
  <si>
    <t>Company Name</t>
  </si>
  <si>
    <t>[name]</t>
  </si>
  <si>
    <t>[input]</t>
  </si>
  <si>
    <t>Bumble INC</t>
  </si>
  <si>
    <t>Present value date</t>
  </si>
  <si>
    <t>[date]</t>
  </si>
  <si>
    <t>Periodicity</t>
  </si>
  <si>
    <t>[#]</t>
  </si>
  <si>
    <t>Months per period</t>
  </si>
  <si>
    <t>[calc]</t>
  </si>
  <si>
    <t>Days per period</t>
  </si>
  <si>
    <t>Number of historical periods in model</t>
  </si>
  <si>
    <t>Number of forecasted periods in model</t>
  </si>
  <si>
    <t>Months per year</t>
  </si>
  <si>
    <t>Thousands</t>
  </si>
  <si>
    <t>Most recent reporting date</t>
  </si>
  <si>
    <t xml:space="preserve">Next reporting date </t>
  </si>
  <si>
    <t>First historic reporting date in model</t>
  </si>
  <si>
    <t>Last projected reporting date in model</t>
  </si>
  <si>
    <t>Most recent period</t>
  </si>
  <si>
    <t>[year]</t>
  </si>
  <si>
    <t>Current period</t>
  </si>
  <si>
    <t>First historic period in model</t>
  </si>
  <si>
    <t>Last projected period in model</t>
  </si>
  <si>
    <t>Key Scenario Chooser</t>
  </si>
  <si>
    <t>Key Debt Outputs</t>
  </si>
  <si>
    <t>[times]</t>
  </si>
  <si>
    <t>Scn</t>
  </si>
  <si>
    <t>Scenario 1 - Gross Margin %</t>
  </si>
  <si>
    <t>Scenario 2 - Gross Margin %</t>
  </si>
  <si>
    <t>Scenario 3 - Gross Margin %</t>
  </si>
  <si>
    <t>Scenario 1 - Marketing Expense Margin %</t>
  </si>
  <si>
    <t>Scenario 2 - Marketing Expense Margin %</t>
  </si>
  <si>
    <t>Scenario 3 - Marketing Expense Margin %</t>
  </si>
  <si>
    <t>Scenario 1 - Other Operating Expense Margin %</t>
  </si>
  <si>
    <t>Scenario 2 - Other Operating Expense Margin %</t>
  </si>
  <si>
    <t>Scenario 3 - Other Operating Expense Margin %</t>
  </si>
  <si>
    <t>Revenue Forecast Model</t>
  </si>
  <si>
    <t>North America Net Sales</t>
  </si>
  <si>
    <t>[$mm]</t>
  </si>
  <si>
    <t>[%]</t>
  </si>
  <si>
    <t>Europe Net Sales</t>
  </si>
  <si>
    <t>Africa Net Sales</t>
  </si>
  <si>
    <t>LatAm and Caribbean Net Sales</t>
  </si>
  <si>
    <t>Asia Pacific Net Sales</t>
  </si>
  <si>
    <t>Corporate Net Sales</t>
  </si>
  <si>
    <t>Total Net Sales</t>
  </si>
  <si>
    <t>Total Net Sales Growth</t>
  </si>
  <si>
    <t xml:space="preserve">Operating Cost Forecast </t>
  </si>
  <si>
    <t>Cost of Net Sales</t>
  </si>
  <si>
    <t>As a % of Net Sales</t>
  </si>
  <si>
    <t>Gross Margin (%)</t>
  </si>
  <si>
    <t>Cost of Net Sales (%)</t>
  </si>
  <si>
    <t>Total Cost of Net Sales</t>
  </si>
  <si>
    <t>Marketing Expense</t>
  </si>
  <si>
    <t>Marketing Expense (%)</t>
  </si>
  <si>
    <t>Total Marketing Expense</t>
  </si>
  <si>
    <t>Other Operating Expense</t>
  </si>
  <si>
    <t>Other Operating Expense (%)</t>
  </si>
  <si>
    <t>Total Other Operating Expense</t>
  </si>
  <si>
    <t>Total Operating Expense</t>
  </si>
  <si>
    <t>EBITDA [for reference only]</t>
  </si>
  <si>
    <t>EBITDA as % of Net Sales</t>
  </si>
  <si>
    <t xml:space="preserve"> EBITDA Margin</t>
  </si>
  <si>
    <t>Total EBITDA</t>
  </si>
  <si>
    <t>Working Capital Forecast Model</t>
  </si>
  <si>
    <t>Working Capital and Other</t>
  </si>
  <si>
    <t>% of Net Sales or COGS</t>
  </si>
  <si>
    <t>Net Working Capital</t>
  </si>
  <si>
    <t>Net Working Capital as % of net sales</t>
  </si>
  <si>
    <t>Capital Expenditures &amp; Capital Assets Forecast Model</t>
  </si>
  <si>
    <t>1) Addition of Capital Assets &amp; Liabilities</t>
  </si>
  <si>
    <r>
      <rPr>
        <b/>
        <sz val="8"/>
        <rFont val="Arial"/>
        <family val="2"/>
      </rPr>
      <t xml:space="preserve">PP&amp;E </t>
    </r>
    <r>
      <rPr>
        <sz val="8"/>
        <rFont val="Arial"/>
        <family val="2"/>
      </rPr>
      <t>- Opening Balance</t>
    </r>
  </si>
  <si>
    <t>Additions</t>
  </si>
  <si>
    <t>Depreciation</t>
  </si>
  <si>
    <t>Adjustment (including acquisitions &amp; disposals)</t>
  </si>
  <si>
    <t>Ending Balance</t>
  </si>
  <si>
    <t>Addition as % of net sales</t>
  </si>
  <si>
    <t xml:space="preserve">[calc] </t>
  </si>
  <si>
    <t>Depreciation as % of additions</t>
  </si>
  <si>
    <r>
      <t xml:space="preserve">Right-Of-Use Assets </t>
    </r>
    <r>
      <rPr>
        <sz val="8"/>
        <rFont val="Arial"/>
        <family val="2"/>
      </rPr>
      <t>- Opening Balance</t>
    </r>
  </si>
  <si>
    <r>
      <t xml:space="preserve">Intangible Assets </t>
    </r>
    <r>
      <rPr>
        <sz val="8"/>
        <rFont val="Arial"/>
        <family val="2"/>
      </rPr>
      <t>- Opening Balance</t>
    </r>
  </si>
  <si>
    <t>Amortization &amp; Impairment</t>
  </si>
  <si>
    <t>Additions as % of net sales</t>
  </si>
  <si>
    <t>Amortization &amp; Impairment as % of additions</t>
  </si>
  <si>
    <t>Total Depreciation, Amortization &amp; Impairment</t>
  </si>
  <si>
    <t>Other Assumptions</t>
  </si>
  <si>
    <t>1) Finance Income Assumptions</t>
  </si>
  <si>
    <t>Cash &amp; cash equivalents</t>
  </si>
  <si>
    <t>Interest income % of cash &amp; cash equivalents</t>
  </si>
  <si>
    <t>Interest income</t>
  </si>
  <si>
    <t>Total Finance Income</t>
  </si>
  <si>
    <t>2) Other Income Statement Assumptions</t>
  </si>
  <si>
    <t>Tax rate</t>
  </si>
  <si>
    <t>Inflation [not in use]</t>
  </si>
  <si>
    <t>Inflation Index [not in use]</t>
  </si>
  <si>
    <t>3) Other Finance Charges Assumptions</t>
  </si>
  <si>
    <t>Fair value adjustment on financial instruments</t>
  </si>
  <si>
    <t>Total other finance charges</t>
  </si>
  <si>
    <t>4) Shares Outstanding Assumptions</t>
  </si>
  <si>
    <t>Beginning Shares Outstanding</t>
  </si>
  <si>
    <t>Share Buyback Programme</t>
  </si>
  <si>
    <t>Number of Shares Cancelled</t>
  </si>
  <si>
    <t>Average buyback share price</t>
  </si>
  <si>
    <t>Share Issuance Proceeds</t>
  </si>
  <si>
    <t>Number of Shares Issued</t>
  </si>
  <si>
    <t>Dilutive potential ordinary shares</t>
  </si>
  <si>
    <t>Other adjustment and stock based compensation</t>
  </si>
  <si>
    <t>DCF Summary - Operating Cashflows</t>
  </si>
  <si>
    <t>Cashflow Forecast</t>
  </si>
  <si>
    <t>* All amounts in millions of US dollars except per share and multiples</t>
  </si>
  <si>
    <t>Net Sales Growth</t>
  </si>
  <si>
    <t>Adjusted EBITDA</t>
  </si>
  <si>
    <t>EBITDA margin</t>
  </si>
  <si>
    <t>EBITDA growth</t>
  </si>
  <si>
    <t>DCF Summary - Financing Cashflows</t>
  </si>
  <si>
    <t>Other cashflow from operation adjustments</t>
  </si>
  <si>
    <t>Working capital and other adjustments</t>
  </si>
  <si>
    <t>Capital Expenditure</t>
  </si>
  <si>
    <t>Free Cashflows / Cashflows for Debt Service</t>
  </si>
  <si>
    <t>Net Finance Income (Charges)</t>
  </si>
  <si>
    <t>Issuance (repayment) of debt</t>
  </si>
  <si>
    <t xml:space="preserve">Other </t>
  </si>
  <si>
    <t>Cashflow Available for Equity Distributions</t>
  </si>
  <si>
    <t>Equity issuance / repurchase</t>
  </si>
  <si>
    <t>Dividends (incl. distributions of cash balance)</t>
  </si>
  <si>
    <t>Other financing activities</t>
  </si>
  <si>
    <t>Net Cashflows</t>
  </si>
  <si>
    <t>Ending Cash Balance</t>
  </si>
  <si>
    <t>Ending Debt Balance</t>
  </si>
  <si>
    <t>Ending Net Debt Balance</t>
  </si>
  <si>
    <t>Net Debt to EBITDA</t>
  </si>
  <si>
    <t>Adjusted EBITDA / Interest Expense</t>
  </si>
  <si>
    <t>Diluted shares outstanding (millions)</t>
  </si>
  <si>
    <t xml:space="preserve"> </t>
  </si>
  <si>
    <t>Check: Change in cash &amp; equivalents</t>
  </si>
  <si>
    <t>DCF Summary - Valuation Results</t>
  </si>
  <si>
    <t>DCF Valuation Results</t>
  </si>
  <si>
    <t>Add: Depreciation, amortization &amp; impairment</t>
  </si>
  <si>
    <t>Less: Capital Expenditures including funded by share issuance</t>
  </si>
  <si>
    <t>Free cash flows to the firm for valuation (FCFF)</t>
  </si>
  <si>
    <t>Enterprise Value Multiple Method</t>
  </si>
  <si>
    <t>WACC Assumptions</t>
  </si>
  <si>
    <t>Valuation date</t>
  </si>
  <si>
    <t>Benchmark rate</t>
  </si>
  <si>
    <t>Terminal Value</t>
  </si>
  <si>
    <t>Expected market return</t>
  </si>
  <si>
    <t>Present Value of Terminal Value</t>
  </si>
  <si>
    <t>Market risk premium</t>
  </si>
  <si>
    <t>Present Value of Forecast FCF</t>
  </si>
  <si>
    <t>Beta</t>
  </si>
  <si>
    <t>Enterprise Value</t>
  </si>
  <si>
    <t>CAPM Cost of Equity</t>
  </si>
  <si>
    <t>Less: Net Debt</t>
  </si>
  <si>
    <t>Cost of debt</t>
  </si>
  <si>
    <t>Less: Unfunded Pension Liabilities (After-Tax)</t>
  </si>
  <si>
    <t>Less: Non-controlling Interest</t>
  </si>
  <si>
    <t>After Tax Cost of Debt</t>
  </si>
  <si>
    <t>Add: Fair Market Value of associates and joint ventures</t>
  </si>
  <si>
    <t>Target gearing</t>
  </si>
  <si>
    <t>Equity Value (Market Cap)</t>
  </si>
  <si>
    <t>WACC</t>
  </si>
  <si>
    <t>Fair Value Share Price (USD)</t>
  </si>
  <si>
    <t>Key Assumptions Scenario Builder</t>
  </si>
  <si>
    <t>Revenues:</t>
  </si>
  <si>
    <t>Costs:</t>
  </si>
  <si>
    <t>Scenario 1 - General &amp; Adminisstrative Expense Margin %</t>
  </si>
  <si>
    <t>Scenario 2 - General &amp; Adminisstrative Expense Margin %</t>
  </si>
  <si>
    <t>Scenario 3 - General &amp; Adminisstrative Expense Margin %</t>
  </si>
  <si>
    <t>Scenario 1 - Product Development Expense Margin %</t>
  </si>
  <si>
    <t>Scenario 2 - Product Development Expense Margin %</t>
  </si>
  <si>
    <t>Scenario 3 - Product Development Expense Margin %</t>
  </si>
  <si>
    <t>Revenue</t>
  </si>
  <si>
    <t>Bumble</t>
  </si>
  <si>
    <t>Bumble Paying User Base</t>
  </si>
  <si>
    <t>Growth (%)</t>
  </si>
  <si>
    <t>Bumble ARPU</t>
  </si>
  <si>
    <t>Bumble Revenues</t>
  </si>
  <si>
    <t>Other App Revenue</t>
  </si>
  <si>
    <t>Badoo + Other App Paying User Base</t>
  </si>
  <si>
    <t>Badoo + Other App ARPU</t>
  </si>
  <si>
    <t>Badoo + Other App Revenue</t>
  </si>
  <si>
    <t>Total Revenue Growth</t>
  </si>
  <si>
    <t>Cost of Revenue</t>
  </si>
  <si>
    <t>As a % of Revenue</t>
  </si>
  <si>
    <t>Cost of Revenue (%)</t>
  </si>
  <si>
    <t>General &amp; Administrative Expense</t>
  </si>
  <si>
    <t>Product Development Expense</t>
  </si>
  <si>
    <t>Product Development Expense (%)</t>
  </si>
  <si>
    <t>Total Product Development Expense</t>
  </si>
  <si>
    <t>% of Revenue or COGS</t>
  </si>
  <si>
    <t>Accounts Receivable</t>
  </si>
  <si>
    <t>Accounts Payable</t>
  </si>
  <si>
    <t>Deferred Revenue</t>
  </si>
  <si>
    <t>Accrued Expenses &amp; Other</t>
  </si>
  <si>
    <r>
      <rPr>
        <b/>
        <sz val="14"/>
        <rFont val="Arial"/>
        <family val="2"/>
      </rPr>
      <t xml:space="preserve">PP&amp;E and Right of Use </t>
    </r>
    <r>
      <rPr>
        <sz val="14"/>
        <rFont val="Arial"/>
        <family val="2"/>
      </rPr>
      <t>- Opening Balance</t>
    </r>
  </si>
  <si>
    <r>
      <t xml:space="preserve">Intangible Assets </t>
    </r>
    <r>
      <rPr>
        <sz val="14"/>
        <rFont val="Arial"/>
        <family val="2"/>
      </rPr>
      <t>- Opening Balance</t>
    </r>
  </si>
  <si>
    <r>
      <t xml:space="preserve">Goodwill  </t>
    </r>
    <r>
      <rPr>
        <sz val="14"/>
        <rFont val="Arial"/>
        <family val="2"/>
      </rPr>
      <t>- Opening Balance</t>
    </r>
  </si>
  <si>
    <t>Adjustment / Impairment</t>
  </si>
  <si>
    <t>Addition</t>
  </si>
  <si>
    <t>Impairment</t>
  </si>
  <si>
    <t>Total Depreciation &amp; Amortization</t>
  </si>
  <si>
    <t>Interest income / expense</t>
  </si>
  <si>
    <t>Earnings before Taxes</t>
  </si>
  <si>
    <t xml:space="preserve">Adjustments </t>
  </si>
  <si>
    <t>Actual / Estimated Tax Rate</t>
  </si>
  <si>
    <t>Estimated Taxes</t>
  </si>
  <si>
    <t>Average Share Issuance Price</t>
  </si>
  <si>
    <t>Number of Stocks Issued for Stock-Based Compensation</t>
  </si>
  <si>
    <t>Share Price</t>
  </si>
  <si>
    <t>Stock Compensation</t>
  </si>
  <si>
    <t>Stock Based Compensation as a % of Revenues</t>
  </si>
  <si>
    <t>Number of Shares Bought Back</t>
  </si>
  <si>
    <t>Average Buyback Share Price</t>
  </si>
  <si>
    <t>Share Buyback Amount</t>
  </si>
  <si>
    <t>Diluted shares outstanding - beginning</t>
  </si>
  <si>
    <t>Stock based compensation</t>
  </si>
  <si>
    <t>Shares Bought Back</t>
  </si>
  <si>
    <t>Diluted shares outstanding - ending</t>
  </si>
  <si>
    <t>YoY Revenue Growth</t>
  </si>
  <si>
    <t>COGS Margin %</t>
  </si>
  <si>
    <t>Selling &amp; Marketing</t>
  </si>
  <si>
    <t>General &amp; Administrative</t>
  </si>
  <si>
    <t>Depreciation &amp; Amortization</t>
  </si>
  <si>
    <t>Interest income (expense)</t>
  </si>
  <si>
    <t>Income tax</t>
  </si>
  <si>
    <t>Non-controlling interest</t>
  </si>
  <si>
    <t>n.a.</t>
  </si>
  <si>
    <t xml:space="preserve">Add Backs: </t>
  </si>
  <si>
    <t>Other Adjustments</t>
  </si>
  <si>
    <t>Net Earnings (Loss)</t>
  </si>
  <si>
    <t xml:space="preserve">Depreciation &amp; Amortization </t>
  </si>
  <si>
    <t xml:space="preserve">Stock Based Compensation </t>
  </si>
  <si>
    <t>Deferred Income Taxes</t>
  </si>
  <si>
    <t>Other Non-Cash Adj including Impairments</t>
  </si>
  <si>
    <t>Funds from Operations</t>
  </si>
  <si>
    <t xml:space="preserve">Change in Working Capital </t>
  </si>
  <si>
    <t>Funds from Investing Activities</t>
  </si>
  <si>
    <t>Total Cash Flows from Investing</t>
  </si>
  <si>
    <t>Cash from Common Stock Issuance</t>
  </si>
  <si>
    <t>Share Buyback</t>
  </si>
  <si>
    <t>Cash from Debt Issuance</t>
  </si>
  <si>
    <t>Cash from Debt Repayments</t>
  </si>
  <si>
    <t>Other (incl. restricted cash and change in accounting policies after IPO)</t>
  </si>
  <si>
    <t xml:space="preserve">Change in cash </t>
  </si>
  <si>
    <t>Cash &amp; Equivalents</t>
  </si>
  <si>
    <t>Accounts Receivable (Trade)</t>
  </si>
  <si>
    <t>PP&amp;E and Right of Use Assets</t>
  </si>
  <si>
    <t>Deferred Income Tax Assets</t>
  </si>
  <si>
    <t>Other Non-Current Assets</t>
  </si>
  <si>
    <t>Deferred Revenue (Short-Term)</t>
  </si>
  <si>
    <t>Long Term Lease Liabilities</t>
  </si>
  <si>
    <t>Deferred Income Tax Liabilities</t>
  </si>
  <si>
    <t>Other Non Current Liabilities</t>
  </si>
  <si>
    <t>Provision for Taxation</t>
  </si>
  <si>
    <t xml:space="preserve">Common Stock </t>
  </si>
  <si>
    <t xml:space="preserve">Additional Paid in Capital </t>
  </si>
  <si>
    <t>Treasury Stock</t>
  </si>
  <si>
    <t>Retained Earnings</t>
  </si>
  <si>
    <t>Other Equity</t>
  </si>
  <si>
    <t>Non-Controlling Interest</t>
  </si>
  <si>
    <t>Debt Drawdown and Repayment Summary</t>
  </si>
  <si>
    <t>Long-term Debt</t>
  </si>
  <si>
    <t>Total Long-Term Debt Summary</t>
  </si>
  <si>
    <t>Beginning Debt Outstanding</t>
  </si>
  <si>
    <t>New Additions</t>
  </si>
  <si>
    <t>Repayments</t>
  </si>
  <si>
    <t>Fair Value Adjustments</t>
  </si>
  <si>
    <t>Ending Debt Outstanding</t>
  </si>
  <si>
    <t>0. Existing Long-Term Debt [not in use]</t>
  </si>
  <si>
    <t>Bonds Outstanding (Beginning)</t>
  </si>
  <si>
    <t xml:space="preserve">New Bonds Issued </t>
  </si>
  <si>
    <t>[calc, input]</t>
  </si>
  <si>
    <t>Scheduled Repayments</t>
  </si>
  <si>
    <r>
      <t>Bonds Outstanding (Ending)</t>
    </r>
    <r>
      <rPr>
        <vertAlign val="superscript"/>
        <sz val="8"/>
        <rFont val="Arial"/>
        <family val="2"/>
      </rPr>
      <t>1</t>
    </r>
  </si>
  <si>
    <r>
      <rPr>
        <vertAlign val="superscript"/>
        <sz val="8"/>
        <rFont val="Arial"/>
        <family val="2"/>
      </rPr>
      <t>1</t>
    </r>
    <r>
      <rPr>
        <sz val="8"/>
        <rFont val="Arial"/>
        <family val="2"/>
      </rPr>
      <t>Assumes short-term bonds will be all repaid</t>
    </r>
  </si>
  <si>
    <t>Long-term Credit Facility</t>
  </si>
  <si>
    <t>Bank Loans (Beginning)</t>
  </si>
  <si>
    <t xml:space="preserve">Addition </t>
  </si>
  <si>
    <t>Repayment</t>
  </si>
  <si>
    <t>Debt Issuance for Min Cash Balance</t>
  </si>
  <si>
    <t>Addition for Leverage Target</t>
  </si>
  <si>
    <t>Repayment for Leverage Target</t>
  </si>
  <si>
    <r>
      <t>Bank Loans (Ending)</t>
    </r>
    <r>
      <rPr>
        <vertAlign val="superscript"/>
        <sz val="8"/>
        <rFont val="Arial"/>
        <family val="2"/>
      </rPr>
      <t>2</t>
    </r>
  </si>
  <si>
    <t>Effective Interest Rate</t>
  </si>
  <si>
    <t>Interest Expense on Borrowings</t>
  </si>
  <si>
    <t>+ Explanation</t>
  </si>
  <si>
    <t>=-MIN(L152,-MIN(L91+L117-SUM(L27:L30)-L75-L22,0))</t>
  </si>
  <si>
    <t>L152 = excess cash above min cash balance</t>
  </si>
  <si>
    <t>L91 = min cash balance</t>
  </si>
  <si>
    <t>L117 = target net debt</t>
  </si>
  <si>
    <t>SUM (L27:L30) = long-term debt balance with scheduled additions &amp; repayments</t>
  </si>
  <si>
    <t>lower of (min cash balance + target net debt - existing debt, or zero)</t>
  </si>
  <si>
    <t>want to keep min cash balance, want to keep target net debt</t>
  </si>
  <si>
    <t>whatever excess cash I have</t>
  </si>
  <si>
    <t>from this I will use to repay whatever amount my existing debt is above the min cash balance + target net debt</t>
  </si>
  <si>
    <t>which is the max I'm able to repay</t>
  </si>
  <si>
    <t>2. Long-term Lease Liabilities [keep constant]</t>
  </si>
  <si>
    <t>Lease Liabilities Amount Outstanding (Beginning)</t>
  </si>
  <si>
    <t>Addition (net of discount)</t>
  </si>
  <si>
    <t>Repayment (net of discount)</t>
  </si>
  <si>
    <t>Lease Liabilities Amount Outstanding (Ending)</t>
  </si>
  <si>
    <t>PP&amp;E</t>
  </si>
  <si>
    <t>Lease liabilities as % of PP&amp;E</t>
  </si>
  <si>
    <r>
      <t>Interest Expense</t>
    </r>
    <r>
      <rPr>
        <vertAlign val="superscript"/>
        <sz val="8"/>
        <rFont val="Arial"/>
        <family val="2"/>
      </rPr>
      <t>3</t>
    </r>
  </si>
  <si>
    <t>Interest Expense on bonds, overdrafts, and bank loans</t>
  </si>
  <si>
    <t>Interest Expense on lease borrowings</t>
  </si>
  <si>
    <r>
      <t>Total Interest Expense on Long-Term Debt</t>
    </r>
    <r>
      <rPr>
        <b/>
        <vertAlign val="superscript"/>
        <sz val="8"/>
        <rFont val="Arial"/>
        <family val="2"/>
      </rPr>
      <t>3</t>
    </r>
  </si>
  <si>
    <r>
      <rPr>
        <vertAlign val="superscript"/>
        <sz val="8"/>
        <rFont val="Arial"/>
        <family val="2"/>
      </rPr>
      <t xml:space="preserve">2 </t>
    </r>
    <r>
      <rPr>
        <sz val="8"/>
        <rFont val="Arial"/>
        <family val="2"/>
      </rPr>
      <t>The credit facility is modeled as revolver to achieve target debt balance</t>
    </r>
  </si>
  <si>
    <r>
      <rPr>
        <vertAlign val="superscript"/>
        <sz val="8"/>
        <rFont val="Arial"/>
        <family val="2"/>
      </rPr>
      <t xml:space="preserve">3 </t>
    </r>
    <r>
      <rPr>
        <sz val="8"/>
        <rFont val="Arial"/>
        <family val="2"/>
      </rPr>
      <t xml:space="preserve">To avoid need for macros to break iteration, interest expense is approximated based on opening account balances; interest expense should be estimated based on a blended interest rate </t>
    </r>
  </si>
  <si>
    <t>Short-term Debt</t>
  </si>
  <si>
    <t>Total Short-term Debt</t>
  </si>
  <si>
    <t>Bank Overdraft [not in use]</t>
  </si>
  <si>
    <t>Bank Overdraft (Beginning)</t>
  </si>
  <si>
    <t>Bank Overdraft (Ending)</t>
  </si>
  <si>
    <t>Bank overdraft as % of beginning cash &amp; cash equivalents</t>
  </si>
  <si>
    <t>Cash Balance</t>
  </si>
  <si>
    <t>Total Long-Term Debt</t>
  </si>
  <si>
    <t>% Portion of Last Year Long-Term Debt</t>
  </si>
  <si>
    <t>Adjustment</t>
  </si>
  <si>
    <t>Target Debt Sizing</t>
  </si>
  <si>
    <t xml:space="preserve">Sizing of Debt Drawdown </t>
  </si>
  <si>
    <r>
      <t>Net Debt / Adjusted EBITDA (Input)</t>
    </r>
    <r>
      <rPr>
        <vertAlign val="superscript"/>
        <sz val="8"/>
        <rFont val="Arial"/>
        <family val="2"/>
      </rPr>
      <t>1,2,3,4</t>
    </r>
  </si>
  <si>
    <t>Less: Target Net Cash Balance</t>
  </si>
  <si>
    <t>[input, calc]</t>
  </si>
  <si>
    <t>Dividends % of Extra Cash</t>
  </si>
  <si>
    <t>Net Debt / Adjusted EBITDA (Output)</t>
  </si>
  <si>
    <t>Adjusted EBITDA / Interest Expense (Output)</t>
  </si>
  <si>
    <r>
      <rPr>
        <vertAlign val="superscript"/>
        <sz val="8"/>
        <rFont val="Arial"/>
        <family val="2"/>
      </rPr>
      <t>1</t>
    </r>
    <r>
      <rPr>
        <sz val="8"/>
        <rFont val="Arial"/>
        <family val="2"/>
      </rPr>
      <t xml:space="preserve"> Any shortfall in operating cashflows that would cause the cash balance to dip below zerio will automatically be funded by additional draws on the credit facility</t>
    </r>
  </si>
  <si>
    <r>
      <rPr>
        <vertAlign val="superscript"/>
        <sz val="8"/>
        <rFont val="Arial"/>
        <family val="2"/>
      </rPr>
      <t>2</t>
    </r>
    <r>
      <rPr>
        <sz val="8"/>
        <rFont val="Arial"/>
        <family val="2"/>
      </rPr>
      <t xml:space="preserve"> Subject to funding any operating deficits to prevent the cash balance from turning negative, this section calculates how much debt would need to be drawn or repaid in order to achieve the targeteted debt metric</t>
    </r>
  </si>
  <si>
    <r>
      <rPr>
        <vertAlign val="superscript"/>
        <sz val="8"/>
        <rFont val="Arial"/>
        <family val="2"/>
      </rPr>
      <t>3</t>
    </r>
    <r>
      <rPr>
        <sz val="8"/>
        <rFont val="Arial"/>
        <family val="2"/>
      </rPr>
      <t xml:space="preserve"> The input for sizing the target debt amount is Net Debt / EBITDA, which is common, although other metrics should be evaluated in conjunction with setting a Nebt Debt / EBITDA target</t>
    </r>
  </si>
  <si>
    <r>
      <rPr>
        <vertAlign val="superscript"/>
        <sz val="8"/>
        <rFont val="Arial"/>
        <family val="2"/>
      </rPr>
      <t xml:space="preserve">4 </t>
    </r>
    <r>
      <rPr>
        <sz val="8"/>
        <rFont val="Arial"/>
        <family val="2"/>
      </rPr>
      <t>Residual cash remaining in the system is determined by the dividend payout ratio in the below section</t>
    </r>
  </si>
  <si>
    <t>Debt Outputs</t>
  </si>
  <si>
    <t>Total Long-term Debt</t>
  </si>
  <si>
    <t>Other Short-term Debt (excluding overdrafts)</t>
  </si>
  <si>
    <t>Lease Liabilities</t>
  </si>
  <si>
    <t>Derivative Financial Instruments</t>
  </si>
  <si>
    <r>
      <t>Less: Net Cash &amp; Cash Equivalents</t>
    </r>
    <r>
      <rPr>
        <vertAlign val="superscript"/>
        <sz val="8"/>
        <rFont val="Arial"/>
        <family val="2"/>
      </rPr>
      <t>1</t>
    </r>
  </si>
  <si>
    <t>Post Employment Benefit Liabilities (Pre-Tax)</t>
  </si>
  <si>
    <t>Adjusted Net Debt</t>
  </si>
  <si>
    <t>Interest Expense (on average balance for debt sizing)</t>
  </si>
  <si>
    <r>
      <rPr>
        <vertAlign val="superscript"/>
        <sz val="8"/>
        <rFont val="Arial"/>
        <family val="2"/>
      </rPr>
      <t>1</t>
    </r>
    <r>
      <rPr>
        <sz val="8"/>
        <rFont val="Arial"/>
        <family val="2"/>
      </rPr>
      <t>Reflects changes in bank overdraft for projected periods</t>
    </r>
  </si>
  <si>
    <t>Target Debt Cap</t>
  </si>
  <si>
    <t xml:space="preserve">Use debt cap?      </t>
  </si>
  <si>
    <t>Target Adjusted Net Debt Ending Balance</t>
  </si>
  <si>
    <t>Interim Calculation</t>
  </si>
  <si>
    <t>Target total net debt</t>
  </si>
  <si>
    <t>Target net cash balance</t>
  </si>
  <si>
    <t>Target total debt</t>
  </si>
  <si>
    <t>Target long-term debt balance</t>
  </si>
  <si>
    <t>Opening long-term debt balance</t>
  </si>
  <si>
    <t>Target long-term debt addition</t>
  </si>
  <si>
    <t>Long-term debt addition before bank loan leverage target</t>
  </si>
  <si>
    <t>Long-term debt repayment before bank loan leverage target</t>
  </si>
  <si>
    <t>Bank loan addition for minimum cash balance</t>
  </si>
  <si>
    <t>Addition of bank loan for leverage target</t>
  </si>
  <si>
    <t>Cashflow for Debt Drawdown for Min Cash Balance</t>
  </si>
  <si>
    <t>Repayment for leverage target</t>
  </si>
  <si>
    <t>Total extra cash before dividend &amp; share repurchase</t>
  </si>
  <si>
    <t>Share buyback</t>
  </si>
  <si>
    <t>Dividend</t>
  </si>
  <si>
    <t>Share Buyback % of Extra Cash Available</t>
  </si>
  <si>
    <t>Dividends % of Extra Cash Available</t>
  </si>
  <si>
    <t>Cashflows Available for Equity</t>
  </si>
  <si>
    <t>Cashflows Available for Period</t>
  </si>
  <si>
    <t>Cashflow available for debt service</t>
  </si>
  <si>
    <t>Scheduled Debt Addition</t>
  </si>
  <si>
    <t>Scheduled Debt Repayment</t>
  </si>
  <si>
    <t>Cash at beginning of period</t>
  </si>
  <si>
    <t>Less: Target Cash Balance (negative)</t>
  </si>
  <si>
    <t>Excess cash balance for cash</t>
  </si>
  <si>
    <t>Required Funding to Maintain Min Cash Balance</t>
  </si>
  <si>
    <t>Excess Funds above Min Cash Balance</t>
  </si>
  <si>
    <t>Bank loan Issuance for Min Cash Balance</t>
  </si>
  <si>
    <t>Bank loan Issuance for Leverage Target [not in use]</t>
  </si>
  <si>
    <t>Addition (Repayment) on Lease Liabilities</t>
  </si>
  <si>
    <t>Cashflow after Debt Drawdown and Repayment [not in use]</t>
  </si>
  <si>
    <t>Dividend Cover Ratio (for reference only)</t>
  </si>
  <si>
    <t>Dividends per Share</t>
  </si>
  <si>
    <t>Dividend Cover Ratio</t>
  </si>
  <si>
    <t>Common Equity, Retained Earnings &amp; Other Reserve</t>
  </si>
  <si>
    <t>Additional Paid In Capital (beginning balance)</t>
  </si>
  <si>
    <t>Equity issuance</t>
  </si>
  <si>
    <t>Adjustments and stock compensation</t>
  </si>
  <si>
    <t>Additional Paid In Capital (ending balance)</t>
  </si>
  <si>
    <t>Retained earnings beginning of year</t>
  </si>
  <si>
    <t xml:space="preserve">Net income </t>
  </si>
  <si>
    <t>Other comprehensive income (other retained earnings)</t>
  </si>
  <si>
    <t>Dividends</t>
  </si>
  <si>
    <t>Other adjustments and stock compensation</t>
  </si>
  <si>
    <t>Retained earnings end of year</t>
  </si>
  <si>
    <t>Assumptions</t>
  </si>
  <si>
    <t>WACC Calculation</t>
  </si>
  <si>
    <t>FCFF Fair Value Multiple Method [select 1 or 0 and input multiple]</t>
  </si>
  <si>
    <t>EBITDA Multiple</t>
  </si>
  <si>
    <t>[1=EV/EBITDA; 0=EV/Revenue]</t>
  </si>
  <si>
    <t>Last forecast EBITDA</t>
  </si>
  <si>
    <t>Revenue Multiple</t>
  </si>
  <si>
    <t>Last forecast Revenue</t>
  </si>
  <si>
    <t>CAPM Cost Of Equity</t>
  </si>
  <si>
    <t>Terminal value</t>
  </si>
  <si>
    <t>PV of terminal value (apply discount factor below)</t>
  </si>
  <si>
    <t>Terminal value as % of Enterprise Value</t>
  </si>
  <si>
    <t>After Tax Cost Of Debt</t>
  </si>
  <si>
    <t>PV of forecast FCF</t>
  </si>
  <si>
    <t>Forecast period as % of Enterprise Value</t>
  </si>
  <si>
    <t>Debt (hardcode as of valuation date)</t>
  </si>
  <si>
    <t>Less: Cash (hardcode as of valuation date)</t>
  </si>
  <si>
    <t>Valuation Date</t>
  </si>
  <si>
    <t>Next Year End Date</t>
  </si>
  <si>
    <r>
      <rPr>
        <vertAlign val="superscript"/>
        <sz val="8"/>
        <rFont val="Arial"/>
        <family val="2"/>
      </rPr>
      <t>1</t>
    </r>
    <r>
      <rPr>
        <sz val="8"/>
        <rFont val="Arial"/>
        <family val="2"/>
      </rPr>
      <t xml:space="preserve">Fair market value of associates and joint ventures is manually set to 0 because adjusted EBIT </t>
    </r>
  </si>
  <si>
    <r>
      <t>Add: Fair Market Value of associates and joint ventures</t>
    </r>
    <r>
      <rPr>
        <vertAlign val="superscript"/>
        <sz val="8"/>
        <rFont val="Arial"/>
        <family val="2"/>
      </rPr>
      <t>1</t>
    </r>
  </si>
  <si>
    <t xml:space="preserve">has already included the share of after tax results of associates and joint ventures </t>
  </si>
  <si>
    <r>
      <t xml:space="preserve">*Implied Shares Outstanding of common equity, assuming the conversion of all convertible subsidiary equity into common. </t>
    </r>
    <r>
      <rPr>
        <i/>
        <sz val="8"/>
        <color theme="1"/>
        <rFont val="Calibri"/>
        <family val="2"/>
        <scheme val="minor"/>
      </rPr>
      <t>Source Yahoo Finance</t>
    </r>
    <r>
      <rPr>
        <sz val="8"/>
        <color theme="1"/>
        <rFont val="Calibri"/>
        <family val="2"/>
        <scheme val="minor"/>
      </rPr>
      <t xml:space="preserve"> as of 11 December,2024</t>
    </r>
  </si>
  <si>
    <t>Shares Outstanding*</t>
  </si>
  <si>
    <t>Fair Value Share Price</t>
  </si>
  <si>
    <t>Free Cashflow Valuation</t>
  </si>
  <si>
    <t>Free Cash Flows</t>
  </si>
  <si>
    <t>Adjusted EBIT</t>
  </si>
  <si>
    <t>Less: Tax (EBIT * Tax Rate)</t>
  </si>
  <si>
    <t>Less: Capital Expenditures</t>
  </si>
  <si>
    <t>Add: Depreciation, amortization and impairment</t>
  </si>
  <si>
    <t>Add: Stock based compensation</t>
  </si>
  <si>
    <t>Add: Change in working capital and other (cashflow statement)</t>
  </si>
  <si>
    <t>Free cash flows to the firm (FCFF)</t>
  </si>
  <si>
    <t>Portion of year included in valuation</t>
  </si>
  <si>
    <t>Years to discount</t>
  </si>
  <si>
    <t>Cost of capital</t>
  </si>
  <si>
    <t>Discount factor</t>
  </si>
  <si>
    <t>PV Free Cash Flows to the Firm (FCFF)</t>
  </si>
  <si>
    <t>\</t>
  </si>
  <si>
    <t>Operating Assumptions</t>
  </si>
  <si>
    <t>Key Metrics</t>
  </si>
  <si>
    <t>CAGR/Avg</t>
  </si>
  <si>
    <t>Explanation</t>
  </si>
  <si>
    <r>
      <t xml:space="preserve">Total Revenue
</t>
    </r>
    <r>
      <rPr>
        <i/>
        <sz val="8"/>
        <color rgb="FF262626"/>
        <rFont val="Helvetica"/>
        <family val="2"/>
      </rPr>
      <t>(CAGR)</t>
    </r>
  </si>
  <si>
    <t>Bumble’s most of the revenue comes from its own app around 80%. When analysed quarterly over the last quarters, Has a growing user base at a rate of around 29% leading an impact on Bumble's overall CAGR.</t>
  </si>
  <si>
    <r>
      <t xml:space="preserve">Adjusted EBITDA Margin
</t>
    </r>
    <r>
      <rPr>
        <i/>
        <sz val="8"/>
        <color rgb="FF262626"/>
        <rFont val="Helvetica"/>
        <family val="2"/>
      </rPr>
      <t>(Average)</t>
    </r>
  </si>
  <si>
    <t>Bumble’s EBITDA margin of 6.8% reflects significant investment in growth-oriented activities like marketing and product development. These operating expenses reduce EBITDA, even if gross profit remains relatively strong. As Bumble matures and scales, such expenses may stabilize as a percentage of revenue, potentially leading to improved margins</t>
  </si>
  <si>
    <r>
      <t xml:space="preserve">Total EBITDA
</t>
    </r>
    <r>
      <rPr>
        <i/>
        <sz val="8"/>
        <color rgb="FF262626"/>
        <rFont val="Helvetica"/>
        <family val="2"/>
      </rPr>
      <t>(CAGR)</t>
    </r>
  </si>
  <si>
    <t>Bumble faces challenges in sustaining significant user base growth, leading to higher customer retention and acquisition costs. This pressure on operating expenses has contributed to slower EBITDA growth relative to revenue</t>
  </si>
  <si>
    <r>
      <t xml:space="preserve">Total EBITDA Margin
</t>
    </r>
    <r>
      <rPr>
        <i/>
        <sz val="8"/>
        <color rgb="FF262626"/>
        <rFont val="Helvetica"/>
        <family val="2"/>
      </rPr>
      <t>(Average)</t>
    </r>
  </si>
  <si>
    <r>
      <t xml:space="preserve">Justification remains the same as Adjusted EBIDTA margin </t>
    </r>
    <r>
      <rPr>
        <i/>
        <sz val="8"/>
        <rFont val="Helvetica"/>
        <family val="2"/>
      </rPr>
      <t xml:space="preserve">(Average) </t>
    </r>
    <r>
      <rPr>
        <sz val="8"/>
        <rFont val="Helvetica"/>
        <family val="2"/>
      </rPr>
      <t>as no other adjustments were made</t>
    </r>
  </si>
  <si>
    <r>
      <t xml:space="preserve">Capex (% of revenue)
</t>
    </r>
    <r>
      <rPr>
        <i/>
        <sz val="8"/>
        <color rgb="FF262626"/>
        <rFont val="Helvetica"/>
        <family val="2"/>
      </rPr>
      <t>(Average)</t>
    </r>
  </si>
  <si>
    <t>While Bumble maintains a disciplined approach to capital expenditure at 4% of revenue, the relatively low investment in long-term assets reflects its focus on operational expenses such as marketing and customer retention efforts. This balance allows Bumble to sustain platform enhancements while addressing immediate growth and retention challenges, contributing to stable EBITDA margins despite expanding revenues</t>
  </si>
  <si>
    <t>Valuation Assumptions</t>
  </si>
  <si>
    <t xml:space="preserve">Key Metric </t>
  </si>
  <si>
    <t>The beta was calculated using monthly data over a 5-year period against the NASDAQ index, with data sourced from Yahoo Finance.</t>
  </si>
  <si>
    <t xml:space="preserve">Risk-free rate </t>
  </si>
  <si>
    <t>The rate of return on 10-Year US Treasury Bonds was used as the risk-free rate, reflecting the stability of the United States as the largest global economy and Bumble’s status as a publicly listed company in the US.</t>
  </si>
  <si>
    <t xml:space="preserve">Cost of debt (pre-tax) </t>
  </si>
  <si>
    <t>The company holds an S&amp;P credit rating of B and has an interest coverage ratio of 2.41 (calculated as EBIT divided by current interest expenses). Based on this, the estimated debt spread is 3.61%, resulting in a cost of debt of 7.9% when combined with the risk-free rate of 4.3%.</t>
  </si>
  <si>
    <t>Exit EBITDA Multiple</t>
  </si>
  <si>
    <t>Valuation multiples were derived from a comparable company analysis, representing the average of selected comparables.</t>
  </si>
  <si>
    <t>w</t>
  </si>
  <si>
    <t>EV/Revenue</t>
  </si>
  <si>
    <t>Yes</t>
  </si>
  <si>
    <t>EV/EBITDA</t>
  </si>
  <si>
    <t>Notes</t>
  </si>
  <si>
    <t>Incl.?*</t>
  </si>
  <si>
    <t>(all figures presented in USD millions, except per share figures or where noted)</t>
  </si>
  <si>
    <t>* Note: Use "Incl.?" column to indicate whether a precedent should be included in the valuation [0 - No; 1 - Yes]</t>
  </si>
  <si>
    <t>Excluded due to diversified operations across multiple sectors, making direct comparison with Bumble impractical.</t>
  </si>
  <si>
    <t>Excluded for similar reasons as Meta, with operations spanning gaming, social media, and cloud services.</t>
  </si>
  <si>
    <t>Excluded as its short-form video focus and financing structure diverge from Bumble’s dating-centric model.</t>
  </si>
  <si>
    <t>Excluded as IPO-driven valuations create atypical financial metrics unsuitable for comparison.</t>
  </si>
  <si>
    <r>
      <t xml:space="preserve">Selected for </t>
    </r>
    <r>
      <rPr>
        <b/>
        <sz val="8"/>
        <color rgb="FF0E0E0E"/>
        <rFont val="Helvetica"/>
        <family val="2"/>
      </rPr>
      <t>EV/Revenue</t>
    </r>
    <r>
      <rPr>
        <sz val="8"/>
        <color rgb="FF0E0E0E"/>
        <rFont val="Helvetica"/>
        <family val="2"/>
      </rPr>
      <t xml:space="preserve"> due to its focus on top-line growth and similar engagement strategies, while </t>
    </r>
    <r>
      <rPr>
        <b/>
        <sz val="8"/>
        <color rgb="FF0E0E0E"/>
        <rFont val="Helvetica"/>
        <family val="2"/>
      </rPr>
      <t>EV/EBITDA</t>
    </r>
    <r>
      <rPr>
        <sz val="8"/>
        <color rgb="FF0E0E0E"/>
        <rFont val="Helvetica"/>
        <family val="2"/>
      </rPr>
      <t xml:space="preserve"> is excluded as an outlier.</t>
    </r>
  </si>
  <si>
    <r>
      <t xml:space="preserve">Selected for </t>
    </r>
    <r>
      <rPr>
        <b/>
        <sz val="8"/>
        <color rgb="FF0E0E0E"/>
        <rFont val="Helvetica"/>
        <family val="2"/>
      </rPr>
      <t>EV/Revenue</t>
    </r>
    <r>
      <rPr>
        <sz val="8"/>
        <color rgb="FF0E0E0E"/>
        <rFont val="Helvetica"/>
        <family val="2"/>
      </rPr>
      <t xml:space="preserve"> as it shares Bumble’s target demographic and monetization strategy, while negative </t>
    </r>
    <r>
      <rPr>
        <b/>
        <sz val="8"/>
        <color rgb="FF0E0E0E"/>
        <rFont val="Helvetica"/>
        <family val="2"/>
      </rPr>
      <t>EV/EBITDA</t>
    </r>
    <r>
      <rPr>
        <sz val="8"/>
        <color rgb="FF0E0E0E"/>
        <rFont val="Helvetica"/>
        <family val="2"/>
      </rPr>
      <t xml:space="preserve"> is excluded.</t>
    </r>
  </si>
  <si>
    <r>
      <t xml:space="preserve">Selected for both </t>
    </r>
    <r>
      <rPr>
        <b/>
        <sz val="8"/>
        <color rgb="FF0E0E0E"/>
        <rFont val="Helvetica"/>
        <family val="2"/>
      </rPr>
      <t>EV/Revenue</t>
    </r>
    <r>
      <rPr>
        <sz val="8"/>
        <color rgb="FF0E0E0E"/>
        <rFont val="Helvetica"/>
        <family val="2"/>
      </rPr>
      <t xml:space="preserve"> and </t>
    </r>
    <r>
      <rPr>
        <b/>
        <sz val="8"/>
        <color rgb="FF0E0E0E"/>
        <rFont val="Helvetica"/>
        <family val="2"/>
      </rPr>
      <t>EV/EBITDA</t>
    </r>
    <r>
      <rPr>
        <sz val="8"/>
        <color rgb="FF0E0E0E"/>
        <rFont val="Helvetica"/>
        <family val="2"/>
      </rPr>
      <t>, given its similar demographic focus and reliance on user engagement and premium features</t>
    </r>
  </si>
  <si>
    <t>Selected for both multiples due to direct competition with Bumble in the online dating industry.</t>
  </si>
  <si>
    <t>Excluded due to its distinct B2B/B2C business model in hospitality, which misaligns with Bumble’s focus on dating.</t>
  </si>
  <si>
    <t>Excluded due to its focus on travel and restaurant reviews, which diverges from Bumble’s dating-centric business.</t>
  </si>
  <si>
    <t>Selected for both multiples as it directly competes with Bumble in social networking and dating services in China.</t>
  </si>
  <si>
    <t>Cumulative Selection</t>
  </si>
  <si>
    <t>Selected Industry Multiple</t>
  </si>
  <si>
    <t>Bumble Inc.</t>
  </si>
  <si>
    <t>Total Enterprise Value</t>
  </si>
  <si>
    <t>- Debt</t>
  </si>
  <si>
    <t>- Preferred &amp; Other</t>
  </si>
  <si>
    <t>+ Cash</t>
  </si>
  <si>
    <t>Equity Value</t>
  </si>
  <si>
    <t>Shares Outstanding (m)</t>
  </si>
  <si>
    <t>Lookup Value [Do Not Change]</t>
  </si>
  <si>
    <t>Cash &amp;</t>
  </si>
  <si>
    <t>P/E</t>
  </si>
  <si>
    <t>Cap.</t>
  </si>
  <si>
    <t>Value</t>
  </si>
  <si>
    <t>S-t Inv.</t>
  </si>
  <si>
    <t>Average</t>
  </si>
  <si>
    <t>Current Year</t>
  </si>
  <si>
    <t>As Reported -&gt;</t>
  </si>
  <si>
    <t>As USD -&gt;</t>
  </si>
  <si>
    <t>Currency</t>
  </si>
  <si>
    <t>Share</t>
  </si>
  <si>
    <t>Market</t>
  </si>
  <si>
    <t>Enterprise</t>
  </si>
  <si>
    <t>Total</t>
  </si>
  <si>
    <t xml:space="preserve">Cash &amp; ST </t>
  </si>
  <si>
    <t>Earnings</t>
  </si>
  <si>
    <t>Total Debt /</t>
  </si>
  <si>
    <t>Net Debt /</t>
  </si>
  <si>
    <t xml:space="preserve">EBITDA </t>
  </si>
  <si>
    <t>BETA</t>
  </si>
  <si>
    <t>Revenue (Reported Currency)</t>
  </si>
  <si>
    <t>EBITDA (Reported Currency)</t>
  </si>
  <si>
    <t>Earnings (Reported Currency)</t>
  </si>
  <si>
    <t>Revenue (USD)</t>
  </si>
  <si>
    <t>EBITDA (USD)</t>
  </si>
  <si>
    <t>Earnings (USD)</t>
  </si>
  <si>
    <t>Exchange</t>
  </si>
  <si>
    <t>Ticker</t>
  </si>
  <si>
    <t>Price</t>
  </si>
  <si>
    <t>Debt</t>
  </si>
  <si>
    <t>Investm.</t>
  </si>
  <si>
    <t>NTM</t>
  </si>
  <si>
    <t>Total Cap.</t>
  </si>
  <si>
    <t>EV</t>
  </si>
  <si>
    <t>2023A</t>
  </si>
  <si>
    <t>LTM</t>
  </si>
  <si>
    <t>2024E</t>
  </si>
  <si>
    <t>Margin (%)</t>
  </si>
  <si>
    <t>5 Year</t>
  </si>
  <si>
    <t>Comparable Companies</t>
  </si>
  <si>
    <t>fix beta for reddit</t>
  </si>
  <si>
    <t xml:space="preserve">Meta Platforms, Inc. </t>
  </si>
  <si>
    <t>NasdaqGS:META</t>
  </si>
  <si>
    <t xml:space="preserve">Tencent Holdings Limited </t>
  </si>
  <si>
    <t>SEHK:700</t>
  </si>
  <si>
    <t xml:space="preserve">Kuaishou Technology </t>
  </si>
  <si>
    <t>SEHK:1024</t>
  </si>
  <si>
    <t xml:space="preserve">Reddit, Inc. </t>
  </si>
  <si>
    <t>NYSE:RDDT</t>
  </si>
  <si>
    <t xml:space="preserve">Pinterest, Inc. </t>
  </si>
  <si>
    <t>NYSE:PINS</t>
  </si>
  <si>
    <t xml:space="preserve">Snap Inc. </t>
  </si>
  <si>
    <t>NYSE:SNAP</t>
  </si>
  <si>
    <t xml:space="preserve">Kakao Corp. </t>
  </si>
  <si>
    <t>KOSE:A035720</t>
  </si>
  <si>
    <t xml:space="preserve">Match Group, Inc. </t>
  </si>
  <si>
    <t>NasdaqGS:MTCH</t>
  </si>
  <si>
    <t xml:space="preserve">Yelp Inc. </t>
  </si>
  <si>
    <t>NYSE:YELP</t>
  </si>
  <si>
    <t xml:space="preserve">Weibo Corporation </t>
  </si>
  <si>
    <t>NasdaqGS:WB</t>
  </si>
  <si>
    <t xml:space="preserve">Tripadvisor, Inc. </t>
  </si>
  <si>
    <t>NasdaqGS:TRIP</t>
  </si>
  <si>
    <t xml:space="preserve">Hello Group Inc. </t>
  </si>
  <si>
    <t>NasdaqGS:MOMO</t>
  </si>
  <si>
    <t>Target</t>
  </si>
  <si>
    <t xml:space="preserve">Bumble Inc. </t>
  </si>
  <si>
    <t>NasdaqGS:BMBL</t>
  </si>
  <si>
    <t>Date:</t>
  </si>
  <si>
    <t>USDUSD Currency</t>
  </si>
  <si>
    <t>USD</t>
  </si>
  <si>
    <t>USDHKD Currency</t>
  </si>
  <si>
    <t>HKD</t>
  </si>
  <si>
    <t>USDKRW Currency</t>
  </si>
  <si>
    <t>KRW</t>
  </si>
  <si>
    <t>(1) Based on basic diluted shares outstanding</t>
  </si>
  <si>
    <t>(2) Enterprise Value is defined as market capitalization, plus total debt and minority interests less cash and short-term investments; ignores equity investments</t>
  </si>
  <si>
    <t>(3) Forecast figures are based on analyst consensus forecasts</t>
  </si>
  <si>
    <t>Vlookup Counter [Do Not Change]</t>
  </si>
  <si>
    <t>Combined Entity</t>
  </si>
  <si>
    <t>Relevance to Target Valuation</t>
  </si>
  <si>
    <t>Description of Company</t>
  </si>
  <si>
    <t>Valuation Rationale</t>
  </si>
  <si>
    <t/>
  </si>
  <si>
    <t>Not relevant — income/operations differ. Freemium, but revenue driven by ads/SEO. Similar user demographic, but distinct strategy and thus different impact.</t>
  </si>
  <si>
    <t>A global social media platform for real-time information sharing, microblogging, and online networking, primarily through short messages ("tweets").</t>
  </si>
  <si>
    <t>Twitter's valuation was for its global scale, user engagement, and advertising-driven revenue model, despite challenges with consistent profitability</t>
  </si>
  <si>
    <t>Irrelevant-Bumble operates in B2C matchmaking.</t>
  </si>
  <si>
    <t>A workplace communication platform that enables team collaboration through channels, messaging, and integrations with productivity tools.</t>
  </si>
  <si>
    <t>Salesforce valuation of Slack Tech. was for its dominance in workplace collaboration and subscription-driven revenue model, enhancing Salesforce’s ecosystem with a strategic B2B complement</t>
  </si>
  <si>
    <t>Not relevant — distinct business models. BMBL’s dating focus ≠ LinkedIn’s professional networking. EV/EBITDA irrelevant — LinkedIn’s monopoly, high market share, and customer retention security.</t>
  </si>
  <si>
    <t>A professional networking platform focused on job recruitment, business connections, and sharing professional insights and content.</t>
  </si>
  <si>
    <t>Microsoft's valuation of LinkedIn was for its massive professional user base, data analytics potential, and strong monetization through ads and premium subscriptions. The lack of competition in the professional industry . networking sphere also contributed to LinkedIn acquiring the said market share very rapidly with strong  customer retention, shutting the possibilities of a major competitior arising in the next 10-15 years, thus promising a very high future growth</t>
  </si>
  <si>
    <t>Irrelevant — individual vs. corporate subscriptions. Different target markets, tech infrastructure, and user incentives.</t>
  </si>
  <si>
    <t>A communication tool offering video conferencing, voice calls, and instant messaging, widely used for personal and professional interactions.</t>
  </si>
  <si>
    <t>Acquired for its communication platform and technological infrastructure, contributing to Microsoft's ecosystem and enhancing global connectivity capabilities.</t>
  </si>
  <si>
    <t>Not relevant — acquisition at inflated valuation due to exorbitantly high market share and negligible CAC. BMBL’s features/user base unlikely to justify similar multiples.</t>
  </si>
  <si>
    <t>A messaging platform providing encrypted text, voice, and video communication, widely popular for both personal and business use globally.</t>
  </si>
  <si>
    <t>Facebook's valuation of WhatsApp was for its unparalleled user base, high engagement, and network effects, with future potential for monetization via ads and payments.</t>
  </si>
  <si>
    <t>Relevant — matchmaking models, subscription valuation, revenue streams. BMBL’s female-first = Care’s family-first. Similar consumer dynamics, useful for valuation inference</t>
  </si>
  <si>
    <t>An online marketplace connecting families with caregivers for childcare, senior care, housekeeping, and other services.</t>
  </si>
  <si>
    <t>Acquired for its niche marketplace connecting users with services, leveraging subscription revenues and user trust in the platform.</t>
  </si>
  <si>
    <t>Irrelevant as its business model focuses more on advertising revenue streams .</t>
  </si>
  <si>
    <t>A microblogging and social networking platform that allows users to share multimedia content and follow other users' blogs.</t>
  </si>
  <si>
    <t>Acquired for its creative content platform and strong user engagement, but later faced monetization challenges.</t>
  </si>
  <si>
    <t>EV/Revenue irrelevant — ad-based vs. freemium. Similar market share, pre-acquisition MoPub = current BMBL. Signals scalability tied to operational execution.</t>
  </si>
  <si>
    <t>A mobile advertising platform enabling app developers to manage ad inventory and monetize through real-time bidding and programmatic advertising.</t>
  </si>
  <si>
    <t>Acquired for its mobile advertising infrastructure and ability to help app developers monetize through programmatic ads.</t>
  </si>
  <si>
    <t>Revenue / EBITDA</t>
  </si>
  <si>
    <t>Implied Enterprise Value</t>
  </si>
  <si>
    <t>- Preferred Equity &amp; Other</t>
  </si>
  <si>
    <t>Shares Outstanding (millions)</t>
  </si>
  <si>
    <t>(All figures in USD millions, except per share or where otherwise noted)</t>
  </si>
  <si>
    <t>Buyer</t>
  </si>
  <si>
    <t>Transaction</t>
  </si>
  <si>
    <r>
      <t xml:space="preserve">EV/LTM </t>
    </r>
    <r>
      <rPr>
        <vertAlign val="superscript"/>
        <sz val="11"/>
        <color theme="0"/>
        <rFont val="Calibri"/>
        <family val="2"/>
        <scheme val="minor"/>
      </rPr>
      <t>(1)</t>
    </r>
  </si>
  <si>
    <t>Company</t>
  </si>
  <si>
    <t>Date</t>
  </si>
  <si>
    <t>Year</t>
  </si>
  <si>
    <t>Rationale</t>
  </si>
  <si>
    <t>Impl, EV</t>
  </si>
  <si>
    <t>Twitter</t>
  </si>
  <si>
    <t>Technology/Media</t>
  </si>
  <si>
    <t>Elon Musk</t>
  </si>
  <si>
    <t xml:space="preserve">Individual </t>
  </si>
  <si>
    <t>Apr-13-2022</t>
  </si>
  <si>
    <t>Pandemic user surge drove monetization, new freemium models, and higher expected returns, inflating multiples beyond BMBL's steady model.</t>
  </si>
  <si>
    <t>MoPub</t>
  </si>
  <si>
    <t>Ad-Tech</t>
  </si>
  <si>
    <t>AppLovin Corporation</t>
  </si>
  <si>
    <t>Technology</t>
  </si>
  <si>
    <t>Oct-06-2021</t>
  </si>
  <si>
    <t>B2B marketing platform with strong revenue/CAC, but low market share limited valuation upside.</t>
  </si>
  <si>
    <t>Slack Technologies</t>
  </si>
  <si>
    <t>Software</t>
  </si>
  <si>
    <t>Salesforce</t>
  </si>
  <si>
    <t>Dec-01-2020</t>
  </si>
  <si>
    <t>Unique solution, less competition lead to rapid user growth. High retention and steady growth boosted investor return expectations.</t>
  </si>
  <si>
    <t>Care.com</t>
  </si>
  <si>
    <t>Consumer Tech</t>
  </si>
  <si>
    <t>Match Group</t>
  </si>
  <si>
    <t>Dec-20-2019</t>
  </si>
  <si>
    <t xml:space="preserve">Steady revenue, trusted model, but rising CAC and shrinking market share limit growth potential. </t>
  </si>
  <si>
    <t>LinkedIn</t>
  </si>
  <si>
    <t>Social Media</t>
  </si>
  <si>
    <t>Microsoft</t>
  </si>
  <si>
    <t>Jun-11-2016</t>
  </si>
  <si>
    <t xml:space="preserve">Freemium and ad-based model, exponential user growth, low CAC, rising revenue per user, justifies high multiples. </t>
  </si>
  <si>
    <t>WhatsApp</t>
  </si>
  <si>
    <t>Messaging/Technology</t>
  </si>
  <si>
    <t>Meta</t>
  </si>
  <si>
    <t>Feb-19-2014</t>
  </si>
  <si>
    <t xml:space="preserve">Low EBITDA pre-acquisition from weak monetization, large user base promised returns via Meta’s model, boosting multiples. </t>
  </si>
  <si>
    <t>Tumblr</t>
  </si>
  <si>
    <t>Yahoo!</t>
  </si>
  <si>
    <t>May-20-2013</t>
  </si>
  <si>
    <t xml:space="preserve">Captured market share in saturated industry, strong growth signals, but weak revenue streams limited valuation certainty. </t>
  </si>
  <si>
    <t>Skype</t>
  </si>
  <si>
    <t>May-10-2011</t>
  </si>
  <si>
    <t>Virtual communication pioneer, survived dot-com crash implying high retention, but intense competition limited returns.</t>
  </si>
  <si>
    <t xml:space="preserve"> Average</t>
  </si>
  <si>
    <t>(1) EV/LTM multiple should be calculated based on Transaction EV</t>
  </si>
  <si>
    <t>Assumed LBO Transaction Summary</t>
  </si>
  <si>
    <t>Use of Funds</t>
  </si>
  <si>
    <t>Source of Funds</t>
  </si>
  <si>
    <t>Senior Debt</t>
  </si>
  <si>
    <t>Junior Debt</t>
  </si>
  <si>
    <t>Revolver</t>
  </si>
  <si>
    <t>Assumed Debt</t>
  </si>
  <si>
    <t>Transaction Costs</t>
  </si>
  <si>
    <t xml:space="preserve">   Total Debt</t>
  </si>
  <si>
    <t>Sponsor Equity</t>
  </si>
  <si>
    <t>Excess Balance Sheet Cash (Shortfall)</t>
  </si>
  <si>
    <t>Total Funds Uses</t>
  </si>
  <si>
    <t>Total Funds Sources</t>
  </si>
  <si>
    <t>Post-LBO Transaction</t>
  </si>
  <si>
    <t>Equity Cashflows</t>
  </si>
  <si>
    <t>Annual Revenue % Growth</t>
  </si>
  <si>
    <t>Annual Margin Improvement</t>
  </si>
  <si>
    <t>Average EBITDA Margin</t>
  </si>
  <si>
    <t>Operating Cashflow for Equity</t>
  </si>
  <si>
    <t>LBO Sponsor Equity</t>
  </si>
  <si>
    <t>Current</t>
  </si>
  <si>
    <t>Offered</t>
  </si>
  <si>
    <t>Premium</t>
  </si>
  <si>
    <t>Net Equity Cashflows</t>
  </si>
  <si>
    <t>IRR</t>
  </si>
  <si>
    <t>Outstanding Debt Balance</t>
  </si>
  <si>
    <t>Junior Debt Repayment</t>
  </si>
  <si>
    <t>Senior Debt Repayment</t>
  </si>
  <si>
    <t>Revolver Debt Repayment</t>
  </si>
  <si>
    <t>Assumed Debt Repayment</t>
  </si>
  <si>
    <t>Total Debt Ending Balance</t>
  </si>
  <si>
    <t>Debt/EBITDA</t>
  </si>
  <si>
    <t>Detailed LBO Cashflow Summary</t>
  </si>
  <si>
    <t>Standalone Revenues</t>
  </si>
  <si>
    <t>Revenue Synergies</t>
  </si>
  <si>
    <t>Proforma Revenue Forecast</t>
  </si>
  <si>
    <t>Revenue Growth</t>
  </si>
  <si>
    <t>Standalone EBITDA</t>
  </si>
  <si>
    <t>Revenue &amp; Margin Synergies EBITDA Contribution</t>
  </si>
  <si>
    <t>Proforma EBITDA Forecast</t>
  </si>
  <si>
    <t>EBITDA Margin</t>
  </si>
  <si>
    <t>Taxes</t>
  </si>
  <si>
    <t>Acquisitions &amp; Capex</t>
  </si>
  <si>
    <t>Cashflow for Debt Service (post Taxes, Capex, &amp; WC)</t>
  </si>
  <si>
    <t>Interest Expense on Existing Debt</t>
  </si>
  <si>
    <t>Senior LBO Debt Interest Expense</t>
  </si>
  <si>
    <t>Junior LBO Debt Interest Expense</t>
  </si>
  <si>
    <t>Mandatory Debt Service (Interest Expense)</t>
  </si>
  <si>
    <t>EBITDA / Total Interest Expense</t>
  </si>
  <si>
    <t xml:space="preserve">Cashflows for Debt Service / Total Interest Expense </t>
  </si>
  <si>
    <t>Cashflows for Debt Service / Senior Interest Expense</t>
  </si>
  <si>
    <t>FCF for LBO Debt Repayment</t>
  </si>
  <si>
    <t>Repayment of LBO Debt</t>
  </si>
  <si>
    <t>Residual Cashflow after LBO Debt Service</t>
  </si>
  <si>
    <t>LBO Purchase</t>
  </si>
  <si>
    <t>Excess Cash on Balance Sheet</t>
  </si>
  <si>
    <t>Equity Issuance for LBO</t>
  </si>
  <si>
    <t>Senior LBO Debt Issuance</t>
  </si>
  <si>
    <t>Junior LBO Debt Issuance</t>
  </si>
  <si>
    <t>LBO Purchase Price</t>
  </si>
  <si>
    <t>Equity IRR Calculation</t>
  </si>
  <si>
    <t xml:space="preserve">LBO Sponsor Equity </t>
  </si>
  <si>
    <t>Sale Proceeds</t>
  </si>
  <si>
    <t>Transaction Costs (Exit)</t>
  </si>
  <si>
    <t>Repayment of Debt</t>
  </si>
  <si>
    <t>Excess Cash</t>
  </si>
  <si>
    <t>Residual Cashflows</t>
  </si>
  <si>
    <t>Cash Flows to Equity                                IRR:</t>
  </si>
  <si>
    <t xml:space="preserve">Debt Schedules post LBO </t>
  </si>
  <si>
    <t>Senior Debt Schedule</t>
  </si>
  <si>
    <t xml:space="preserve">Opening </t>
  </si>
  <si>
    <t>Senior Debt Ending Balance</t>
  </si>
  <si>
    <t>Interest on Senior Debt</t>
  </si>
  <si>
    <t>Junior Debt Schedule</t>
  </si>
  <si>
    <t>Junior Debt Ending Balance</t>
  </si>
  <si>
    <t>Interest on Junior Debt</t>
  </si>
  <si>
    <t>Revolver Debt Ending Balance</t>
  </si>
  <si>
    <t>Interest on Revolver Debt</t>
  </si>
  <si>
    <t>Existing / Assumed Debt Schedule</t>
  </si>
  <si>
    <t>Existing Debt Ending Balance</t>
  </si>
  <si>
    <t>Interest on Existing Debt</t>
  </si>
  <si>
    <t>Scenarios</t>
  </si>
  <si>
    <t>Chosen Scenario</t>
  </si>
  <si>
    <r>
      <t xml:space="preserve">Active Scenario </t>
    </r>
    <r>
      <rPr>
        <sz val="8"/>
        <rFont val="Arial"/>
        <family val="2"/>
      </rPr>
      <t>[input scenario to run]</t>
    </r>
  </si>
  <si>
    <t>Base</t>
  </si>
  <si>
    <t>Optimstic</t>
  </si>
  <si>
    <t>Transaction Debt</t>
  </si>
  <si>
    <t>2023E Debt/EBITDA</t>
  </si>
  <si>
    <t>Revolver [leave as zero]</t>
  </si>
  <si>
    <t>Assumed Debt [leave as zero]</t>
  </si>
  <si>
    <t>Interest Rates</t>
  </si>
  <si>
    <t>Operating Performance</t>
  </si>
  <si>
    <t>Optimistic</t>
  </si>
  <si>
    <t>Revenue Forecast [adjust further on LBO-Financials page]</t>
  </si>
  <si>
    <t>EBITDA Margin [adjust further on LBO-Financials page]</t>
  </si>
  <si>
    <t>Other Transaction Assumptions</t>
  </si>
  <si>
    <t>Equity Advisory Fee %</t>
  </si>
  <si>
    <t>Debt Financing Fee %</t>
  </si>
  <si>
    <t>Minimum Cash Balance</t>
  </si>
  <si>
    <t>Equity Premium Paid</t>
  </si>
  <si>
    <t>EV / EBITDA Exit Multiple</t>
  </si>
  <si>
    <t>Transaction Summary</t>
  </si>
  <si>
    <t>Transaction Metrics (LBO EV / Standalone Forecast)</t>
  </si>
  <si>
    <t>EV/Sales</t>
  </si>
  <si>
    <t>Senior/Junior Debt</t>
  </si>
  <si>
    <t>Sponsor Equity IRR</t>
  </si>
  <si>
    <t>Sources &amp; Uses of Funds</t>
  </si>
  <si>
    <t>Funds - Sources</t>
  </si>
  <si>
    <t>Seniority</t>
  </si>
  <si>
    <t>Amount</t>
  </si>
  <si>
    <t>Allocation</t>
  </si>
  <si>
    <t>Total Debt</t>
  </si>
  <si>
    <t>Balance Sheet Cash Used (net of min cash)</t>
  </si>
  <si>
    <t xml:space="preserve">Total Sources of Funds </t>
  </si>
  <si>
    <t>Funds - Uses</t>
  </si>
  <si>
    <t>Equity Premium</t>
  </si>
  <si>
    <t>Debt Retired / Assumed</t>
  </si>
  <si>
    <t>Total Uses of Funds</t>
  </si>
  <si>
    <t>Less: Pre-Transaction Cash</t>
  </si>
  <si>
    <t>Transaction EV</t>
  </si>
  <si>
    <t>Financing Assumptions</t>
  </si>
  <si>
    <t>Debt - Payback and Interest Rates</t>
  </si>
  <si>
    <t>Pay Back Priority</t>
  </si>
  <si>
    <t>Rate</t>
  </si>
  <si>
    <t>Cash Treatment</t>
  </si>
  <si>
    <t>Cash Minimum (1=On, 0=Off)</t>
  </si>
  <si>
    <t>Use Excess Cash (1=On, 0=Off)</t>
  </si>
  <si>
    <t>Pre-Transaction Cash</t>
  </si>
  <si>
    <t>Min Cash Balance Required</t>
  </si>
  <si>
    <t>Excess Cash For Transaction</t>
  </si>
  <si>
    <t>Funding Requirements</t>
  </si>
  <si>
    <t>Equity Take-Out</t>
  </si>
  <si>
    <t>Diluted Shares Outstanding</t>
  </si>
  <si>
    <t>Current Price [do not change]</t>
  </si>
  <si>
    <t>Equity Market Value</t>
  </si>
  <si>
    <t>Equity Premium (%)</t>
  </si>
  <si>
    <t>Offered Price</t>
  </si>
  <si>
    <t>Equity Purchase Price</t>
  </si>
  <si>
    <t>Implied Share Price</t>
  </si>
  <si>
    <t xml:space="preserve">Debt Take-Out </t>
  </si>
  <si>
    <t xml:space="preserve">Existing Cash Balance </t>
  </si>
  <si>
    <t>% of EV</t>
  </si>
  <si>
    <t>% of Equity</t>
  </si>
  <si>
    <t xml:space="preserve">% of Debt </t>
  </si>
  <si>
    <t>Equity Advisory Fee (% of EV)</t>
  </si>
  <si>
    <t>Debt Financing Fee (% of EV)</t>
  </si>
  <si>
    <t>Total Transaction Costs</t>
  </si>
  <si>
    <t>Transaction Value Pre-Transaction Costs</t>
  </si>
  <si>
    <t>Transaction Value Post-Transaction Costs</t>
  </si>
  <si>
    <t>Equity Raised</t>
  </si>
  <si>
    <t>Debt Raised</t>
  </si>
  <si>
    <t>Valuation</t>
  </si>
  <si>
    <t>Entry Year (End) [do not change]</t>
  </si>
  <si>
    <t>Exit Year (End) [do not change]</t>
  </si>
  <si>
    <t>Holding Period (Years)</t>
  </si>
  <si>
    <t>Cash flow Summary</t>
  </si>
  <si>
    <t>LBO Cashflow Summary</t>
  </si>
  <si>
    <t>Taxes (Net of Tax Shield)</t>
  </si>
  <si>
    <t>Acquisitions</t>
  </si>
  <si>
    <t>Cash Available For Debt Service</t>
  </si>
  <si>
    <t>Cash Available For Debt Principal Repayment</t>
  </si>
  <si>
    <t>Net Debt Payment Flows</t>
  </si>
  <si>
    <t>Residual Equity Cash Flows</t>
  </si>
  <si>
    <t>Beginning Cash Balance</t>
  </si>
  <si>
    <t>Ending Cash After Debt Repayment</t>
  </si>
  <si>
    <t>Exit &amp; IRR Summary</t>
  </si>
  <si>
    <t>(-) Initial Equity Injection</t>
  </si>
  <si>
    <t>(+) Excess Cash</t>
  </si>
  <si>
    <t>Exit Enterprise Value</t>
  </si>
  <si>
    <t>(-) Remaining Debt at Exit</t>
  </si>
  <si>
    <t>(-) Exit Transaction Costs</t>
  </si>
  <si>
    <t>(+) Residual Cash Flows</t>
  </si>
  <si>
    <t>Equity Cash Flows</t>
  </si>
  <si>
    <t>Sponsor IRR</t>
  </si>
  <si>
    <t>Exit Year</t>
  </si>
  <si>
    <t>Exit Year EBITDA</t>
  </si>
  <si>
    <t>Debt Repayment Summary</t>
  </si>
  <si>
    <t>Junior Debt Opening</t>
  </si>
  <si>
    <t>Junior Debt Ending</t>
  </si>
  <si>
    <t>Senior Debt Opening</t>
  </si>
  <si>
    <t>Senior Debt Ending</t>
  </si>
  <si>
    <t>Revolver Opening</t>
  </si>
  <si>
    <t>Revolver Debt Ending</t>
  </si>
  <si>
    <t>Assumed Debt Opening</t>
  </si>
  <si>
    <t>Assumed Debt Ending</t>
  </si>
  <si>
    <t>Operational Synergies</t>
  </si>
  <si>
    <t>Base Revenue Synergies</t>
  </si>
  <si>
    <t>Optimistic Revenue Synergies</t>
  </si>
  <si>
    <t>Chosen</t>
  </si>
  <si>
    <t>Incremental Revenue Synergies</t>
  </si>
  <si>
    <t>Avg</t>
  </si>
  <si>
    <t>EBITDA Margin Synergies</t>
  </si>
  <si>
    <t>Base EBITDA Margin Synergies</t>
  </si>
  <si>
    <t>Optimistic EBITDA Margin Synergies</t>
  </si>
  <si>
    <t>Margin Synergies</t>
  </si>
  <si>
    <t>Standalone EBITDA Margin</t>
  </si>
  <si>
    <t>Incremental EBITDA Margin Synergies</t>
  </si>
  <si>
    <t>Proforma EBITDA Margin</t>
  </si>
  <si>
    <t>Revenue Synergies EBITDA Contribution</t>
  </si>
  <si>
    <t>Margin Improvement EBITDA Contribution</t>
  </si>
  <si>
    <t>Total Revenue &amp; EBITDA Synergies</t>
  </si>
  <si>
    <t>Debt Balances post-LBO</t>
  </si>
  <si>
    <t>Opening Balance</t>
  </si>
  <si>
    <t>(-) Repayments</t>
  </si>
  <si>
    <t>Consolidated Debt Balances</t>
  </si>
  <si>
    <t>Subordinated Debt</t>
  </si>
  <si>
    <t>Check</t>
  </si>
  <si>
    <t>Senior Interest Expense</t>
  </si>
  <si>
    <t>Subordinated Interest Expense</t>
  </si>
  <si>
    <t>Total Interest Expense</t>
  </si>
  <si>
    <t>Note: Interest expenses calculated on opening balances.</t>
  </si>
  <si>
    <t>Debt Cashflow Waterfall</t>
  </si>
  <si>
    <t>Priority</t>
  </si>
  <si>
    <t>Cashflow for Junior Debt</t>
  </si>
  <si>
    <t>Cash Available</t>
  </si>
  <si>
    <t>Cashflow for Senior Debt</t>
  </si>
  <si>
    <t>Payment</t>
  </si>
  <si>
    <t>Cashflow for Revolver</t>
  </si>
  <si>
    <t>Payment Flows:</t>
  </si>
  <si>
    <t>Target Balance:</t>
  </si>
  <si>
    <t>Cashflow for Assumed Debt</t>
  </si>
  <si>
    <t>VLOOKUP Index for Payment Priority [not in use]</t>
  </si>
  <si>
    <t>Source</t>
  </si>
  <si>
    <t>Rank</t>
  </si>
  <si>
    <t>ID</t>
  </si>
  <si>
    <t>Lookup:</t>
  </si>
  <si>
    <t>LBO Assumtions</t>
  </si>
  <si>
    <t xml:space="preserve">Key Levers </t>
  </si>
  <si>
    <t>Values</t>
  </si>
  <si>
    <t xml:space="preserve">Justification </t>
  </si>
  <si>
    <t>Interest Rates 
(Senior / Junior)</t>
  </si>
  <si>
    <t xml:space="preserve">Premium </t>
  </si>
  <si>
    <t xml:space="preserve">Exit Multiple </t>
  </si>
  <si>
    <t>Revenue Increase</t>
  </si>
  <si>
    <t>EBITDA 
Margin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</si>
</sst>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0">
    <numFmt numFmtId="164" formatCode="_(&quot;$&quot;* #,##0.00_);_(&quot;$&quot;* \(#,##0.00\);_(&quot;$&quot;* &quot;-&quot;??_);_(@_)"/>
    <numFmt numFmtId="165" formatCode="_(* #,##0.00_);_(* \(#,##0.00\);_(* &quot;-&quot;??_);_(@_)"/>
    <numFmt numFmtId="166" formatCode="&quot;$&quot;#,##0;\-&quot;$&quot;#,##0"/>
    <numFmt numFmtId="167" formatCode="&quot;$&quot;#,##0;[Red]\-&quot;$&quot;#,##0"/>
    <numFmt numFmtId="168" formatCode="&quot;$&quot;#,##0.00;[Red]\-&quot;$&quot;#,##0.00"/>
    <numFmt numFmtId="169" formatCode="_-&quot;$&quot;* #,##0.00_-;\-&quot;$&quot;* #,##0.00_-;_-&quot;$&quot;* &quot;-&quot;??_-;_-@_-"/>
    <numFmt numFmtId="170" formatCode="_-* #,##0.00_-;\-* #,##0.00_-;_-* &quot;-&quot;??_-;_-@_-"/>
    <numFmt numFmtId="171" formatCode="0.0%"/>
    <numFmt numFmtId="172" formatCode="0.00\x;\(0.00\x\);\-\ \x"/>
    <numFmt numFmtId="173" formatCode="&quot;$&quot;#,##0.00"/>
    <numFmt numFmtId="174" formatCode="#,##0;\(#,##0\);\-"/>
    <numFmt numFmtId="175" formatCode="_-* #,##0_-;\-* #,##0_-;_-* &quot;-&quot;??_-;_-@_-"/>
    <numFmt numFmtId="176" formatCode="#,##0;[Red]\(#,##0\);\-"/>
    <numFmt numFmtId="177" formatCode="#,##0;[Red]\(#,##0\)"/>
    <numFmt numFmtId="178" formatCode="0.0\x"/>
    <numFmt numFmtId="179" formatCode="#,##0.0;\(#,##0.0\);\-"/>
    <numFmt numFmtId="180" formatCode="#,##0.0\ \x;\(#,##0.0\ \x\);\-"/>
    <numFmt numFmtId="181" formatCode="0.0%;\(0.0%\);\-\%"/>
    <numFmt numFmtId="182" formatCode="&quot;Check&quot;;&quot;Check&quot;;&quot;OK&quot;"/>
    <numFmt numFmtId="183" formatCode="[$-409]d\-mmm\-yy;@"/>
    <numFmt numFmtId="184" formatCode="#,##0.0"/>
    <numFmt numFmtId="185" formatCode="0.00%;\(0.00%\);\-\%"/>
    <numFmt numFmtId="186" formatCode="0%_);\(0%\);0%_);@_)"/>
    <numFmt numFmtId="187" formatCode="_(* #,##0_);_(* \(#,##0\);_(* &quot;-&quot;??_);_(@_)"/>
    <numFmt numFmtId="188" formatCode="#,##0.0%_);\(#,##0.0%\);#,##0.0%_);@_%_)"/>
    <numFmt numFmtId="189" formatCode="#,##0.0\ \x;[Red]\(#,##0.0\ \x\);\-"/>
    <numFmt numFmtId="190" formatCode="&quot;Y&quot;;&quot;N&quot;;&quot;N&quot;"/>
    <numFmt numFmtId="191" formatCode="#,##0.00\ \x;[Red]\(#,##0.00\ \x\);\-"/>
    <numFmt numFmtId="192" formatCode="#,##0.00;[Red]\(#,##0.00\);\-"/>
    <numFmt numFmtId="193" formatCode="_(0.0%_);\(0.0%\);_(&quot;–&quot;_)_%;_(@_)_%"/>
    <numFmt numFmtId="194" formatCode="#,##0.00;\(#,##0.00\);\-"/>
    <numFmt numFmtId="195" formatCode="0.0%;\(0.0%\);\-"/>
    <numFmt numFmtId="196" formatCode="0.0%;[Red]\(0.0%\);\-"/>
    <numFmt numFmtId="197" formatCode="0.0%;\(0.0\)%"/>
    <numFmt numFmtId="198" formatCode="#&quot;E&quot;"/>
    <numFmt numFmtId="199" formatCode=";;"/>
    <numFmt numFmtId="200" formatCode="General&quot;E&quot;"/>
    <numFmt numFmtId="201" formatCode="#0.0\x"/>
    <numFmt numFmtId="202" formatCode="#0.00\x"/>
    <numFmt numFmtId="203" formatCode="0%;\(0%\);\-\%"/>
    <numFmt numFmtId="204" formatCode="&quot;Senior&quot;;0;&quot;Sub&quot;"/>
    <numFmt numFmtId="205" formatCode="0.0\x;\(0.0\x\);\-\ \x"/>
    <numFmt numFmtId="206" formatCode="&quot;Senior&quot;;&quot;WTF Dude!!?!&quot;;&quot;Sub&quot;"/>
    <numFmt numFmtId="207" formatCode="#0.0\x;&quot;Error&quot;;_(* &quot;-&quot;??_)"/>
    <numFmt numFmtId="208" formatCode="#0.0\x;\(#0.0\x\)"/>
    <numFmt numFmtId="209" formatCode="[$-1009]mmmm\ d\,\ yyyy;@"/>
    <numFmt numFmtId="210" formatCode="#,##0.0\x_);\(#,##0.0\x\)"/>
    <numFmt numFmtId="211" formatCode="&quot;Yes&quot;;&quot;No&quot;;&quot;No&quot;"/>
    <numFmt numFmtId="212" formatCode="_-* #,##0.0_-;\-* #,##0.0_-;_-* &quot;-&quot;??_-;_-@_-"/>
    <numFmt numFmtId="213" formatCode="#,##0_);\(#,##0\);_(* &quot;-&quot;??_)"/>
    <numFmt numFmtId="214" formatCode="0.000000"/>
    <numFmt numFmtId="215" formatCode="0.0_);\(0.0\)"/>
    <numFmt numFmtId="216" formatCode="#,##0;\(#,##0\)"/>
    <numFmt numFmtId="217" formatCode="0.0\x;\(0.0\x\)"/>
    <numFmt numFmtId="218" formatCode="#,##0.0_);\(#,##0.0\)"/>
    <numFmt numFmtId="219" formatCode="#,##0.00000;[Red]#,##0.00000"/>
    <numFmt numFmtId="220" formatCode="#,##0.0\ \x;[Red]\(#,##0.00\ \x\);\-"/>
    <numFmt numFmtId="221" formatCode="_(* #,##0.0_);_(* \(#,##0\);_(* &quot;-&quot;??_);_(@_)"/>
    <numFmt numFmtId="222" formatCode="#,##0.00\ \x;\(#,##0.0\ \x\);\-"/>
    <numFmt numFmtId="223" formatCode="_-[$£-809]* #,##0.00_-;\-[$£-809]* #,##0.00_-;_-[$£-809]* &quot;-&quot;??_-;_-@_-"/>
    <numFmt numFmtId="224" formatCode="#,##0.00;\(#,##0.00\)"/>
    <numFmt numFmtId="225" formatCode="#,##0.00;\(#,##0\);\-"/>
    <numFmt numFmtId="226" formatCode="&quot;$&quot;#,##0.00;&quot;$&quot;\(#,##0.00\);\-"/>
    <numFmt numFmtId="227" formatCode="0.0\x;&quot;N/A&quot;"/>
    <numFmt numFmtId="228" formatCode="&quot;$&quot;#,##0.00_);\(&quot;$&quot;#,##0.00\);\-_)"/>
    <numFmt numFmtId="229" formatCode="[$$-1009]#,##0.00"/>
    <numFmt numFmtId="230" formatCode="_-[$$-409]* #,##0.00_ ;_-[$$-409]* \-#,##0.00\ ;_-[$$-409]* &quot;-&quot;??_ ;_-@_ "/>
    <numFmt numFmtId="231" formatCode="_([$$-409]* #,##0.00_);_([$$-409]* \(#,##0.00\);_([$$-409]* &quot;-&quot;??_);_(@_)"/>
    <numFmt numFmtId="232" formatCode="_([$$-409]* #,##0.0_);_([$$-409]* \(#,##0.0\);_([$$-409]* &quot;-&quot;?_);_(@_)"/>
    <numFmt numFmtId="233" formatCode="0.0"/>
  </numFmts>
  <fonts count="145">
    <font>
      <sz val="11"/>
      <color theme="1"/>
      <name val="Calibri"/>
      <family val="2"/>
      <scheme val="minor"/>
    </font>
    <font>
      <sz val="11"/>
      <color theme="1"/>
      <name val="Calibri"/>
      <family val="2"/>
      <scheme val="minor"/>
    </font>
    <font>
      <sz val="10"/>
      <name val="Arial"/>
      <family val="2"/>
    </font>
    <font>
      <i/>
      <sz val="8"/>
      <name val="Arial"/>
      <family val="2"/>
    </font>
    <font>
      <b/>
      <sz val="8"/>
      <name val="Arial"/>
      <family val="2"/>
    </font>
    <font>
      <sz val="8"/>
      <name val="Arial"/>
      <family val="2"/>
    </font>
    <font>
      <sz val="10"/>
      <color indexed="12"/>
      <name val="Arial"/>
      <family val="2"/>
    </font>
    <font>
      <sz val="8"/>
      <name val="Times New Roman"/>
      <family val="1"/>
    </font>
    <font>
      <b/>
      <sz val="8"/>
      <color theme="1"/>
      <name val="Arial"/>
      <family val="2"/>
    </font>
    <font>
      <b/>
      <sz val="8"/>
      <color indexed="9"/>
      <name val="Arial"/>
      <family val="2"/>
    </font>
    <font>
      <sz val="10"/>
      <name val="Frutiger 45 Light"/>
      <family val="2"/>
    </font>
    <font>
      <sz val="9"/>
      <name val="Arial"/>
      <family val="2"/>
    </font>
    <font>
      <b/>
      <sz val="9"/>
      <color theme="0"/>
      <name val="Arial"/>
      <family val="2"/>
    </font>
    <font>
      <i/>
      <sz val="8"/>
      <color indexed="8"/>
      <name val="Arial"/>
      <family val="2"/>
    </font>
    <font>
      <b/>
      <i/>
      <sz val="8"/>
      <name val="Arial"/>
      <family val="2"/>
    </font>
    <font>
      <b/>
      <sz val="7"/>
      <name val="Arial"/>
      <family val="2"/>
    </font>
    <font>
      <b/>
      <sz val="8"/>
      <color rgb="FF0A0101"/>
      <name val="Arial"/>
      <family val="2"/>
    </font>
    <font>
      <sz val="8"/>
      <color rgb="FF0000FF"/>
      <name val="Arial"/>
      <family val="2"/>
    </font>
    <font>
      <sz val="10"/>
      <color rgb="FFFF0000"/>
      <name val="Arial"/>
      <family val="2"/>
    </font>
    <font>
      <sz val="8"/>
      <color theme="0"/>
      <name val="Arial"/>
      <family val="2"/>
    </font>
    <font>
      <b/>
      <sz val="12"/>
      <color indexed="8"/>
      <name val="Arial"/>
      <family val="2"/>
    </font>
    <font>
      <sz val="10"/>
      <color theme="0"/>
      <name val="Arial"/>
      <family val="2"/>
    </font>
    <font>
      <b/>
      <sz val="10"/>
      <color theme="0"/>
      <name val="Arial"/>
      <family val="2"/>
    </font>
    <font>
      <b/>
      <sz val="8"/>
      <color indexed="8"/>
      <name val="Arial"/>
      <family val="2"/>
    </font>
    <font>
      <b/>
      <sz val="8"/>
      <color indexed="10"/>
      <name val="Arial"/>
      <family val="2"/>
    </font>
    <font>
      <b/>
      <sz val="10"/>
      <name val="Arial"/>
      <family val="2"/>
    </font>
    <font>
      <sz val="8"/>
      <color indexed="8"/>
      <name val="Arial"/>
      <family val="2"/>
    </font>
    <font>
      <sz val="8"/>
      <color indexed="12"/>
      <name val="Arial"/>
      <family val="2"/>
    </font>
    <font>
      <u/>
      <sz val="8"/>
      <name val="Arial"/>
      <family val="2"/>
    </font>
    <font>
      <sz val="8"/>
      <color indexed="9"/>
      <name val="Arial"/>
      <family val="2"/>
    </font>
    <font>
      <b/>
      <sz val="10"/>
      <color indexed="9"/>
      <name val="Arial"/>
      <family val="2"/>
    </font>
    <font>
      <b/>
      <sz val="12"/>
      <name val="Arial"/>
      <family val="2"/>
    </font>
    <font>
      <sz val="8"/>
      <color theme="1"/>
      <name val="Arial"/>
      <family val="2"/>
    </font>
    <font>
      <i/>
      <sz val="10"/>
      <name val="Arial"/>
      <family val="2"/>
    </font>
    <font>
      <sz val="8"/>
      <color theme="1"/>
      <name val="Calibri"/>
      <family val="2"/>
      <scheme val="minor"/>
    </font>
    <font>
      <sz val="8"/>
      <color rgb="FF0000CC"/>
      <name val="Arial"/>
      <family val="2"/>
    </font>
    <font>
      <vertAlign val="superscript"/>
      <sz val="8"/>
      <name val="Arial"/>
      <family val="2"/>
    </font>
    <font>
      <sz val="8"/>
      <color rgb="FFFF0000"/>
      <name val="Arial"/>
      <family val="2"/>
    </font>
    <font>
      <b/>
      <sz val="8"/>
      <color theme="0"/>
      <name val="Arial"/>
      <family val="2"/>
    </font>
    <font>
      <sz val="8"/>
      <name val="Helvetica"/>
      <family val="2"/>
    </font>
    <font>
      <sz val="8"/>
      <color rgb="FF000000"/>
      <name val="Helvetica"/>
      <family val="2"/>
    </font>
    <font>
      <sz val="8"/>
      <color rgb="FF262626"/>
      <name val="Helvetica"/>
      <family val="2"/>
    </font>
    <font>
      <b/>
      <sz val="8"/>
      <color rgb="FF262626"/>
      <name val="Helvetica"/>
      <family val="2"/>
    </font>
    <font>
      <i/>
      <sz val="8"/>
      <color rgb="FF262626"/>
      <name val="Helvetica"/>
      <family val="2"/>
    </font>
    <font>
      <sz val="10"/>
      <color rgb="FF0000FF"/>
      <name val="Arial"/>
      <family val="2"/>
    </font>
    <font>
      <i/>
      <u/>
      <sz val="8"/>
      <name val="Arial"/>
      <family val="2"/>
    </font>
    <font>
      <sz val="7.5"/>
      <name val="Arial"/>
      <family val="2"/>
    </font>
    <font>
      <b/>
      <sz val="7.5"/>
      <color indexed="8"/>
      <name val="Arial"/>
      <family val="2"/>
    </font>
    <font>
      <b/>
      <u/>
      <sz val="8"/>
      <name val="Arial"/>
      <family val="2"/>
    </font>
    <font>
      <i/>
      <sz val="8"/>
      <color rgb="FF0000FF"/>
      <name val="Arial"/>
      <family val="2"/>
    </font>
    <font>
      <b/>
      <sz val="8"/>
      <color rgb="FF0000CC"/>
      <name val="Arial"/>
      <family val="2"/>
    </font>
    <font>
      <b/>
      <sz val="8"/>
      <color rgb="FFFF0000"/>
      <name val="Arial"/>
      <family val="2"/>
    </font>
    <font>
      <sz val="11"/>
      <color theme="1"/>
      <name val="Calibri"/>
      <family val="2"/>
    </font>
    <font>
      <sz val="9.5"/>
      <name val="Helvetica"/>
      <family val="2"/>
    </font>
    <font>
      <sz val="9.5"/>
      <color rgb="FF3366FF"/>
      <name val="Helvetica"/>
      <family val="2"/>
    </font>
    <font>
      <sz val="9.5"/>
      <color rgb="FF000000"/>
      <name val="Helvetica"/>
      <family val="2"/>
    </font>
    <font>
      <sz val="9.5"/>
      <color rgb="FF262626"/>
      <name val="Helvetica"/>
      <family val="2"/>
    </font>
    <font>
      <b/>
      <sz val="9.5"/>
      <color rgb="FF262626"/>
      <name val="Helvetica"/>
      <family val="2"/>
    </font>
    <font>
      <b/>
      <sz val="9.5"/>
      <color theme="0"/>
      <name val="Helvetica"/>
      <family val="2"/>
    </font>
    <font>
      <i/>
      <sz val="9.5"/>
      <color theme="1"/>
      <name val="Helvetica"/>
      <family val="2"/>
    </font>
    <font>
      <b/>
      <sz val="8"/>
      <name val="Helvetica"/>
      <family val="2"/>
    </font>
    <font>
      <sz val="10"/>
      <color theme="1"/>
      <name val="Arial"/>
      <family val="2"/>
    </font>
    <font>
      <b/>
      <u val="singleAccounting"/>
      <sz val="8"/>
      <color rgb="FFFFFFFF"/>
      <name val="Arial"/>
      <family val="2"/>
    </font>
    <font>
      <b/>
      <u val="singleAccounting"/>
      <sz val="8"/>
      <color theme="0"/>
      <name val="Arial"/>
      <family val="2"/>
    </font>
    <font>
      <b/>
      <sz val="8"/>
      <color rgb="FFFFFFFF"/>
      <name val="Arial"/>
      <family val="2"/>
    </font>
    <font>
      <u/>
      <sz val="11"/>
      <color theme="10"/>
      <name val="Calibri"/>
      <family val="2"/>
    </font>
    <font>
      <u/>
      <sz val="8"/>
      <color theme="10"/>
      <name val="Arial"/>
      <family val="2"/>
    </font>
    <font>
      <b/>
      <sz val="8"/>
      <color rgb="FF000000"/>
      <name val="Arial"/>
      <family val="2"/>
    </font>
    <font>
      <sz val="8"/>
      <color rgb="FFC00000"/>
      <name val="Arial"/>
      <family val="2"/>
    </font>
    <font>
      <b/>
      <sz val="8"/>
      <color rgb="FF0000FF"/>
      <name val="Arial"/>
      <family val="2"/>
    </font>
    <font>
      <u/>
      <sz val="11"/>
      <color theme="10"/>
      <name val="Calibri"/>
      <family val="2"/>
      <scheme val="minor"/>
    </font>
    <font>
      <b/>
      <sz val="11"/>
      <color theme="0"/>
      <name val="Arial"/>
      <family val="2"/>
    </font>
    <font>
      <sz val="8"/>
      <color indexed="10"/>
      <name val="Arial"/>
      <family val="2"/>
    </font>
    <font>
      <b/>
      <sz val="11"/>
      <color theme="0"/>
      <name val="Timeless"/>
    </font>
    <font>
      <b/>
      <sz val="9"/>
      <color theme="0"/>
      <name val="Timeless"/>
    </font>
    <font>
      <sz val="8"/>
      <color rgb="FF86654A"/>
      <name val="Arial"/>
      <family val="2"/>
    </font>
    <font>
      <b/>
      <sz val="8"/>
      <color indexed="12"/>
      <name val="Arial"/>
      <family val="2"/>
    </font>
    <font>
      <b/>
      <sz val="8"/>
      <color theme="1"/>
      <name val="Calibri"/>
      <family val="2"/>
      <scheme val="minor"/>
    </font>
    <font>
      <sz val="8"/>
      <color theme="5" tint="-0.499984740745262"/>
      <name val="Arial"/>
      <family val="2"/>
    </font>
    <font>
      <i/>
      <sz val="8"/>
      <color theme="5" tint="-0.499984740745262"/>
      <name val="Arial"/>
      <family val="2"/>
    </font>
    <font>
      <i/>
      <sz val="8"/>
      <color theme="1"/>
      <name val="Arial"/>
      <family val="2"/>
    </font>
    <font>
      <sz val="10"/>
      <color theme="0"/>
      <name val="Helvetica"/>
      <family val="2"/>
    </font>
    <font>
      <sz val="10"/>
      <name val="Helvetica"/>
      <family val="2"/>
    </font>
    <font>
      <b/>
      <sz val="10"/>
      <name val="Helvetica"/>
      <family val="2"/>
    </font>
    <font>
      <sz val="9"/>
      <color rgb="FFC00000"/>
      <name val="Helvetica"/>
      <family val="2"/>
    </font>
    <font>
      <sz val="8"/>
      <color rgb="FFC00000"/>
      <name val="Helvetica"/>
      <family val="2"/>
    </font>
    <font>
      <i/>
      <sz val="10"/>
      <name val="Helvetica"/>
      <family val="2"/>
    </font>
    <font>
      <sz val="8"/>
      <color rgb="FF0000FF"/>
      <name val="Helvetica"/>
      <family val="2"/>
    </font>
    <font>
      <b/>
      <i/>
      <sz val="8"/>
      <color theme="0" tint="-4.9989318521683403E-2"/>
      <name val="Arial"/>
      <family val="2"/>
    </font>
    <font>
      <sz val="8"/>
      <color theme="0" tint="-4.9989318521683403E-2"/>
      <name val="Arial"/>
      <family val="2"/>
    </font>
    <font>
      <b/>
      <sz val="10"/>
      <color indexed="8"/>
      <name val="Arial"/>
      <family val="2"/>
    </font>
    <font>
      <sz val="10"/>
      <color indexed="8"/>
      <name val="Arial"/>
      <family val="2"/>
    </font>
    <font>
      <sz val="11"/>
      <color rgb="FFFF0000"/>
      <name val="Calibri"/>
      <family val="2"/>
      <scheme val="minor"/>
    </font>
    <font>
      <i/>
      <sz val="8"/>
      <color rgb="FFFF0000"/>
      <name val="Arial"/>
      <family val="2"/>
    </font>
    <font>
      <sz val="8"/>
      <color rgb="FF0A0101"/>
      <name val="Arial"/>
      <family val="2"/>
    </font>
    <font>
      <sz val="10"/>
      <color theme="5" tint="-0.499984740745262"/>
      <name val="Arial"/>
      <family val="2"/>
    </font>
    <font>
      <sz val="9"/>
      <color theme="5" tint="-0.499984740745262"/>
      <name val="Arial"/>
      <family val="2"/>
    </font>
    <font>
      <b/>
      <sz val="8"/>
      <color theme="5" tint="-0.499984740745262"/>
      <name val="Arial"/>
      <family val="2"/>
    </font>
    <font>
      <sz val="8"/>
      <color rgb="FF000000"/>
      <name val="Arial"/>
      <family val="2"/>
    </font>
    <font>
      <b/>
      <vertAlign val="superscript"/>
      <sz val="8"/>
      <name val="Arial"/>
      <family val="2"/>
    </font>
    <font>
      <sz val="10"/>
      <color rgb="FFFF0000"/>
      <name val="Helvetica"/>
      <family val="2"/>
    </font>
    <font>
      <i/>
      <sz val="10"/>
      <color indexed="8"/>
      <name val="Arial"/>
      <family val="2"/>
    </font>
    <font>
      <sz val="10"/>
      <color indexed="63"/>
      <name val="Arial"/>
      <family val="2"/>
    </font>
    <font>
      <sz val="10"/>
      <name val="Calibri"/>
      <family val="2"/>
    </font>
    <font>
      <b/>
      <sz val="16"/>
      <color indexed="9"/>
      <name val="Arial"/>
      <family val="2"/>
    </font>
    <font>
      <b/>
      <sz val="11"/>
      <color indexed="9"/>
      <name val="Calibri"/>
      <family val="2"/>
    </font>
    <font>
      <i/>
      <sz val="10"/>
      <color indexed="63"/>
      <name val="Arial"/>
      <family val="2"/>
    </font>
    <font>
      <b/>
      <i/>
      <u/>
      <sz val="8"/>
      <name val="Arial"/>
      <family val="2"/>
    </font>
    <font>
      <sz val="8"/>
      <name val="Arial"/>
      <family val="2"/>
    </font>
    <font>
      <sz val="8"/>
      <color theme="1"/>
      <name val="Arial"/>
      <family val="2"/>
    </font>
    <font>
      <sz val="10"/>
      <name val="Arial"/>
      <family val="2"/>
    </font>
    <font>
      <sz val="8"/>
      <color theme="5" tint="-0.249977111117893"/>
      <name val="Arial"/>
      <family val="2"/>
    </font>
    <font>
      <sz val="8"/>
      <color theme="0"/>
      <name val="Calibri"/>
      <family val="2"/>
      <scheme val="minor"/>
    </font>
    <font>
      <vertAlign val="superscript"/>
      <sz val="11"/>
      <color theme="0"/>
      <name val="Calibri"/>
      <family val="2"/>
      <scheme val="minor"/>
    </font>
    <font>
      <b/>
      <sz val="14"/>
      <color theme="0"/>
      <name val="Arial"/>
      <family val="2"/>
    </font>
    <font>
      <sz val="14"/>
      <color theme="0"/>
      <name val="Arial"/>
      <family val="2"/>
    </font>
    <font>
      <sz val="14"/>
      <name val="Arial"/>
      <family val="2"/>
    </font>
    <font>
      <b/>
      <sz val="14"/>
      <color indexed="8"/>
      <name val="Arial"/>
      <family val="2"/>
    </font>
    <font>
      <sz val="14"/>
      <color rgb="FF0000FF"/>
      <name val="Arial"/>
      <family val="2"/>
    </font>
    <font>
      <b/>
      <sz val="14"/>
      <name val="Arial"/>
      <family val="2"/>
    </font>
    <font>
      <sz val="14"/>
      <color rgb="FF0000CC"/>
      <name val="Arial"/>
      <family val="2"/>
    </font>
    <font>
      <sz val="14"/>
      <color theme="1"/>
      <name val="Calibri"/>
      <family val="2"/>
      <scheme val="minor"/>
    </font>
    <font>
      <b/>
      <i/>
      <sz val="14"/>
      <name val="Arial"/>
      <family val="2"/>
    </font>
    <font>
      <b/>
      <i/>
      <u/>
      <sz val="14"/>
      <name val="Arial"/>
      <family val="2"/>
    </font>
    <font>
      <b/>
      <sz val="14"/>
      <color rgb="FF0000FF"/>
      <name val="Arial"/>
      <family val="2"/>
    </font>
    <font>
      <i/>
      <sz val="14"/>
      <name val="Arial"/>
      <family val="2"/>
    </font>
    <font>
      <sz val="14"/>
      <color indexed="12"/>
      <name val="Arial"/>
      <family val="2"/>
    </font>
    <font>
      <i/>
      <sz val="14"/>
      <color rgb="FF0000FF"/>
      <name val="Arial"/>
      <family val="2"/>
    </font>
    <font>
      <i/>
      <sz val="14"/>
      <color theme="5" tint="-0.499984740745262"/>
      <name val="Arial"/>
      <family val="2"/>
    </font>
    <font>
      <b/>
      <sz val="14"/>
      <color rgb="FFFF0000"/>
      <name val="Arial"/>
      <family val="2"/>
    </font>
    <font>
      <b/>
      <sz val="14"/>
      <color rgb="FF0A0101"/>
      <name val="Arial"/>
      <family val="2"/>
    </font>
    <font>
      <b/>
      <sz val="14"/>
      <color indexed="12"/>
      <name val="Arial"/>
      <family val="2"/>
    </font>
    <font>
      <b/>
      <sz val="14"/>
      <color theme="1"/>
      <name val="Calibri"/>
      <family val="2"/>
      <scheme val="minor"/>
    </font>
    <font>
      <sz val="14"/>
      <color indexed="8"/>
      <name val="Arial"/>
      <family val="2"/>
    </font>
    <font>
      <sz val="14"/>
      <color rgb="FFFF0000"/>
      <name val="Arial"/>
      <family val="2"/>
    </font>
    <font>
      <sz val="14"/>
      <color rgb="FF0A0101"/>
      <name val="Arial"/>
      <family val="2"/>
    </font>
    <font>
      <sz val="14"/>
      <color theme="1"/>
      <name val="Arial"/>
      <family val="2"/>
    </font>
    <font>
      <sz val="14"/>
      <color rgb="FF232A31"/>
      <name val="Arial"/>
      <family val="2"/>
    </font>
    <font>
      <i/>
      <sz val="8"/>
      <color theme="1"/>
      <name val="Calibri"/>
      <family val="2"/>
      <scheme val="minor"/>
    </font>
    <font>
      <sz val="11"/>
      <color rgb="FF000000"/>
      <name val="Calibri"/>
      <family val="2"/>
      <scheme val="minor"/>
    </font>
    <font>
      <sz val="8"/>
      <color rgb="FF808080"/>
      <name val="Arial"/>
      <family val="2"/>
    </font>
    <font>
      <sz val="8"/>
      <color rgb="FF000000"/>
      <name val="Calibri"/>
      <family val="2"/>
      <scheme val="minor"/>
    </font>
    <font>
      <i/>
      <sz val="8"/>
      <name val="Helvetica"/>
      <family val="2"/>
    </font>
    <font>
      <sz val="8"/>
      <color rgb="FF0E0E0E"/>
      <name val="Helvetica"/>
      <family val="2"/>
    </font>
    <font>
      <b/>
      <sz val="8"/>
      <color rgb="FF0E0E0E"/>
      <name val="Helvetica"/>
      <family val="2"/>
    </font>
  </fonts>
  <fills count="39">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9"/>
        <bgColor indexed="64"/>
      </patternFill>
    </fill>
    <fill>
      <patternFill patternType="solid">
        <fgColor theme="2" tint="-0.499984740745262"/>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lightUp">
        <fgColor theme="3"/>
        <bgColor theme="0"/>
      </patternFill>
    </fill>
    <fill>
      <patternFill patternType="lightUp">
        <fgColor theme="3"/>
      </patternFill>
    </fill>
    <fill>
      <patternFill patternType="solid">
        <fgColor rgb="FF00B050"/>
        <bgColor indexed="64"/>
      </patternFill>
    </fill>
    <fill>
      <patternFill patternType="solid">
        <fgColor rgb="FFD7C3B7"/>
        <bgColor indexed="64"/>
      </patternFill>
    </fill>
    <fill>
      <patternFill patternType="solid">
        <fgColor theme="3" tint="0.39997558519241921"/>
        <bgColor indexed="64"/>
      </patternFill>
    </fill>
    <fill>
      <patternFill patternType="solid">
        <fgColor rgb="FFF2F2F2"/>
        <bgColor indexed="64"/>
      </patternFill>
    </fill>
    <fill>
      <patternFill patternType="solid">
        <fgColor theme="3" tint="-0.499984740745262"/>
        <bgColor indexed="64"/>
      </patternFill>
    </fill>
    <fill>
      <patternFill patternType="lightUp"/>
    </fill>
    <fill>
      <patternFill patternType="lightUp">
        <bgColor theme="0" tint="-4.9989318521683403E-2"/>
      </patternFill>
    </fill>
    <fill>
      <patternFill patternType="solid">
        <fgColor theme="6" tint="0.79998168889431442"/>
        <bgColor indexed="64"/>
      </patternFill>
    </fill>
    <fill>
      <patternFill patternType="solid">
        <fgColor theme="5" tint="-0.499984740745262"/>
        <bgColor indexed="64"/>
      </patternFill>
    </fill>
    <fill>
      <patternFill patternType="solid">
        <fgColor rgb="FFFFFFFF"/>
        <bgColor indexed="64"/>
      </patternFill>
    </fill>
    <fill>
      <patternFill patternType="solid">
        <fgColor rgb="FFC00000"/>
        <bgColor indexed="64"/>
      </patternFill>
    </fill>
    <fill>
      <patternFill patternType="solid">
        <fgColor rgb="FFD9D9D9"/>
        <bgColor indexed="64"/>
      </patternFill>
    </fill>
    <fill>
      <patternFill patternType="solid">
        <fgColor theme="0"/>
        <bgColor theme="3"/>
      </patternFill>
    </fill>
    <fill>
      <patternFill patternType="solid">
        <fgColor indexed="65"/>
        <bgColor indexed="64"/>
      </patternFill>
    </fill>
    <fill>
      <patternFill patternType="solid">
        <fgColor indexed="65"/>
        <bgColor theme="3"/>
      </patternFill>
    </fill>
    <fill>
      <patternFill patternType="solid">
        <fgColor rgb="FFD9E1F2"/>
        <bgColor indexed="64"/>
      </patternFill>
    </fill>
    <fill>
      <patternFill patternType="solid">
        <fgColor rgb="FFFFFF00"/>
        <bgColor indexed="64"/>
      </patternFill>
    </fill>
    <fill>
      <patternFill patternType="solid">
        <fgColor rgb="FF4F81BD"/>
        <bgColor indexed="64"/>
      </patternFill>
    </fill>
    <fill>
      <patternFill patternType="solid">
        <fgColor rgb="FFD8D8D8"/>
        <bgColor indexed="64"/>
      </patternFill>
    </fill>
    <fill>
      <patternFill patternType="solid">
        <fgColor theme="7" tint="-0.249977111117893"/>
        <bgColor indexed="64"/>
      </patternFill>
    </fill>
    <fill>
      <patternFill patternType="solid">
        <fgColor theme="1" tint="0.499984740745262"/>
        <bgColor indexed="64"/>
      </patternFill>
    </fill>
    <fill>
      <patternFill patternType="lightUp">
        <bgColor theme="4" tint="0.79995117038483843"/>
      </patternFill>
    </fill>
    <fill>
      <patternFill patternType="lightUp">
        <bgColor rgb="FFF2F2F2"/>
      </patternFill>
    </fill>
    <fill>
      <patternFill patternType="solid">
        <fgColor rgb="FFDDEBF7"/>
        <bgColor indexed="64"/>
      </patternFill>
    </fill>
    <fill>
      <patternFill patternType="solid">
        <fgColor rgb="FFFFFFFF"/>
        <bgColor rgb="FF000000"/>
      </patternFill>
    </fill>
    <fill>
      <patternFill patternType="solid">
        <fgColor rgb="FFF2F2F2"/>
        <bgColor rgb="FF000000"/>
      </patternFill>
    </fill>
  </fills>
  <borders count="120">
    <border>
      <left/>
      <right/>
      <top/>
      <bottom/>
      <diagonal/>
    </border>
    <border>
      <left/>
      <right/>
      <top style="thin">
        <color auto="1"/>
      </top>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thin">
        <color auto="1"/>
      </left>
      <right/>
      <top style="thin">
        <color indexed="64"/>
      </top>
      <bottom style="thin">
        <color auto="1"/>
      </bottom>
      <diagonal/>
    </border>
    <border>
      <left/>
      <right/>
      <top/>
      <bottom style="thin">
        <color indexed="28"/>
      </bottom>
      <diagonal/>
    </border>
    <border>
      <left/>
      <right/>
      <top style="hair">
        <color indexed="64"/>
      </top>
      <bottom/>
      <diagonal/>
    </border>
    <border>
      <left/>
      <right/>
      <top/>
      <bottom style="medium">
        <color auto="1"/>
      </bottom>
      <diagonal/>
    </border>
    <border>
      <left/>
      <right style="hair">
        <color auto="1"/>
      </right>
      <top/>
      <bottom style="hair">
        <color auto="1"/>
      </bottom>
      <diagonal/>
    </border>
    <border>
      <left/>
      <right/>
      <top/>
      <bottom style="hair">
        <color auto="1"/>
      </bottom>
      <diagonal/>
    </border>
    <border>
      <left style="hair">
        <color indexed="64"/>
      </left>
      <right/>
      <top/>
      <bottom style="hair">
        <color auto="1"/>
      </bottom>
      <diagonal/>
    </border>
    <border>
      <left/>
      <right style="hair">
        <color auto="1"/>
      </right>
      <top/>
      <bottom/>
      <diagonal/>
    </border>
    <border>
      <left/>
      <right style="hair">
        <color indexed="64"/>
      </right>
      <top style="hair">
        <color indexed="64"/>
      </top>
      <bottom/>
      <diagonal/>
    </border>
    <border>
      <left style="hair">
        <color indexed="64"/>
      </left>
      <right/>
      <top style="hair">
        <color indexed="64"/>
      </top>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hair">
        <color auto="1"/>
      </top>
      <bottom style="hair">
        <color auto="1"/>
      </bottom>
      <diagonal/>
    </border>
    <border>
      <left style="thin">
        <color auto="1"/>
      </left>
      <right style="thin">
        <color auto="1"/>
      </right>
      <top/>
      <bottom style="thin">
        <color indexed="64"/>
      </bottom>
      <diagonal/>
    </border>
    <border>
      <left/>
      <right/>
      <top/>
      <bottom style="thin">
        <color theme="1" tint="0.24994659260841701"/>
      </bottom>
      <diagonal/>
    </border>
    <border>
      <left/>
      <right/>
      <top style="thin">
        <color theme="0" tint="-0.14993743705557422"/>
      </top>
      <bottom style="thin">
        <color theme="0" tint="-0.14990691854609822"/>
      </bottom>
      <diagonal/>
    </border>
    <border>
      <left/>
      <right/>
      <top style="thin">
        <color theme="0"/>
      </top>
      <bottom style="thin">
        <color theme="0" tint="-0.14993743705557422"/>
      </bottom>
      <diagonal/>
    </border>
    <border>
      <left/>
      <right/>
      <top/>
      <bottom style="thin">
        <color rgb="FFFFFFFF"/>
      </bottom>
      <diagonal/>
    </border>
    <border>
      <left style="thin">
        <color auto="1"/>
      </left>
      <right style="thin">
        <color auto="1"/>
      </right>
      <top/>
      <bottom/>
      <diagonal/>
    </border>
    <border>
      <left/>
      <right/>
      <top style="medium">
        <color auto="1"/>
      </top>
      <bottom style="thin">
        <color auto="1"/>
      </bottom>
      <diagonal/>
    </border>
    <border>
      <left/>
      <right/>
      <top style="medium">
        <color auto="1"/>
      </top>
      <bottom/>
      <diagonal/>
    </border>
    <border>
      <left/>
      <right/>
      <top style="thin">
        <color theme="2"/>
      </top>
      <bottom style="thin">
        <color theme="2"/>
      </bottom>
      <diagonal/>
    </border>
    <border>
      <left/>
      <right/>
      <top style="thin">
        <color theme="0"/>
      </top>
      <bottom style="thin">
        <color theme="2"/>
      </bottom>
      <diagonal/>
    </border>
    <border>
      <left style="thin">
        <color theme="5" tint="0.39997558519241921"/>
      </left>
      <right/>
      <top/>
      <bottom/>
      <diagonal/>
    </border>
    <border>
      <left/>
      <right style="thin">
        <color theme="5" tint="0.39997558519241921"/>
      </right>
      <top/>
      <bottom/>
      <diagonal/>
    </border>
    <border>
      <left style="thin">
        <color theme="5" tint="0.39997558519241921"/>
      </left>
      <right/>
      <top style="thin">
        <color theme="0"/>
      </top>
      <bottom style="thin">
        <color theme="2"/>
      </bottom>
      <diagonal/>
    </border>
    <border>
      <left/>
      <right style="thin">
        <color theme="5" tint="0.39997558519241921"/>
      </right>
      <top style="thin">
        <color theme="0"/>
      </top>
      <bottom style="thin">
        <color theme="2"/>
      </bottom>
      <diagonal/>
    </border>
    <border>
      <left style="thin">
        <color theme="5" tint="0.39997558519241921"/>
      </left>
      <right/>
      <top style="thin">
        <color theme="2"/>
      </top>
      <bottom style="thin">
        <color theme="2"/>
      </bottom>
      <diagonal/>
    </border>
    <border>
      <left/>
      <right style="thin">
        <color theme="5" tint="0.39997558519241921"/>
      </right>
      <top style="thin">
        <color theme="2"/>
      </top>
      <bottom style="thin">
        <color theme="2"/>
      </bottom>
      <diagonal/>
    </border>
    <border>
      <left style="thin">
        <color theme="5" tint="0.39997558519241921"/>
      </left>
      <right/>
      <top style="thin">
        <color theme="0"/>
      </top>
      <bottom style="thin">
        <color theme="5" tint="0.39997558519241921"/>
      </bottom>
      <diagonal/>
    </border>
    <border>
      <left/>
      <right/>
      <top style="thin">
        <color theme="0"/>
      </top>
      <bottom style="thin">
        <color theme="5" tint="0.39997558519241921"/>
      </bottom>
      <diagonal/>
    </border>
    <border>
      <left/>
      <right style="thin">
        <color theme="5" tint="0.39997558519241921"/>
      </right>
      <top style="thin">
        <color theme="0"/>
      </top>
      <bottom style="thin">
        <color theme="5" tint="0.39997558519241921"/>
      </bottom>
      <diagonal/>
    </border>
    <border>
      <left/>
      <right style="thin">
        <color auto="1"/>
      </right>
      <top/>
      <bottom/>
      <diagonal/>
    </border>
    <border>
      <left style="thin">
        <color auto="1"/>
      </left>
      <right/>
      <top/>
      <bottom/>
      <diagonal/>
    </border>
    <border>
      <left/>
      <right style="thin">
        <color theme="5" tint="0.59996337778862885"/>
      </right>
      <top/>
      <bottom style="thin">
        <color theme="5" tint="0.59996337778862885"/>
      </bottom>
      <diagonal/>
    </border>
    <border>
      <left/>
      <right/>
      <top/>
      <bottom style="thin">
        <color theme="5" tint="0.59996337778862885"/>
      </bottom>
      <diagonal/>
    </border>
    <border>
      <left/>
      <right style="thin">
        <color theme="5" tint="0.59996337778862885"/>
      </right>
      <top/>
      <bottom/>
      <diagonal/>
    </border>
    <border>
      <left style="thin">
        <color theme="5" tint="0.59996337778862885"/>
      </left>
      <right/>
      <top/>
      <bottom style="thin">
        <color theme="5" tint="0.59996337778862885"/>
      </bottom>
      <diagonal/>
    </border>
    <border>
      <left style="thin">
        <color theme="5" tint="0.59996337778862885"/>
      </left>
      <right/>
      <top/>
      <bottom/>
      <diagonal/>
    </border>
    <border>
      <left/>
      <right style="thin">
        <color theme="5" tint="0.59996337778862885"/>
      </right>
      <top style="hair">
        <color auto="1"/>
      </top>
      <bottom/>
      <diagonal/>
    </border>
    <border>
      <left style="thin">
        <color theme="5" tint="0.59996337778862885"/>
      </left>
      <right/>
      <top style="hair">
        <color auto="1"/>
      </top>
      <bottom/>
      <diagonal/>
    </border>
    <border>
      <left/>
      <right style="thin">
        <color theme="5" tint="0.59996337778862885"/>
      </right>
      <top style="thin">
        <color theme="5" tint="0.59996337778862885"/>
      </top>
      <bottom/>
      <diagonal/>
    </border>
    <border>
      <left/>
      <right/>
      <top style="thin">
        <color theme="5" tint="0.59996337778862885"/>
      </top>
      <bottom/>
      <diagonal/>
    </border>
    <border>
      <left style="thin">
        <color theme="5" tint="0.59996337778862885"/>
      </left>
      <right/>
      <top style="thin">
        <color theme="5" tint="0.59996337778862885"/>
      </top>
      <bottom/>
      <diagonal/>
    </border>
    <border>
      <left/>
      <right style="hair">
        <color auto="1"/>
      </right>
      <top/>
      <bottom style="thin">
        <color theme="5" tint="0.59996337778862885"/>
      </bottom>
      <diagonal/>
    </border>
    <border>
      <left/>
      <right style="medium">
        <color auto="1"/>
      </right>
      <top/>
      <bottom/>
      <diagonal/>
    </border>
    <border>
      <left style="medium">
        <color auto="1"/>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theme="2" tint="-0.24994659260841701"/>
      </left>
      <right/>
      <top style="hair">
        <color theme="2" tint="-0.24994659260841701"/>
      </top>
      <bottom/>
      <diagonal/>
    </border>
    <border>
      <left/>
      <right/>
      <top style="hair">
        <color theme="2" tint="-0.24994659260841701"/>
      </top>
      <bottom/>
      <diagonal/>
    </border>
    <border>
      <left/>
      <right style="hair">
        <color theme="2" tint="-0.24994659260841701"/>
      </right>
      <top style="hair">
        <color theme="2" tint="-0.24994659260841701"/>
      </top>
      <bottom/>
      <diagonal/>
    </border>
    <border>
      <left style="hair">
        <color theme="2" tint="-0.24994659260841701"/>
      </left>
      <right/>
      <top/>
      <bottom style="hair">
        <color theme="2" tint="-0.24994659260841701"/>
      </bottom>
      <diagonal/>
    </border>
    <border>
      <left/>
      <right/>
      <top/>
      <bottom style="hair">
        <color theme="2" tint="-0.24994659260841701"/>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style="thin">
        <color theme="0" tint="-0.14993743705557422"/>
      </top>
      <bottom/>
      <diagonal/>
    </border>
    <border>
      <left style="thin">
        <color theme="5" tint="0.59996337778862885"/>
      </left>
      <right style="thin">
        <color theme="5" tint="0.59996337778862885"/>
      </right>
      <top style="thin">
        <color theme="5" tint="0.59996337778862885"/>
      </top>
      <bottom/>
      <diagonal/>
    </border>
    <border>
      <left style="thin">
        <color theme="5" tint="0.59996337778862885"/>
      </left>
      <right style="thin">
        <color theme="5" tint="0.59996337778862885"/>
      </right>
      <top/>
      <bottom style="thin">
        <color theme="5" tint="0.59996337778862885"/>
      </bottom>
      <diagonal/>
    </border>
    <border>
      <left style="medium">
        <color indexed="64"/>
      </left>
      <right style="medium">
        <color indexed="64"/>
      </right>
      <top style="medium">
        <color indexed="64"/>
      </top>
      <bottom style="medium">
        <color indexed="64"/>
      </bottom>
      <diagonal/>
    </border>
    <border>
      <left style="medium">
        <color theme="5" tint="-0.499984740745262"/>
      </left>
      <right/>
      <top style="medium">
        <color theme="5" tint="-0.499984740745262"/>
      </top>
      <bottom style="medium">
        <color theme="5" tint="-0.499984740745262"/>
      </bottom>
      <diagonal/>
    </border>
    <border>
      <left/>
      <right/>
      <top style="medium">
        <color theme="5" tint="-0.499984740745262"/>
      </top>
      <bottom style="medium">
        <color theme="5" tint="-0.499984740745262"/>
      </bottom>
      <diagonal/>
    </border>
    <border>
      <left/>
      <right style="medium">
        <color theme="5" tint="-0.499984740745262"/>
      </right>
      <top style="medium">
        <color theme="5" tint="-0.499984740745262"/>
      </top>
      <bottom style="medium">
        <color theme="5" tint="-0.499984740745262"/>
      </bottom>
      <diagonal/>
    </border>
    <border>
      <left/>
      <right/>
      <top/>
      <bottom style="thin">
        <color auto="1"/>
      </bottom>
      <diagonal/>
    </border>
    <border>
      <left/>
      <right style="thin">
        <color theme="7" tint="0.39997558519241921"/>
      </right>
      <top/>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bottom/>
      <diagonal/>
    </border>
    <border>
      <left style="thin">
        <color theme="7" tint="0.39997558519241921"/>
      </left>
      <right/>
      <top style="hair">
        <color auto="1"/>
      </top>
      <bottom/>
      <diagonal/>
    </border>
    <border>
      <left/>
      <right style="thin">
        <color theme="7" tint="0.39997558519241921"/>
      </right>
      <top style="hair">
        <color indexed="64"/>
      </top>
      <bottom/>
      <diagonal/>
    </border>
    <border>
      <left style="thin">
        <color theme="7" tint="0.39997558519241921"/>
      </left>
      <right/>
      <top style="thin">
        <color auto="1"/>
      </top>
      <bottom style="thin">
        <color theme="7" tint="0.39997558519241921"/>
      </bottom>
      <diagonal/>
    </border>
    <border>
      <left/>
      <right/>
      <top style="thin">
        <color auto="1"/>
      </top>
      <bottom style="thin">
        <color theme="7" tint="0.39997558519241921"/>
      </bottom>
      <diagonal/>
    </border>
    <border>
      <left/>
      <right style="thin">
        <color theme="7" tint="0.39997558519241921"/>
      </right>
      <top style="thin">
        <color auto="1"/>
      </top>
      <bottom style="thin">
        <color theme="7" tint="0.39997558519241921"/>
      </bottom>
      <diagonal/>
    </border>
    <border>
      <left style="thin">
        <color theme="7" tint="0.39997558519241921"/>
      </left>
      <right/>
      <top/>
      <bottom style="thin">
        <color theme="5" tint="0.59996337778862885"/>
      </bottom>
      <diagonal/>
    </border>
    <border>
      <left/>
      <right style="thin">
        <color theme="7" tint="0.39997558519241921"/>
      </right>
      <top/>
      <bottom style="thin">
        <color theme="5" tint="0.59996337778862885"/>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indexed="64"/>
      </bottom>
      <diagonal/>
    </border>
    <border>
      <left style="thick">
        <color theme="7" tint="-0.24994659260841701"/>
      </left>
      <right/>
      <top style="thick">
        <color theme="7" tint="-0.24994659260841701"/>
      </top>
      <bottom style="thick">
        <color theme="7" tint="-0.24994659260841701"/>
      </bottom>
      <diagonal/>
    </border>
    <border>
      <left/>
      <right/>
      <top style="thick">
        <color theme="7" tint="-0.24994659260841701"/>
      </top>
      <bottom style="thick">
        <color theme="7" tint="-0.24994659260841701"/>
      </bottom>
      <diagonal/>
    </border>
    <border>
      <left/>
      <right style="thick">
        <color theme="7" tint="-0.24994659260841701"/>
      </right>
      <top style="thick">
        <color theme="7" tint="-0.24994659260841701"/>
      </top>
      <bottom style="thick">
        <color theme="7" tint="-0.24994659260841701"/>
      </bottom>
      <diagonal/>
    </border>
    <border>
      <left style="thin">
        <color theme="7" tint="0.39997558519241921"/>
      </left>
      <right style="hair">
        <color indexed="64"/>
      </right>
      <top style="hair">
        <color indexed="64"/>
      </top>
      <bottom/>
      <diagonal/>
    </border>
    <border>
      <left style="hair">
        <color indexed="64"/>
      </left>
      <right style="hair">
        <color indexed="64"/>
      </right>
      <top style="hair">
        <color indexed="64"/>
      </top>
      <bottom/>
      <diagonal/>
    </border>
    <border>
      <left style="thin">
        <color theme="7" tint="0.39997558519241921"/>
      </left>
      <right style="hair">
        <color auto="1"/>
      </right>
      <top/>
      <bottom/>
      <diagonal/>
    </border>
    <border>
      <left style="hair">
        <color auto="1"/>
      </left>
      <right style="hair">
        <color auto="1"/>
      </right>
      <top/>
      <bottom/>
      <diagonal/>
    </border>
    <border>
      <left style="thin">
        <color theme="7" tint="0.39997558519241921"/>
      </left>
      <right style="hair">
        <color auto="1"/>
      </right>
      <top/>
      <bottom style="hair">
        <color auto="1"/>
      </bottom>
      <diagonal/>
    </border>
    <border>
      <left style="hair">
        <color indexed="64"/>
      </left>
      <right style="hair">
        <color indexed="64"/>
      </right>
      <top/>
      <bottom style="hair">
        <color indexed="64"/>
      </bottom>
      <diagonal/>
    </border>
    <border>
      <left style="thin">
        <color theme="7" tint="0.39997558519241921"/>
      </left>
      <right style="thin">
        <color auto="1"/>
      </right>
      <top style="thin">
        <color auto="1"/>
      </top>
      <bottom/>
      <diagonal/>
    </border>
    <border>
      <left style="thin">
        <color theme="7" tint="0.39997558519241921"/>
      </left>
      <right style="thin">
        <color auto="1"/>
      </right>
      <top/>
      <bottom/>
      <diagonal/>
    </border>
    <border>
      <left style="thin">
        <color auto="1"/>
      </left>
      <right style="thin">
        <color auto="1"/>
      </right>
      <top/>
      <bottom style="hair">
        <color auto="1"/>
      </bottom>
      <diagonal/>
    </border>
    <border>
      <left style="thin">
        <color theme="7" tint="0.39997558519241921"/>
      </left>
      <right style="thin">
        <color indexed="64"/>
      </right>
      <top style="hair">
        <color indexed="64"/>
      </top>
      <bottom style="thin">
        <color indexed="64"/>
      </bottom>
      <diagonal/>
    </border>
    <border>
      <left style="thin">
        <color theme="7" tint="0.39997558519241921"/>
      </left>
      <right style="thin">
        <color auto="1"/>
      </right>
      <top style="thin">
        <color auto="1"/>
      </top>
      <bottom style="hair">
        <color auto="1"/>
      </bottom>
      <diagonal/>
    </border>
    <border>
      <left style="thin">
        <color indexed="64"/>
      </left>
      <right style="thin">
        <color indexed="64"/>
      </right>
      <top style="hair">
        <color indexed="64"/>
      </top>
      <bottom style="hair">
        <color indexed="64"/>
      </bottom>
      <diagonal/>
    </border>
    <border>
      <left style="thin">
        <color theme="7" tint="0.39997558519241921"/>
      </left>
      <right style="thin">
        <color indexed="64"/>
      </right>
      <top style="hair">
        <color auto="1"/>
      </top>
      <bottom/>
      <diagonal/>
    </border>
    <border>
      <left style="thin">
        <color theme="7" tint="0.39997558519241921"/>
      </left>
      <right style="thin">
        <color auto="1"/>
      </right>
      <top/>
      <bottom style="thin">
        <color indexed="64"/>
      </bottom>
      <diagonal/>
    </border>
    <border>
      <left style="thin">
        <color theme="7" tint="0.39997558519241921"/>
      </left>
      <right/>
      <top/>
      <bottom style="thin">
        <color theme="7" tint="0.39997558519241921"/>
      </bottom>
      <diagonal/>
    </border>
    <border>
      <left/>
      <right/>
      <top/>
      <bottom style="thin">
        <color theme="7" tint="0.39997558519241921"/>
      </bottom>
      <diagonal/>
    </border>
    <border>
      <left/>
      <right style="thin">
        <color theme="7" tint="0.39997558519241921"/>
      </right>
      <top/>
      <bottom style="thin">
        <color theme="7" tint="0.39997558519241921"/>
      </bottom>
      <diagonal/>
    </border>
    <border>
      <left style="hair">
        <color indexed="64"/>
      </left>
      <right/>
      <top/>
      <bottom/>
      <diagonal/>
    </border>
    <border>
      <left/>
      <right style="thin">
        <color theme="7" tint="0.39997558519241921"/>
      </right>
      <top/>
      <bottom style="hair">
        <color auto="1"/>
      </bottom>
      <diagonal/>
    </border>
    <border>
      <left style="thin">
        <color theme="7" tint="0.39997558519241921"/>
      </left>
      <right/>
      <top style="thin">
        <color auto="1"/>
      </top>
      <bottom style="thin">
        <color auto="1"/>
      </bottom>
      <diagonal/>
    </border>
    <border>
      <left/>
      <right style="thin">
        <color theme="7" tint="0.39997558519241921"/>
      </right>
      <top style="thin">
        <color auto="1"/>
      </top>
      <bottom style="thin">
        <color auto="1"/>
      </bottom>
      <diagonal/>
    </border>
    <border>
      <left/>
      <right/>
      <top style="thin">
        <color rgb="FF000000"/>
      </top>
      <bottom/>
      <diagonal/>
    </border>
    <border>
      <left/>
      <right/>
      <top/>
      <bottom style="thin">
        <color rgb="FF000000"/>
      </bottom>
      <diagonal/>
    </border>
    <border>
      <left/>
      <right style="thick">
        <color rgb="FF993366"/>
      </right>
      <top/>
      <bottom/>
      <diagonal/>
    </border>
    <border>
      <left style="hair">
        <color indexed="64"/>
      </left>
      <right style="thin">
        <color rgb="FFFFD966"/>
      </right>
      <top/>
      <bottom style="hair">
        <color indexed="64"/>
      </bottom>
      <diagonal/>
    </border>
    <border>
      <left style="thin">
        <color rgb="FFFFD966"/>
      </left>
      <right/>
      <top style="hair">
        <color indexed="64"/>
      </top>
      <bottom/>
      <diagonal/>
    </border>
    <border>
      <left style="thin">
        <color rgb="FFFFD966"/>
      </left>
      <right/>
      <top/>
      <bottom/>
      <diagonal/>
    </border>
    <border>
      <left style="thin">
        <color rgb="FFFFD966"/>
      </left>
      <right/>
      <top/>
      <bottom style="hair">
        <color indexed="64"/>
      </bottom>
      <diagonal/>
    </border>
  </borders>
  <cellStyleXfs count="58">
    <xf numFmtId="0" fontId="0" fillId="0" borderId="0"/>
    <xf numFmtId="170"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alignment vertical="top"/>
    </xf>
    <xf numFmtId="175" fontId="6" fillId="0" borderId="0" applyNumberFormat="0" applyFont="0" applyBorder="0" applyAlignment="0" applyProtection="0"/>
    <xf numFmtId="0" fontId="2" fillId="0" borderId="0"/>
    <xf numFmtId="177" fontId="7" fillId="0" borderId="0"/>
    <xf numFmtId="0" fontId="2" fillId="0" borderId="0"/>
    <xf numFmtId="9" fontId="2" fillId="0" borderId="0" applyFont="0" applyFill="0" applyBorder="0" applyAlignment="0" applyProtection="0"/>
    <xf numFmtId="0" fontId="10" fillId="0" borderId="0"/>
    <xf numFmtId="0" fontId="15" fillId="0" borderId="5" applyNumberFormat="0" applyFont="0" applyFill="0" applyAlignment="0" applyProtection="0">
      <alignment horizontal="centerContinuous"/>
    </xf>
    <xf numFmtId="164" fontId="2" fillId="0" borderId="0" applyFont="0" applyFill="0" applyBorder="0" applyAlignment="0" applyProtection="0"/>
    <xf numFmtId="0" fontId="15" fillId="0" borderId="5" applyNumberFormat="0" applyFont="0" applyFill="0" applyAlignment="0" applyProtection="0">
      <alignment horizontal="centerContinuous"/>
    </xf>
    <xf numFmtId="0" fontId="15" fillId="0" borderId="0" applyFill="0" applyBorder="0" applyProtection="0"/>
    <xf numFmtId="165" fontId="2" fillId="0" borderId="0" applyFont="0" applyFill="0" applyBorder="0" applyAlignment="0" applyProtection="0"/>
    <xf numFmtId="209" fontId="61" fillId="0" borderId="0"/>
    <xf numFmtId="9" fontId="2" fillId="0" borderId="0" applyFont="0" applyFill="0" applyBorder="0" applyAlignment="0" applyProtection="0"/>
    <xf numFmtId="170" fontId="2" fillId="0" borderId="0" applyFont="0" applyFill="0" applyBorder="0" applyAlignment="0" applyProtection="0"/>
    <xf numFmtId="209" fontId="2" fillId="0" borderId="0"/>
    <xf numFmtId="0" fontId="2" fillId="0" borderId="0"/>
    <xf numFmtId="169" fontId="2" fillId="0" borderId="0" applyFont="0" applyFill="0" applyBorder="0" applyAlignment="0" applyProtection="0"/>
    <xf numFmtId="0" fontId="1" fillId="0" borderId="0"/>
    <xf numFmtId="165" fontId="2" fillId="0" borderId="0" applyFont="0" applyFill="0" applyBorder="0" applyAlignment="0" applyProtection="0"/>
    <xf numFmtId="164" fontId="2" fillId="0" borderId="0" applyFont="0" applyFill="0" applyBorder="0" applyAlignment="0" applyProtection="0"/>
    <xf numFmtId="0" fontId="65" fillId="0" borderId="0" applyNumberFormat="0" applyFill="0" applyBorder="0" applyAlignment="0" applyProtection="0">
      <alignment vertical="top"/>
      <protection locked="0"/>
    </xf>
    <xf numFmtId="165" fontId="1" fillId="0" borderId="0" applyFont="0" applyFill="0" applyBorder="0" applyAlignment="0" applyProtection="0"/>
    <xf numFmtId="0" fontId="70" fillId="0" borderId="0" applyNumberFormat="0" applyFill="0" applyBorder="0" applyAlignment="0" applyProtection="0"/>
    <xf numFmtId="214" fontId="2" fillId="0" borderId="0">
      <alignment horizontal="left" wrapText="1"/>
    </xf>
    <xf numFmtId="0" fontId="2" fillId="0" borderId="0" applyFill="0" applyBorder="0" applyAlignment="0" applyProtection="0"/>
    <xf numFmtId="0" fontId="1" fillId="0" borderId="0"/>
    <xf numFmtId="184" fontId="90" fillId="22" borderId="24">
      <alignment horizontal="right"/>
    </xf>
    <xf numFmtId="184" fontId="91" fillId="22" borderId="24">
      <alignment horizontal="right"/>
    </xf>
    <xf numFmtId="0" fontId="101" fillId="16" borderId="1" applyNumberFormat="0" applyAlignment="0" applyProtection="0"/>
    <xf numFmtId="4" fontId="91" fillId="22" borderId="24">
      <alignment horizontal="right"/>
    </xf>
    <xf numFmtId="0" fontId="102" fillId="22" borderId="39"/>
    <xf numFmtId="3" fontId="91" fillId="22" borderId="24">
      <alignment horizontal="right"/>
    </xf>
    <xf numFmtId="0" fontId="90" fillId="22" borderId="39"/>
    <xf numFmtId="3" fontId="90" fillId="22" borderId="24">
      <alignment horizontal="right"/>
    </xf>
    <xf numFmtId="0" fontId="30" fillId="30" borderId="86">
      <alignment horizontal="right"/>
    </xf>
    <xf numFmtId="0" fontId="30" fillId="30" borderId="86">
      <alignment horizontal="left"/>
    </xf>
    <xf numFmtId="0" fontId="30" fillId="30" borderId="17">
      <alignment horizontal="right"/>
    </xf>
    <xf numFmtId="0" fontId="30" fillId="30" borderId="17">
      <alignment horizontal="left"/>
    </xf>
    <xf numFmtId="0" fontId="103" fillId="22" borderId="0" applyNumberFormat="0" applyBorder="0" applyProtection="0">
      <alignment horizontal="center"/>
    </xf>
    <xf numFmtId="0" fontId="104" fillId="30" borderId="3" applyNumberFormat="0" applyProtection="0">
      <alignment horizontal="left" vertical="center" readingOrder="1"/>
    </xf>
    <xf numFmtId="0" fontId="105" fillId="30" borderId="0"/>
    <xf numFmtId="0" fontId="30" fillId="30" borderId="19">
      <alignment horizontal="right"/>
    </xf>
    <xf numFmtId="0" fontId="30" fillId="30" borderId="19">
      <alignment horizontal="left"/>
    </xf>
    <xf numFmtId="0" fontId="30" fillId="30" borderId="19">
      <alignment horizontal="right"/>
    </xf>
    <xf numFmtId="0" fontId="30" fillId="30" borderId="19">
      <alignment horizontal="left"/>
    </xf>
    <xf numFmtId="4" fontId="91" fillId="31" borderId="24">
      <alignment horizontal="right"/>
    </xf>
    <xf numFmtId="184" fontId="91" fillId="31" borderId="24">
      <alignment horizontal="right"/>
    </xf>
    <xf numFmtId="3" fontId="90" fillId="31" borderId="24">
      <alignment horizontal="right"/>
    </xf>
    <xf numFmtId="184" fontId="90" fillId="31" borderId="24">
      <alignment horizontal="right"/>
    </xf>
    <xf numFmtId="184" fontId="101" fillId="31" borderId="24">
      <alignment horizontal="right"/>
    </xf>
    <xf numFmtId="184" fontId="101" fillId="22" borderId="24">
      <alignment horizontal="right"/>
    </xf>
    <xf numFmtId="0" fontId="106" fillId="22" borderId="39"/>
  </cellStyleXfs>
  <cellXfs count="1606">
    <xf numFmtId="0" fontId="0" fillId="0" borderId="0" xfId="0"/>
    <xf numFmtId="0" fontId="3" fillId="0" borderId="0" xfId="4" applyFont="1"/>
    <xf numFmtId="0" fontId="2" fillId="0" borderId="0" xfId="4"/>
    <xf numFmtId="0" fontId="5" fillId="0" borderId="0" xfId="4" applyFont="1"/>
    <xf numFmtId="0" fontId="5" fillId="2" borderId="0" xfId="4" applyFont="1" applyFill="1"/>
    <xf numFmtId="0" fontId="5" fillId="3" borderId="0" xfId="4" applyFont="1" applyFill="1"/>
    <xf numFmtId="174" fontId="5" fillId="0" borderId="0" xfId="4" applyNumberFormat="1" applyFont="1"/>
    <xf numFmtId="0" fontId="5" fillId="0" borderId="0" xfId="5" applyFont="1">
      <alignment vertical="top"/>
    </xf>
    <xf numFmtId="177" fontId="5" fillId="5" borderId="0" xfId="8" quotePrefix="1" applyFont="1" applyFill="1" applyAlignment="1">
      <alignment horizontal="left" indent="1"/>
    </xf>
    <xf numFmtId="0" fontId="5" fillId="5" borderId="0" xfId="9" applyFont="1" applyFill="1"/>
    <xf numFmtId="171" fontId="5" fillId="0" borderId="0" xfId="4" applyNumberFormat="1" applyFont="1" applyAlignment="1">
      <alignment horizontal="right"/>
    </xf>
    <xf numFmtId="177" fontId="5" fillId="5" borderId="0" xfId="8" applyFont="1" applyFill="1" applyAlignment="1">
      <alignment horizontal="left"/>
    </xf>
    <xf numFmtId="15" fontId="5" fillId="0" borderId="0" xfId="4" applyNumberFormat="1" applyFont="1"/>
    <xf numFmtId="10" fontId="5" fillId="0" borderId="0" xfId="4" applyNumberFormat="1" applyFont="1" applyAlignment="1">
      <alignment horizontal="right"/>
    </xf>
    <xf numFmtId="179" fontId="5" fillId="0" borderId="0" xfId="11" applyNumberFormat="1" applyFont="1"/>
    <xf numFmtId="0" fontId="5" fillId="0" borderId="3" xfId="4" applyFont="1" applyBorder="1"/>
    <xf numFmtId="0" fontId="5" fillId="0" borderId="4" xfId="4" applyFont="1" applyBorder="1"/>
    <xf numFmtId="174" fontId="4" fillId="9" borderId="0" xfId="4" applyNumberFormat="1" applyFont="1" applyFill="1"/>
    <xf numFmtId="174" fontId="5" fillId="9" borderId="0" xfId="4" applyNumberFormat="1" applyFont="1" applyFill="1"/>
    <xf numFmtId="0" fontId="5" fillId="0" borderId="0" xfId="11" applyFont="1"/>
    <xf numFmtId="0" fontId="16" fillId="0" borderId="0" xfId="0" applyFont="1"/>
    <xf numFmtId="0" fontId="4" fillId="0" borderId="0" xfId="4" applyFont="1" applyAlignment="1">
      <alignment horizontal="centerContinuous"/>
    </xf>
    <xf numFmtId="174" fontId="4" fillId="0" borderId="0" xfId="4" applyNumberFormat="1" applyFont="1"/>
    <xf numFmtId="0" fontId="4" fillId="0" borderId="0" xfId="4" applyFont="1"/>
    <xf numFmtId="0" fontId="17" fillId="2" borderId="0" xfId="4" applyFont="1" applyFill="1"/>
    <xf numFmtId="0" fontId="18" fillId="0" borderId="0" xfId="4" applyFont="1"/>
    <xf numFmtId="0" fontId="2" fillId="7" borderId="0" xfId="4" applyFill="1"/>
    <xf numFmtId="182" fontId="19" fillId="7" borderId="0" xfId="4" applyNumberFormat="1" applyFont="1" applyFill="1" applyAlignment="1">
      <alignment horizontal="center"/>
    </xf>
    <xf numFmtId="0" fontId="5" fillId="7" borderId="0" xfId="4" applyFont="1" applyFill="1"/>
    <xf numFmtId="0" fontId="20" fillId="7" borderId="0" xfId="4" applyFont="1" applyFill="1"/>
    <xf numFmtId="0" fontId="2" fillId="0" borderId="1" xfId="4" applyBorder="1"/>
    <xf numFmtId="182" fontId="19" fillId="9" borderId="1" xfId="4" applyNumberFormat="1" applyFont="1" applyFill="1" applyBorder="1" applyAlignment="1">
      <alignment horizontal="center"/>
    </xf>
    <xf numFmtId="0" fontId="5" fillId="0" borderId="1" xfId="4" applyFont="1" applyBorder="1"/>
    <xf numFmtId="0" fontId="20" fillId="0" borderId="1" xfId="4" applyFont="1" applyBorder="1"/>
    <xf numFmtId="182" fontId="21" fillId="7" borderId="0" xfId="4" applyNumberFormat="1" applyFont="1" applyFill="1" applyAlignment="1">
      <alignment horizontal="center"/>
    </xf>
    <xf numFmtId="0" fontId="21" fillId="7" borderId="0" xfId="4" applyFont="1" applyFill="1"/>
    <xf numFmtId="0" fontId="22" fillId="7" borderId="0" xfId="4" applyFont="1" applyFill="1"/>
    <xf numFmtId="0" fontId="23" fillId="0" borderId="0" xfId="4" applyFont="1"/>
    <xf numFmtId="183" fontId="4" fillId="0" borderId="0" xfId="4" applyNumberFormat="1" applyFont="1" applyAlignment="1">
      <alignment horizontal="centerContinuous"/>
    </xf>
    <xf numFmtId="183" fontId="4" fillId="0" borderId="0" xfId="4" applyNumberFormat="1" applyFont="1"/>
    <xf numFmtId="15" fontId="24" fillId="0" borderId="0" xfId="4" applyNumberFormat="1" applyFont="1"/>
    <xf numFmtId="0" fontId="25" fillId="0" borderId="0" xfId="4" applyFont="1"/>
    <xf numFmtId="0" fontId="5" fillId="10" borderId="0" xfId="4" applyFont="1" applyFill="1"/>
    <xf numFmtId="174" fontId="5" fillId="0" borderId="3" xfId="11" applyNumberFormat="1" applyFont="1" applyBorder="1"/>
    <xf numFmtId="0" fontId="5" fillId="0" borderId="3" xfId="11" applyFont="1" applyBorder="1"/>
    <xf numFmtId="174" fontId="17" fillId="0" borderId="0" xfId="12" applyNumberFormat="1" applyFont="1" applyFill="1" applyBorder="1" applyAlignment="1">
      <alignment horizontal="right"/>
    </xf>
    <xf numFmtId="174" fontId="5" fillId="0" borderId="0" xfId="11" applyNumberFormat="1" applyFont="1"/>
    <xf numFmtId="174" fontId="5" fillId="0" borderId="1" xfId="11" applyNumberFormat="1" applyFont="1" applyBorder="1"/>
    <xf numFmtId="0" fontId="5" fillId="0" borderId="1" xfId="11" applyFont="1" applyBorder="1"/>
    <xf numFmtId="174" fontId="17" fillId="0" borderId="0" xfId="14" applyNumberFormat="1" applyFont="1" applyFill="1" applyBorder="1" applyAlignment="1">
      <alignment horizontal="right"/>
    </xf>
    <xf numFmtId="174" fontId="2" fillId="0" borderId="0" xfId="4" applyNumberFormat="1"/>
    <xf numFmtId="0" fontId="26" fillId="0" borderId="0" xfId="11" applyFont="1"/>
    <xf numFmtId="0" fontId="4" fillId="0" borderId="0" xfId="15" applyFont="1" applyFill="1"/>
    <xf numFmtId="174" fontId="27" fillId="0" borderId="0" xfId="12" applyNumberFormat="1" applyFont="1" applyFill="1" applyBorder="1" applyAlignment="1">
      <alignment horizontal="right"/>
    </xf>
    <xf numFmtId="0" fontId="5" fillId="0" borderId="0" xfId="4" quotePrefix="1" applyFont="1"/>
    <xf numFmtId="0" fontId="28" fillId="0" borderId="0" xfId="15" applyFont="1" applyFill="1"/>
    <xf numFmtId="0" fontId="23" fillId="0" borderId="7" xfId="4" applyFont="1" applyBorder="1"/>
    <xf numFmtId="0" fontId="5" fillId="0" borderId="7" xfId="4" applyFont="1" applyBorder="1"/>
    <xf numFmtId="0" fontId="5" fillId="0" borderId="0" xfId="4" applyFont="1" applyAlignment="1">
      <alignment horizontal="right"/>
    </xf>
    <xf numFmtId="174" fontId="3" fillId="0" borderId="2" xfId="11" applyNumberFormat="1" applyFont="1" applyBorder="1" applyAlignment="1">
      <alignment horizontal="right"/>
    </xf>
    <xf numFmtId="174" fontId="3" fillId="0" borderId="3" xfId="11" applyNumberFormat="1" applyFont="1" applyBorder="1" applyAlignment="1">
      <alignment horizontal="right"/>
    </xf>
    <xf numFmtId="179" fontId="5" fillId="0" borderId="0" xfId="4" applyNumberFormat="1" applyFont="1"/>
    <xf numFmtId="0" fontId="3" fillId="0" borderId="0" xfId="11" applyFont="1"/>
    <xf numFmtId="0" fontId="23" fillId="0" borderId="1" xfId="11" applyFont="1" applyBorder="1" applyAlignment="1">
      <alignment horizontal="left" indent="1"/>
    </xf>
    <xf numFmtId="174" fontId="17" fillId="0" borderId="0" xfId="11" applyNumberFormat="1" applyFont="1"/>
    <xf numFmtId="0" fontId="26" fillId="0" borderId="0" xfId="11" applyFont="1" applyAlignment="1">
      <alignment horizontal="left"/>
    </xf>
    <xf numFmtId="0" fontId="4" fillId="0" borderId="0" xfId="11" applyFont="1"/>
    <xf numFmtId="0" fontId="26" fillId="0" borderId="0" xfId="11" applyFont="1" applyAlignment="1">
      <alignment horizontal="left" indent="1"/>
    </xf>
    <xf numFmtId="10" fontId="5" fillId="0" borderId="0" xfId="11" applyNumberFormat="1" applyFont="1"/>
    <xf numFmtId="0" fontId="5" fillId="0" borderId="0" xfId="11" applyFont="1" applyAlignment="1">
      <alignment horizontal="left" indent="1"/>
    </xf>
    <xf numFmtId="0" fontId="5" fillId="9" borderId="0" xfId="11" applyFont="1" applyFill="1"/>
    <xf numFmtId="184" fontId="5" fillId="0" borderId="0" xfId="11" applyNumberFormat="1" applyFont="1"/>
    <xf numFmtId="0" fontId="5" fillId="0" borderId="9" xfId="4" applyFont="1" applyBorder="1"/>
    <xf numFmtId="0" fontId="5" fillId="9" borderId="0" xfId="4" applyFont="1" applyFill="1"/>
    <xf numFmtId="0" fontId="5" fillId="0" borderId="6" xfId="4" applyFont="1" applyBorder="1"/>
    <xf numFmtId="171" fontId="5" fillId="0" borderId="0" xfId="3" applyNumberFormat="1" applyFont="1" applyFill="1" applyBorder="1"/>
    <xf numFmtId="174" fontId="5" fillId="8" borderId="1" xfId="4" applyNumberFormat="1" applyFont="1" applyFill="1" applyBorder="1"/>
    <xf numFmtId="174" fontId="5" fillId="0" borderId="1" xfId="4" applyNumberFormat="1" applyFont="1" applyBorder="1"/>
    <xf numFmtId="0" fontId="4" fillId="0" borderId="1" xfId="4" applyFont="1" applyBorder="1"/>
    <xf numFmtId="0" fontId="3" fillId="0" borderId="0" xfId="4" applyFont="1" applyAlignment="1">
      <alignment horizontal="left" indent="1"/>
    </xf>
    <xf numFmtId="0" fontId="5" fillId="0" borderId="0" xfId="4" applyFont="1" applyAlignment="1">
      <alignment horizontal="left" indent="1"/>
    </xf>
    <xf numFmtId="0" fontId="5" fillId="0" borderId="0" xfId="4" applyFont="1" applyAlignment="1">
      <alignment horizontal="left"/>
    </xf>
    <xf numFmtId="174" fontId="17" fillId="0" borderId="0" xfId="4" applyNumberFormat="1" applyFont="1"/>
    <xf numFmtId="9" fontId="27" fillId="0" borderId="0" xfId="3" applyFont="1" applyFill="1" applyAlignment="1">
      <alignment horizontal="right"/>
    </xf>
    <xf numFmtId="174" fontId="27" fillId="0" borderId="0" xfId="13" applyNumberFormat="1" applyFont="1" applyFill="1" applyAlignment="1">
      <alignment horizontal="right"/>
    </xf>
    <xf numFmtId="0" fontId="4" fillId="0" borderId="7" xfId="4" applyFont="1" applyBorder="1"/>
    <xf numFmtId="186" fontId="5" fillId="0" borderId="0" xfId="4" applyNumberFormat="1" applyFont="1"/>
    <xf numFmtId="0" fontId="19" fillId="4" borderId="0" xfId="4" applyFont="1" applyFill="1"/>
    <xf numFmtId="0" fontId="33" fillId="0" borderId="0" xfId="4" applyFont="1"/>
    <xf numFmtId="0" fontId="3" fillId="0" borderId="0" xfId="4" quotePrefix="1" applyFont="1"/>
    <xf numFmtId="186" fontId="27" fillId="0" borderId="0" xfId="4" applyNumberFormat="1" applyFont="1"/>
    <xf numFmtId="9" fontId="5" fillId="0" borderId="0" xfId="10" applyFont="1" applyFill="1" applyBorder="1" applyAlignment="1">
      <alignment horizontal="right"/>
    </xf>
    <xf numFmtId="164" fontId="5" fillId="0" borderId="0" xfId="2" applyFont="1" applyFill="1" applyBorder="1" applyAlignment="1">
      <alignment horizontal="right"/>
    </xf>
    <xf numFmtId="0" fontId="5" fillId="4" borderId="0" xfId="4" applyFont="1" applyFill="1"/>
    <xf numFmtId="0" fontId="34" fillId="0" borderId="0" xfId="0" applyFont="1"/>
    <xf numFmtId="187" fontId="5" fillId="0" borderId="0" xfId="4" applyNumberFormat="1" applyFont="1"/>
    <xf numFmtId="181" fontId="17" fillId="2" borderId="0" xfId="4" applyNumberFormat="1" applyFont="1" applyFill="1"/>
    <xf numFmtId="188" fontId="26" fillId="0" borderId="0" xfId="10" applyNumberFormat="1" applyFont="1" applyFill="1" applyAlignment="1">
      <alignment horizontal="right"/>
    </xf>
    <xf numFmtId="0" fontId="4" fillId="0" borderId="7" xfId="4" applyFont="1" applyBorder="1" applyAlignment="1">
      <alignment horizontal="left"/>
    </xf>
    <xf numFmtId="187" fontId="5" fillId="8" borderId="1" xfId="4" applyNumberFormat="1" applyFont="1" applyFill="1" applyBorder="1"/>
    <xf numFmtId="187" fontId="5" fillId="0" borderId="1" xfId="4" applyNumberFormat="1" applyFont="1" applyBorder="1"/>
    <xf numFmtId="0" fontId="5" fillId="0" borderId="1" xfId="4" applyFont="1" applyBorder="1" applyAlignment="1">
      <alignment horizontal="left"/>
    </xf>
    <xf numFmtId="187" fontId="17" fillId="9" borderId="0" xfId="4" applyNumberFormat="1" applyFont="1" applyFill="1"/>
    <xf numFmtId="187" fontId="5" fillId="8" borderId="0" xfId="4" applyNumberFormat="1" applyFont="1" applyFill="1"/>
    <xf numFmtId="181" fontId="5" fillId="0" borderId="0" xfId="4" applyNumberFormat="1" applyFont="1"/>
    <xf numFmtId="181" fontId="26" fillId="0" borderId="0" xfId="12" applyNumberFormat="1" applyFont="1" applyFill="1" applyBorder="1" applyAlignment="1">
      <alignment horizontal="right"/>
    </xf>
    <xf numFmtId="0" fontId="5" fillId="0" borderId="1" xfId="4" applyFont="1" applyBorder="1" applyAlignment="1">
      <alignment horizontal="left" indent="1"/>
    </xf>
    <xf numFmtId="181" fontId="26" fillId="0" borderId="0" xfId="10" applyNumberFormat="1" applyFont="1" applyFill="1" applyBorder="1" applyAlignment="1">
      <alignment horizontal="right"/>
    </xf>
    <xf numFmtId="181" fontId="5" fillId="0" borderId="0" xfId="3" applyNumberFormat="1" applyFont="1" applyFill="1" applyBorder="1" applyAlignment="1">
      <alignment horizontal="right"/>
    </xf>
    <xf numFmtId="0" fontId="5" fillId="0" borderId="9" xfId="4" applyFont="1" applyBorder="1" applyAlignment="1">
      <alignment horizontal="left"/>
    </xf>
    <xf numFmtId="9" fontId="5" fillId="0" borderId="0" xfId="3" applyFont="1" applyFill="1" applyBorder="1"/>
    <xf numFmtId="181" fontId="26" fillId="0" borderId="0" xfId="3" applyNumberFormat="1" applyFont="1" applyFill="1" applyAlignment="1">
      <alignment horizontal="right"/>
    </xf>
    <xf numFmtId="174" fontId="5" fillId="0" borderId="0" xfId="16" applyNumberFormat="1" applyFont="1" applyFill="1" applyBorder="1" applyAlignment="1">
      <alignment horizontal="right"/>
    </xf>
    <xf numFmtId="0" fontId="4" fillId="0" borderId="0" xfId="4" applyFont="1" applyAlignment="1">
      <alignment horizontal="left"/>
    </xf>
    <xf numFmtId="1" fontId="27" fillId="0" borderId="1" xfId="4" applyNumberFormat="1" applyFont="1" applyBorder="1"/>
    <xf numFmtId="0" fontId="20" fillId="0" borderId="0" xfId="4" applyFont="1"/>
    <xf numFmtId="1" fontId="27" fillId="0" borderId="0" xfId="4" applyNumberFormat="1" applyFont="1"/>
    <xf numFmtId="0" fontId="3" fillId="0" borderId="0" xfId="4" applyFont="1" applyAlignment="1">
      <alignment horizontal="left" indent="2"/>
    </xf>
    <xf numFmtId="181" fontId="5" fillId="0" borderId="0" xfId="4" applyNumberFormat="1" applyFont="1" applyAlignment="1">
      <alignment horizontal="right"/>
    </xf>
    <xf numFmtId="0" fontId="3" fillId="0" borderId="0" xfId="4" applyFont="1" applyAlignment="1">
      <alignment horizontal="left"/>
    </xf>
    <xf numFmtId="174" fontId="5" fillId="0" borderId="7" xfId="4" applyNumberFormat="1" applyFont="1" applyBorder="1"/>
    <xf numFmtId="1" fontId="27" fillId="0" borderId="7" xfId="4" applyNumberFormat="1" applyFont="1" applyBorder="1"/>
    <xf numFmtId="0" fontId="2" fillId="0" borderId="7" xfId="4" applyBorder="1"/>
    <xf numFmtId="181" fontId="17" fillId="0" borderId="0" xfId="4" applyNumberFormat="1" applyFont="1"/>
    <xf numFmtId="171" fontId="5" fillId="0" borderId="0" xfId="4" applyNumberFormat="1" applyFont="1"/>
    <xf numFmtId="2" fontId="2" fillId="0" borderId="0" xfId="4" applyNumberFormat="1"/>
    <xf numFmtId="171" fontId="5" fillId="8" borderId="0" xfId="3" applyNumberFormat="1" applyFont="1" applyFill="1" applyBorder="1"/>
    <xf numFmtId="0" fontId="5" fillId="9" borderId="1" xfId="4" applyFont="1" applyFill="1" applyBorder="1"/>
    <xf numFmtId="15" fontId="5" fillId="9" borderId="0" xfId="4" applyNumberFormat="1" applyFont="1" applyFill="1"/>
    <xf numFmtId="15" fontId="35" fillId="9" borderId="1" xfId="4" applyNumberFormat="1" applyFont="1" applyFill="1" applyBorder="1"/>
    <xf numFmtId="1" fontId="35" fillId="9" borderId="0" xfId="4" applyNumberFormat="1" applyFont="1" applyFill="1"/>
    <xf numFmtId="1" fontId="5" fillId="9" borderId="0" xfId="4" applyNumberFormat="1" applyFont="1" applyFill="1"/>
    <xf numFmtId="15" fontId="35" fillId="9" borderId="0" xfId="4" applyNumberFormat="1" applyFont="1" applyFill="1"/>
    <xf numFmtId="182" fontId="19" fillId="0" borderId="0" xfId="4" applyNumberFormat="1" applyFont="1" applyAlignment="1">
      <alignment horizontal="center"/>
    </xf>
    <xf numFmtId="187" fontId="5" fillId="9" borderId="0" xfId="4" applyNumberFormat="1" applyFont="1" applyFill="1"/>
    <xf numFmtId="0" fontId="5" fillId="9" borderId="0" xfId="4" applyFont="1" applyFill="1" applyAlignment="1">
      <alignment horizontal="left"/>
    </xf>
    <xf numFmtId="187" fontId="5" fillId="12" borderId="0" xfId="16" applyNumberFormat="1" applyFont="1" applyFill="1" applyBorder="1" applyAlignment="1">
      <alignment horizontal="right"/>
    </xf>
    <xf numFmtId="187" fontId="5" fillId="9" borderId="0" xfId="16" applyNumberFormat="1" applyFont="1" applyFill="1" applyBorder="1" applyAlignment="1">
      <alignment horizontal="right"/>
    </xf>
    <xf numFmtId="187" fontId="5" fillId="11" borderId="1" xfId="16" applyNumberFormat="1" applyFont="1" applyFill="1" applyBorder="1" applyAlignment="1">
      <alignment horizontal="right"/>
    </xf>
    <xf numFmtId="0" fontId="5" fillId="9" borderId="1" xfId="4" applyFont="1" applyFill="1" applyBorder="1" applyAlignment="1">
      <alignment horizontal="left"/>
    </xf>
    <xf numFmtId="187" fontId="5" fillId="12" borderId="1" xfId="16" applyNumberFormat="1" applyFont="1" applyFill="1" applyBorder="1" applyAlignment="1">
      <alignment horizontal="right"/>
    </xf>
    <xf numFmtId="187" fontId="5" fillId="11" borderId="0" xfId="16" applyNumberFormat="1" applyFont="1" applyFill="1" applyBorder="1" applyAlignment="1">
      <alignment horizontal="right"/>
    </xf>
    <xf numFmtId="0" fontId="25" fillId="0" borderId="7" xfId="4" applyFont="1" applyBorder="1" applyAlignment="1">
      <alignment horizontal="left" indent="1"/>
    </xf>
    <xf numFmtId="9" fontId="5" fillId="0" borderId="0" xfId="4" applyNumberFormat="1" applyFont="1"/>
    <xf numFmtId="187" fontId="4" fillId="8" borderId="1" xfId="4" applyNumberFormat="1" applyFont="1" applyFill="1" applyBorder="1"/>
    <xf numFmtId="187" fontId="4" fillId="0" borderId="1" xfId="4" applyNumberFormat="1" applyFont="1" applyBorder="1"/>
    <xf numFmtId="0" fontId="4" fillId="0" borderId="1" xfId="4" applyFont="1" applyBorder="1" applyAlignment="1">
      <alignment horizontal="left"/>
    </xf>
    <xf numFmtId="0" fontId="5" fillId="0" borderId="3" xfId="4" applyFont="1" applyBorder="1" applyAlignment="1">
      <alignment horizontal="left"/>
    </xf>
    <xf numFmtId="187" fontId="27" fillId="0" borderId="0" xfId="16" applyNumberFormat="1" applyFont="1" applyFill="1" applyBorder="1"/>
    <xf numFmtId="187" fontId="4" fillId="9" borderId="1" xfId="4" applyNumberFormat="1" applyFont="1" applyFill="1" applyBorder="1"/>
    <xf numFmtId="0" fontId="4" fillId="0" borderId="0" xfId="4" quotePrefix="1" applyFont="1"/>
    <xf numFmtId="187" fontId="5" fillId="8" borderId="0" xfId="4" quotePrefix="1" applyNumberFormat="1" applyFont="1" applyFill="1"/>
    <xf numFmtId="187" fontId="5" fillId="9" borderId="0" xfId="4" quotePrefix="1" applyNumberFormat="1" applyFont="1" applyFill="1"/>
    <xf numFmtId="0" fontId="5" fillId="0" borderId="0" xfId="4" quotePrefix="1" applyFont="1" applyAlignment="1">
      <alignment horizontal="left"/>
    </xf>
    <xf numFmtId="187" fontId="5" fillId="9" borderId="1" xfId="4" applyNumberFormat="1" applyFont="1" applyFill="1" applyBorder="1"/>
    <xf numFmtId="187" fontId="4" fillId="0" borderId="0" xfId="4" applyNumberFormat="1" applyFont="1"/>
    <xf numFmtId="0" fontId="4" fillId="0" borderId="0" xfId="4" applyFont="1" applyAlignment="1">
      <alignment horizontal="left" indent="1"/>
    </xf>
    <xf numFmtId="187" fontId="5" fillId="0" borderId="0" xfId="4" quotePrefix="1" applyNumberFormat="1" applyFont="1"/>
    <xf numFmtId="189" fontId="5" fillId="0" borderId="0" xfId="4" applyNumberFormat="1" applyFont="1"/>
    <xf numFmtId="187" fontId="4" fillId="9" borderId="0" xfId="4" applyNumberFormat="1" applyFont="1" applyFill="1"/>
    <xf numFmtId="0" fontId="25" fillId="9" borderId="0" xfId="4" applyFont="1" applyFill="1"/>
    <xf numFmtId="0" fontId="4" fillId="9" borderId="0" xfId="4" applyFont="1" applyFill="1"/>
    <xf numFmtId="0" fontId="2" fillId="9" borderId="0" xfId="4" applyFill="1"/>
    <xf numFmtId="0" fontId="2" fillId="9" borderId="1" xfId="4" applyFill="1" applyBorder="1"/>
    <xf numFmtId="187" fontId="5" fillId="8" borderId="9" xfId="16" applyNumberFormat="1" applyFont="1" applyFill="1" applyBorder="1" applyAlignment="1">
      <alignment horizontal="right"/>
    </xf>
    <xf numFmtId="187" fontId="5" fillId="9" borderId="9" xfId="16" applyNumberFormat="1" applyFont="1" applyFill="1" applyBorder="1" applyAlignment="1">
      <alignment horizontal="right"/>
    </xf>
    <xf numFmtId="187" fontId="5" fillId="8" borderId="0" xfId="16" applyNumberFormat="1" applyFont="1" applyFill="1" applyBorder="1" applyAlignment="1">
      <alignment horizontal="right"/>
    </xf>
    <xf numFmtId="180" fontId="5" fillId="0" borderId="0" xfId="4" applyNumberFormat="1" applyFont="1"/>
    <xf numFmtId="0" fontId="5" fillId="0" borderId="18" xfId="4" applyFont="1" applyBorder="1"/>
    <xf numFmtId="187" fontId="23" fillId="0" borderId="0" xfId="4" applyNumberFormat="1" applyFont="1" applyAlignment="1">
      <alignment horizontal="right"/>
    </xf>
    <xf numFmtId="4" fontId="5" fillId="0" borderId="0" xfId="4" applyNumberFormat="1" applyFont="1"/>
    <xf numFmtId="180" fontId="5" fillId="0" borderId="9" xfId="4" applyNumberFormat="1" applyFont="1" applyBorder="1"/>
    <xf numFmtId="180" fontId="5" fillId="0" borderId="6" xfId="4" applyNumberFormat="1" applyFont="1" applyBorder="1"/>
    <xf numFmtId="193" fontId="5" fillId="0" borderId="0" xfId="4" applyNumberFormat="1" applyFont="1"/>
    <xf numFmtId="0" fontId="2" fillId="0" borderId="0" xfId="5">
      <alignment vertical="top"/>
    </xf>
    <xf numFmtId="171" fontId="6" fillId="0" borderId="0" xfId="4" applyNumberFormat="1" applyFont="1" applyAlignment="1">
      <alignment horizontal="right"/>
    </xf>
    <xf numFmtId="177" fontId="4" fillId="5" borderId="0" xfId="8" applyFont="1" applyFill="1"/>
    <xf numFmtId="177" fontId="5" fillId="5" borderId="0" xfId="8" applyFont="1" applyFill="1"/>
    <xf numFmtId="174" fontId="17" fillId="2" borderId="0" xfId="7" applyNumberFormat="1" applyFont="1" applyFill="1"/>
    <xf numFmtId="0" fontId="5" fillId="0" borderId="0" xfId="5" quotePrefix="1" applyFont="1">
      <alignment vertical="top"/>
    </xf>
    <xf numFmtId="0" fontId="4" fillId="0" borderId="0" xfId="7" applyFont="1"/>
    <xf numFmtId="0" fontId="5" fillId="9" borderId="0" xfId="5" applyFont="1" applyFill="1">
      <alignment vertical="top"/>
    </xf>
    <xf numFmtId="0" fontId="4" fillId="0" borderId="1" xfId="5" applyFont="1" applyBorder="1">
      <alignment vertical="top"/>
    </xf>
    <xf numFmtId="171" fontId="27" fillId="2" borderId="0" xfId="6" applyNumberFormat="1" applyFont="1" applyFill="1" applyBorder="1" applyAlignment="1">
      <alignment horizontal="right" vertical="center"/>
    </xf>
    <xf numFmtId="177" fontId="3" fillId="5" borderId="0" xfId="8" applyFont="1" applyFill="1" applyAlignment="1">
      <alignment horizontal="left"/>
    </xf>
    <xf numFmtId="0" fontId="4" fillId="0" borderId="0" xfId="5" applyFont="1">
      <alignment vertical="top"/>
    </xf>
    <xf numFmtId="0" fontId="5" fillId="0" borderId="0" xfId="7" applyFont="1"/>
    <xf numFmtId="171" fontId="17" fillId="2" borderId="0" xfId="6" applyNumberFormat="1" applyFont="1" applyFill="1" applyBorder="1" applyAlignment="1">
      <alignment horizontal="right" vertical="center"/>
    </xf>
    <xf numFmtId="178" fontId="35" fillId="2" borderId="0" xfId="9" applyNumberFormat="1" applyFont="1" applyFill="1" applyAlignment="1" applyProtection="1">
      <alignment horizontal="right"/>
      <protection locked="0"/>
    </xf>
    <xf numFmtId="10" fontId="27" fillId="2" borderId="0" xfId="6" applyNumberFormat="1" applyFont="1" applyFill="1" applyBorder="1" applyAlignment="1">
      <alignment horizontal="right" vertical="center"/>
    </xf>
    <xf numFmtId="0" fontId="31" fillId="0" borderId="0" xfId="4" applyFont="1"/>
    <xf numFmtId="0" fontId="42" fillId="0" borderId="0" xfId="0" applyFont="1" applyAlignment="1">
      <alignment horizontal="left" vertical="center" wrapText="1"/>
    </xf>
    <xf numFmtId="0" fontId="39" fillId="0" borderId="0" xfId="0" applyFont="1" applyAlignment="1">
      <alignment vertical="top" wrapText="1"/>
    </xf>
    <xf numFmtId="0" fontId="39" fillId="0" borderId="0" xfId="0" applyFont="1" applyAlignment="1">
      <alignment horizontal="center" vertical="top" wrapText="1"/>
    </xf>
    <xf numFmtId="0" fontId="23" fillId="7" borderId="0" xfId="4" applyFont="1" applyFill="1"/>
    <xf numFmtId="0" fontId="23" fillId="0" borderId="1" xfId="4" applyFont="1" applyBorder="1"/>
    <xf numFmtId="174" fontId="17" fillId="0" borderId="0" xfId="4" applyNumberFormat="1" applyFont="1" applyAlignment="1">
      <alignment horizontal="right"/>
    </xf>
    <xf numFmtId="0" fontId="44" fillId="2" borderId="0" xfId="4" applyFont="1" applyFill="1"/>
    <xf numFmtId="179" fontId="4" fillId="0" borderId="1" xfId="11" applyNumberFormat="1" applyFont="1" applyBorder="1"/>
    <xf numFmtId="179" fontId="5" fillId="0" borderId="1" xfId="11" applyNumberFormat="1" applyFont="1" applyBorder="1"/>
    <xf numFmtId="0" fontId="45" fillId="0" borderId="0" xfId="4" applyFont="1"/>
    <xf numFmtId="197" fontId="39" fillId="8" borderId="21" xfId="0" applyNumberFormat="1" applyFont="1" applyFill="1" applyBorder="1" applyAlignment="1">
      <alignment horizontal="center" vertical="center" wrapText="1"/>
    </xf>
    <xf numFmtId="199" fontId="5" fillId="9" borderId="0" xfId="4" applyNumberFormat="1" applyFont="1" applyFill="1"/>
    <xf numFmtId="0" fontId="23" fillId="9" borderId="0" xfId="4" applyFont="1" applyFill="1"/>
    <xf numFmtId="174" fontId="5" fillId="9" borderId="1" xfId="4" applyNumberFormat="1" applyFont="1" applyFill="1" applyBorder="1"/>
    <xf numFmtId="0" fontId="38" fillId="0" borderId="0" xfId="4" applyFont="1"/>
    <xf numFmtId="0" fontId="22" fillId="0" borderId="0" xfId="4" applyFont="1"/>
    <xf numFmtId="200" fontId="4" fillId="0" borderId="7" xfId="4" applyNumberFormat="1" applyFont="1" applyBorder="1"/>
    <xf numFmtId="0" fontId="46" fillId="9" borderId="0" xfId="4" applyFont="1" applyFill="1"/>
    <xf numFmtId="0" fontId="47" fillId="9" borderId="0" xfId="4" applyFont="1" applyFill="1"/>
    <xf numFmtId="0" fontId="4" fillId="2" borderId="3" xfId="4" applyFont="1" applyFill="1" applyBorder="1"/>
    <xf numFmtId="174" fontId="4" fillId="0" borderId="1" xfId="4" applyNumberFormat="1" applyFont="1" applyBorder="1"/>
    <xf numFmtId="0" fontId="4" fillId="9" borderId="1" xfId="4" applyFont="1" applyFill="1" applyBorder="1"/>
    <xf numFmtId="10" fontId="4" fillId="0" borderId="0" xfId="4" applyNumberFormat="1" applyFont="1" applyAlignment="1">
      <alignment horizontal="left"/>
    </xf>
    <xf numFmtId="0" fontId="4" fillId="0" borderId="0" xfId="4" applyFont="1" applyAlignment="1">
      <alignment horizontal="right"/>
    </xf>
    <xf numFmtId="4" fontId="4" fillId="0" borderId="0" xfId="4" applyNumberFormat="1" applyFont="1"/>
    <xf numFmtId="202" fontId="5" fillId="0" borderId="0" xfId="4" applyNumberFormat="1" applyFont="1"/>
    <xf numFmtId="201" fontId="5" fillId="0" borderId="0" xfId="4" applyNumberFormat="1" applyFont="1" applyAlignment="1">
      <alignment horizontal="right"/>
    </xf>
    <xf numFmtId="201" fontId="5" fillId="0" borderId="0" xfId="4" applyNumberFormat="1" applyFont="1"/>
    <xf numFmtId="9" fontId="5" fillId="9" borderId="0" xfId="4" applyNumberFormat="1" applyFont="1" applyFill="1"/>
    <xf numFmtId="0" fontId="3" fillId="9" borderId="0" xfId="4" applyFont="1" applyFill="1"/>
    <xf numFmtId="171" fontId="5" fillId="9" borderId="0" xfId="4" applyNumberFormat="1" applyFont="1" applyFill="1"/>
    <xf numFmtId="0" fontId="5" fillId="9" borderId="9" xfId="4" applyFont="1" applyFill="1" applyBorder="1"/>
    <xf numFmtId="0" fontId="17" fillId="0" borderId="0" xfId="4" applyFont="1"/>
    <xf numFmtId="0" fontId="9" fillId="0" borderId="0" xfId="4" applyFont="1" applyAlignment="1">
      <alignment horizontal="right"/>
    </xf>
    <xf numFmtId="185" fontId="4" fillId="0" borderId="3" xfId="4" applyNumberFormat="1" applyFont="1" applyBorder="1" applyAlignment="1">
      <alignment horizontal="right"/>
    </xf>
    <xf numFmtId="0" fontId="4" fillId="0" borderId="3" xfId="4" applyFont="1" applyBorder="1"/>
    <xf numFmtId="172" fontId="5" fillId="0" borderId="0" xfId="4" applyNumberFormat="1" applyFont="1"/>
    <xf numFmtId="0" fontId="35" fillId="0" borderId="0" xfId="4" applyFont="1"/>
    <xf numFmtId="0" fontId="4" fillId="0" borderId="7" xfId="4" applyFont="1" applyBorder="1" applyAlignment="1">
      <alignment horizontal="right"/>
    </xf>
    <xf numFmtId="10" fontId="35" fillId="0" borderId="0" xfId="4" applyNumberFormat="1" applyFont="1"/>
    <xf numFmtId="167" fontId="4" fillId="0" borderId="0" xfId="4" applyNumberFormat="1" applyFont="1"/>
    <xf numFmtId="174" fontId="5" fillId="0" borderId="0" xfId="4" applyNumberFormat="1" applyFont="1" applyAlignment="1">
      <alignment horizontal="right"/>
    </xf>
    <xf numFmtId="0" fontId="17" fillId="0" borderId="0" xfId="4" applyFont="1" applyAlignment="1">
      <alignment horizontal="right"/>
    </xf>
    <xf numFmtId="0" fontId="35" fillId="0" borderId="0" xfId="4" applyFont="1" applyAlignment="1">
      <alignment horizontal="right"/>
    </xf>
    <xf numFmtId="9" fontId="4" fillId="0" borderId="1" xfId="4" applyNumberFormat="1" applyFont="1" applyBorder="1"/>
    <xf numFmtId="203" fontId="5" fillId="9" borderId="0" xfId="4" applyNumberFormat="1" applyFont="1" applyFill="1"/>
    <xf numFmtId="9" fontId="4" fillId="0" borderId="0" xfId="4" applyNumberFormat="1" applyFont="1"/>
    <xf numFmtId="9" fontId="4" fillId="0" borderId="6" xfId="4" applyNumberFormat="1" applyFont="1" applyBorder="1"/>
    <xf numFmtId="174" fontId="4" fillId="0" borderId="6" xfId="4" applyNumberFormat="1" applyFont="1" applyBorder="1"/>
    <xf numFmtId="0" fontId="4" fillId="0" borderId="6" xfId="4" applyFont="1" applyBorder="1"/>
    <xf numFmtId="203" fontId="4" fillId="9" borderId="0" xfId="4" applyNumberFormat="1" applyFont="1" applyFill="1"/>
    <xf numFmtId="203" fontId="4" fillId="9" borderId="6" xfId="4" applyNumberFormat="1" applyFont="1" applyFill="1" applyBorder="1"/>
    <xf numFmtId="174" fontId="4" fillId="9" borderId="6" xfId="4" applyNumberFormat="1" applyFont="1" applyFill="1" applyBorder="1"/>
    <xf numFmtId="0" fontId="4" fillId="9" borderId="6" xfId="4" applyFont="1" applyFill="1" applyBorder="1"/>
    <xf numFmtId="0" fontId="37" fillId="9" borderId="0" xfId="4" applyFont="1" applyFill="1"/>
    <xf numFmtId="174" fontId="32" fillId="0" borderId="0" xfId="4" applyNumberFormat="1" applyFont="1"/>
    <xf numFmtId="0" fontId="32" fillId="0" borderId="0" xfId="4" applyFont="1"/>
    <xf numFmtId="9" fontId="5" fillId="0" borderId="6" xfId="4" applyNumberFormat="1" applyFont="1" applyBorder="1"/>
    <xf numFmtId="174" fontId="32" fillId="0" borderId="6" xfId="4" applyNumberFormat="1" applyFont="1" applyBorder="1"/>
    <xf numFmtId="10" fontId="3" fillId="9" borderId="0" xfId="4" applyNumberFormat="1" applyFont="1" applyFill="1"/>
    <xf numFmtId="174" fontId="5" fillId="0" borderId="6" xfId="4" applyNumberFormat="1" applyFont="1" applyBorder="1"/>
    <xf numFmtId="178" fontId="5" fillId="0" borderId="6" xfId="4" applyNumberFormat="1" applyFont="1" applyBorder="1"/>
    <xf numFmtId="178" fontId="5" fillId="0" borderId="0" xfId="4" applyNumberFormat="1" applyFont="1"/>
    <xf numFmtId="204" fontId="49" fillId="9" borderId="0" xfId="4" applyNumberFormat="1" applyFont="1" applyFill="1"/>
    <xf numFmtId="0" fontId="32" fillId="9" borderId="0" xfId="4" applyFont="1" applyFill="1"/>
    <xf numFmtId="167" fontId="5" fillId="9" borderId="0" xfId="4" applyNumberFormat="1" applyFont="1" applyFill="1"/>
    <xf numFmtId="0" fontId="9" fillId="0" borderId="0" xfId="4" applyFont="1"/>
    <xf numFmtId="185" fontId="4" fillId="2" borderId="3" xfId="4" applyNumberFormat="1" applyFont="1" applyFill="1" applyBorder="1" applyAlignment="1">
      <alignment horizontal="right"/>
    </xf>
    <xf numFmtId="178" fontId="5" fillId="0" borderId="0" xfId="4" applyNumberFormat="1" applyFont="1" applyAlignment="1">
      <alignment horizontal="right"/>
    </xf>
    <xf numFmtId="205" fontId="5" fillId="0" borderId="0" xfId="4" applyNumberFormat="1" applyFont="1" applyAlignment="1">
      <alignment horizontal="right"/>
    </xf>
    <xf numFmtId="178" fontId="5" fillId="9" borderId="0" xfId="4" applyNumberFormat="1" applyFont="1" applyFill="1" applyAlignment="1">
      <alignment horizontal="right"/>
    </xf>
    <xf numFmtId="0" fontId="5" fillId="9" borderId="0" xfId="4" applyFont="1" applyFill="1" applyAlignment="1">
      <alignment horizontal="right"/>
    </xf>
    <xf numFmtId="204" fontId="49" fillId="0" borderId="0" xfId="4" applyNumberFormat="1" applyFont="1"/>
    <xf numFmtId="0" fontId="35" fillId="0" borderId="16" xfId="4" applyFont="1" applyBorder="1" applyAlignment="1">
      <alignment horizontal="center"/>
    </xf>
    <xf numFmtId="0" fontId="35" fillId="0" borderId="2" xfId="4" applyFont="1" applyBorder="1" applyAlignment="1">
      <alignment horizontal="center"/>
    </xf>
    <xf numFmtId="0" fontId="4" fillId="9" borderId="0" xfId="4" applyFont="1" applyFill="1" applyAlignment="1">
      <alignment horizontal="center"/>
    </xf>
    <xf numFmtId="0" fontId="30" fillId="0" borderId="0" xfId="4" applyFont="1"/>
    <xf numFmtId="0" fontId="2" fillId="9" borderId="0" xfId="4" applyFill="1" applyAlignment="1">
      <alignment horizontal="left"/>
    </xf>
    <xf numFmtId="187" fontId="2" fillId="9" borderId="0" xfId="4" applyNumberFormat="1" applyFill="1"/>
    <xf numFmtId="0" fontId="5" fillId="9" borderId="3" xfId="4" applyFont="1" applyFill="1" applyBorder="1" applyAlignment="1">
      <alignment horizontal="center"/>
    </xf>
    <xf numFmtId="0" fontId="5" fillId="9" borderId="3" xfId="4" applyFont="1" applyFill="1" applyBorder="1" applyAlignment="1">
      <alignment horizontal="left"/>
    </xf>
    <xf numFmtId="0" fontId="5" fillId="9" borderId="3" xfId="4" applyFont="1" applyFill="1" applyBorder="1"/>
    <xf numFmtId="187" fontId="4" fillId="9" borderId="3" xfId="4" applyNumberFormat="1" applyFont="1" applyFill="1" applyBorder="1"/>
    <xf numFmtId="0" fontId="4" fillId="9" borderId="3" xfId="4" applyFont="1" applyFill="1" applyBorder="1"/>
    <xf numFmtId="0" fontId="4" fillId="9" borderId="3" xfId="4" applyFont="1" applyFill="1" applyBorder="1" applyAlignment="1">
      <alignment horizontal="left"/>
    </xf>
    <xf numFmtId="206" fontId="3" fillId="9" borderId="0" xfId="4" applyNumberFormat="1" applyFont="1" applyFill="1" applyAlignment="1">
      <alignment horizontal="left"/>
    </xf>
    <xf numFmtId="200" fontId="4" fillId="0" borderId="7" xfId="4" applyNumberFormat="1" applyFont="1" applyBorder="1" applyAlignment="1">
      <alignment horizontal="left"/>
    </xf>
    <xf numFmtId="10" fontId="5" fillId="9" borderId="0" xfId="4" applyNumberFormat="1" applyFont="1" applyFill="1"/>
    <xf numFmtId="187" fontId="3" fillId="9" borderId="0" xfId="4" applyNumberFormat="1" applyFont="1" applyFill="1" applyAlignment="1">
      <alignment horizontal="center"/>
    </xf>
    <xf numFmtId="187" fontId="3" fillId="9" borderId="0" xfId="4" applyNumberFormat="1" applyFont="1" applyFill="1"/>
    <xf numFmtId="0" fontId="3" fillId="9" borderId="0" xfId="4" applyFont="1" applyFill="1" applyAlignment="1">
      <alignment horizontal="left"/>
    </xf>
    <xf numFmtId="206" fontId="14" fillId="9" borderId="3" xfId="4" applyNumberFormat="1" applyFont="1" applyFill="1" applyBorder="1" applyAlignment="1">
      <alignment horizontal="left"/>
    </xf>
    <xf numFmtId="206" fontId="3" fillId="9" borderId="1" xfId="4" applyNumberFormat="1" applyFont="1" applyFill="1" applyBorder="1" applyAlignment="1">
      <alignment horizontal="left"/>
    </xf>
    <xf numFmtId="187" fontId="5" fillId="0" borderId="3" xfId="4" applyNumberFormat="1" applyFont="1" applyBorder="1"/>
    <xf numFmtId="187" fontId="3" fillId="0" borderId="0" xfId="4" applyNumberFormat="1" applyFont="1"/>
    <xf numFmtId="0" fontId="20" fillId="0" borderId="0" xfId="4" applyFont="1" applyAlignment="1">
      <alignment horizontal="left"/>
    </xf>
    <xf numFmtId="0" fontId="5" fillId="9" borderId="24" xfId="4" applyFont="1" applyFill="1" applyBorder="1" applyAlignment="1">
      <alignment horizontal="center"/>
    </xf>
    <xf numFmtId="0" fontId="5" fillId="9" borderId="25" xfId="4" applyFont="1" applyFill="1" applyBorder="1"/>
    <xf numFmtId="0" fontId="4" fillId="9" borderId="25" xfId="4" applyFont="1" applyFill="1" applyBorder="1"/>
    <xf numFmtId="0" fontId="4" fillId="9" borderId="25" xfId="4" applyFont="1" applyFill="1" applyBorder="1" applyAlignment="1">
      <alignment horizontal="center"/>
    </xf>
    <xf numFmtId="0" fontId="4" fillId="9" borderId="25" xfId="4" applyFont="1" applyFill="1" applyBorder="1" applyAlignment="1">
      <alignment horizontal="left"/>
    </xf>
    <xf numFmtId="0" fontId="5" fillId="0" borderId="16" xfId="4" applyFont="1" applyBorder="1" applyAlignment="1">
      <alignment horizontal="center"/>
    </xf>
    <xf numFmtId="0" fontId="5" fillId="9" borderId="0" xfId="4" applyFont="1" applyFill="1" applyAlignment="1">
      <alignment horizontal="center"/>
    </xf>
    <xf numFmtId="0" fontId="5" fillId="0" borderId="0" xfId="4" applyFont="1" applyAlignment="1">
      <alignment horizontal="center"/>
    </xf>
    <xf numFmtId="187" fontId="4" fillId="0" borderId="26" xfId="4" applyNumberFormat="1" applyFont="1" applyBorder="1" applyAlignment="1">
      <alignment horizontal="center"/>
    </xf>
    <xf numFmtId="200" fontId="4" fillId="0" borderId="0" xfId="4" applyNumberFormat="1" applyFont="1"/>
    <xf numFmtId="0" fontId="33" fillId="9" borderId="0" xfId="4" applyFont="1" applyFill="1" applyAlignment="1">
      <alignment horizontal="center"/>
    </xf>
    <xf numFmtId="187" fontId="33" fillId="9" borderId="0" xfId="4" applyNumberFormat="1" applyFont="1" applyFill="1"/>
    <xf numFmtId="0" fontId="33" fillId="9" borderId="0" xfId="4" applyFont="1" applyFill="1"/>
    <xf numFmtId="187" fontId="35" fillId="9" borderId="0" xfId="4" applyNumberFormat="1" applyFont="1" applyFill="1"/>
    <xf numFmtId="207" fontId="5" fillId="9" borderId="0" xfId="4" applyNumberFormat="1" applyFont="1" applyFill="1"/>
    <xf numFmtId="0" fontId="5" fillId="9" borderId="16" xfId="4" applyFont="1" applyFill="1" applyBorder="1" applyAlignment="1">
      <alignment horizontal="center"/>
    </xf>
    <xf numFmtId="0" fontId="3" fillId="9" borderId="0" xfId="4" applyFont="1" applyFill="1" applyAlignment="1">
      <alignment horizontal="center"/>
    </xf>
    <xf numFmtId="0" fontId="4" fillId="9" borderId="0" xfId="4" applyFont="1" applyFill="1" applyAlignment="1">
      <alignment horizontal="left"/>
    </xf>
    <xf numFmtId="0" fontId="4" fillId="9" borderId="1" xfId="4" applyFont="1" applyFill="1" applyBorder="1" applyAlignment="1">
      <alignment horizontal="left"/>
    </xf>
    <xf numFmtId="0" fontId="37" fillId="9" borderId="0" xfId="4" applyFont="1" applyFill="1" applyAlignment="1">
      <alignment horizontal="left"/>
    </xf>
    <xf numFmtId="187" fontId="5" fillId="9" borderId="9" xfId="4" applyNumberFormat="1" applyFont="1" applyFill="1" applyBorder="1"/>
    <xf numFmtId="0" fontId="5" fillId="9" borderId="9" xfId="4" applyFont="1" applyFill="1" applyBorder="1" applyAlignment="1">
      <alignment horizontal="left"/>
    </xf>
    <xf numFmtId="1" fontId="5" fillId="0" borderId="0" xfId="4" applyNumberFormat="1" applyFont="1" applyAlignment="1">
      <alignment horizontal="center"/>
    </xf>
    <xf numFmtId="171" fontId="35" fillId="0" borderId="0" xfId="4" applyNumberFormat="1" applyFont="1"/>
    <xf numFmtId="200" fontId="4" fillId="0" borderId="0" xfId="4" applyNumberFormat="1" applyFont="1" applyAlignment="1">
      <alignment horizontal="center"/>
    </xf>
    <xf numFmtId="9" fontId="3" fillId="9" borderId="0" xfId="3" applyFont="1" applyFill="1"/>
    <xf numFmtId="0" fontId="5" fillId="7" borderId="0" xfId="4" applyFont="1" applyFill="1" applyAlignment="1">
      <alignment horizontal="left"/>
    </xf>
    <xf numFmtId="9" fontId="4" fillId="0" borderId="0" xfId="4" applyNumberFormat="1" applyFont="1" applyAlignment="1">
      <alignment horizontal="center"/>
    </xf>
    <xf numFmtId="201" fontId="4" fillId="0" borderId="0" xfId="4" applyNumberFormat="1" applyFont="1" applyAlignment="1">
      <alignment horizontal="center"/>
    </xf>
    <xf numFmtId="10" fontId="4" fillId="0" borderId="0" xfId="4" applyNumberFormat="1" applyFont="1" applyAlignment="1">
      <alignment horizontal="center"/>
    </xf>
    <xf numFmtId="202" fontId="4" fillId="0" borderId="0" xfId="4" applyNumberFormat="1" applyFont="1" applyAlignment="1">
      <alignment horizontal="center"/>
    </xf>
    <xf numFmtId="174" fontId="4" fillId="0" borderId="0" xfId="4" applyNumberFormat="1" applyFont="1" applyAlignment="1">
      <alignment horizontal="center"/>
    </xf>
    <xf numFmtId="9" fontId="4" fillId="0" borderId="0" xfId="4" applyNumberFormat="1" applyFont="1" applyAlignment="1">
      <alignment horizontal="left"/>
    </xf>
    <xf numFmtId="9" fontId="4" fillId="0" borderId="0" xfId="10" applyFont="1" applyFill="1" applyBorder="1" applyAlignment="1">
      <alignment horizontal="center"/>
    </xf>
    <xf numFmtId="201" fontId="14" fillId="0" borderId="0" xfId="4" applyNumberFormat="1" applyFont="1" applyAlignment="1">
      <alignment horizontal="center"/>
    </xf>
    <xf numFmtId="15" fontId="4" fillId="0" borderId="0" xfId="4" applyNumberFormat="1" applyFont="1" applyAlignment="1">
      <alignment horizontal="center"/>
    </xf>
    <xf numFmtId="174" fontId="5" fillId="0" borderId="0" xfId="4" applyNumberFormat="1" applyFont="1" applyAlignment="1">
      <alignment horizontal="center"/>
    </xf>
    <xf numFmtId="172" fontId="5" fillId="0" borderId="0" xfId="4" applyNumberFormat="1" applyFont="1" applyAlignment="1">
      <alignment horizontal="center"/>
    </xf>
    <xf numFmtId="15" fontId="5" fillId="0" borderId="0" xfId="4" applyNumberFormat="1" applyFont="1" applyAlignment="1">
      <alignment horizontal="center"/>
    </xf>
    <xf numFmtId="9" fontId="5" fillId="0" borderId="0" xfId="4" applyNumberFormat="1" applyFont="1" applyAlignment="1">
      <alignment horizontal="center"/>
    </xf>
    <xf numFmtId="0" fontId="32" fillId="0" borderId="0" xfId="0" applyFont="1" applyAlignment="1">
      <alignment horizontal="center" vertical="center"/>
    </xf>
    <xf numFmtId="201" fontId="5" fillId="0" borderId="0" xfId="4" applyNumberFormat="1" applyFont="1" applyAlignment="1">
      <alignment horizontal="center"/>
    </xf>
    <xf numFmtId="0" fontId="52" fillId="0" borderId="0" xfId="0" applyFont="1" applyAlignment="1">
      <alignment vertical="center" wrapText="1"/>
    </xf>
    <xf numFmtId="0" fontId="32" fillId="0" borderId="0" xfId="0" applyFont="1" applyAlignment="1">
      <alignment vertical="center"/>
    </xf>
    <xf numFmtId="9" fontId="32" fillId="0" borderId="0" xfId="0" applyNumberFormat="1" applyFont="1" applyAlignment="1">
      <alignment horizontal="center" vertical="center"/>
    </xf>
    <xf numFmtId="3" fontId="32" fillId="0" borderId="0" xfId="0" applyNumberFormat="1" applyFont="1" applyAlignment="1">
      <alignment horizontal="center" vertical="center"/>
    </xf>
    <xf numFmtId="15" fontId="32" fillId="0" borderId="0" xfId="0" applyNumberFormat="1" applyFont="1" applyAlignment="1">
      <alignment horizontal="center" vertical="center"/>
    </xf>
    <xf numFmtId="0" fontId="4" fillId="0" borderId="0" xfId="4" applyFont="1" applyAlignment="1">
      <alignment horizontal="center"/>
    </xf>
    <xf numFmtId="201" fontId="4" fillId="0" borderId="0" xfId="4" applyNumberFormat="1" applyFont="1" applyAlignment="1">
      <alignment horizontal="centerContinuous"/>
    </xf>
    <xf numFmtId="10" fontId="4" fillId="0" borderId="0" xfId="4" applyNumberFormat="1" applyFont="1" applyAlignment="1">
      <alignment horizontal="centerContinuous"/>
    </xf>
    <xf numFmtId="171" fontId="4" fillId="0" borderId="0" xfId="4" applyNumberFormat="1" applyFont="1" applyAlignment="1">
      <alignment horizontal="center"/>
    </xf>
    <xf numFmtId="194" fontId="4" fillId="0" borderId="0" xfId="4" applyNumberFormat="1" applyFont="1" applyAlignment="1">
      <alignment horizontal="center"/>
    </xf>
    <xf numFmtId="171" fontId="5" fillId="0" borderId="0" xfId="4" applyNumberFormat="1" applyFont="1" applyAlignment="1">
      <alignment horizontal="center"/>
    </xf>
    <xf numFmtId="202" fontId="5" fillId="0" borderId="0" xfId="4" applyNumberFormat="1" applyFont="1" applyAlignment="1">
      <alignment horizontal="center"/>
    </xf>
    <xf numFmtId="203" fontId="5" fillId="0" borderId="0" xfId="4" applyNumberFormat="1" applyFont="1" applyAlignment="1">
      <alignment horizontal="center"/>
    </xf>
    <xf numFmtId="171" fontId="32" fillId="0" borderId="0" xfId="0" applyNumberFormat="1" applyFont="1" applyAlignment="1">
      <alignment horizontal="center" vertical="center"/>
    </xf>
    <xf numFmtId="174" fontId="4" fillId="0" borderId="0" xfId="4" applyNumberFormat="1" applyFont="1" applyAlignment="1">
      <alignment horizontal="centerContinuous"/>
    </xf>
    <xf numFmtId="0" fontId="37" fillId="0" borderId="0" xfId="4" applyFont="1"/>
    <xf numFmtId="200" fontId="9" fillId="0" borderId="0" xfId="4" applyNumberFormat="1" applyFont="1" applyAlignment="1">
      <alignment horizontal="right"/>
    </xf>
    <xf numFmtId="0" fontId="46" fillId="0" borderId="0" xfId="4" applyFont="1"/>
    <xf numFmtId="181" fontId="4" fillId="0" borderId="0" xfId="4" applyNumberFormat="1" applyFont="1"/>
    <xf numFmtId="0" fontId="48" fillId="0" borderId="0" xfId="4" applyFont="1"/>
    <xf numFmtId="201" fontId="3" fillId="0" borderId="0" xfId="4" applyNumberFormat="1" applyFont="1"/>
    <xf numFmtId="202" fontId="3" fillId="0" borderId="0" xfId="4" applyNumberFormat="1" applyFont="1"/>
    <xf numFmtId="201" fontId="3" fillId="0" borderId="0" xfId="4" applyNumberFormat="1" applyFont="1" applyAlignment="1">
      <alignment horizontal="right"/>
    </xf>
    <xf numFmtId="9" fontId="3" fillId="0" borderId="0" xfId="3" applyFont="1" applyFill="1" applyBorder="1"/>
    <xf numFmtId="197" fontId="3" fillId="0" borderId="0" xfId="3" applyNumberFormat="1" applyFont="1" applyFill="1" applyBorder="1"/>
    <xf numFmtId="208" fontId="3" fillId="0" borderId="0" xfId="4" applyNumberFormat="1" applyFont="1"/>
    <xf numFmtId="181" fontId="3" fillId="0" borderId="0" xfId="4" applyNumberFormat="1" applyFont="1"/>
    <xf numFmtId="174" fontId="14" fillId="0" borderId="0" xfId="4" applyNumberFormat="1" applyFont="1"/>
    <xf numFmtId="0" fontId="53" fillId="0" borderId="0" xfId="0" applyFont="1" applyAlignment="1">
      <alignment vertical="top" wrapText="1"/>
    </xf>
    <xf numFmtId="178" fontId="54" fillId="0" borderId="0" xfId="0" applyNumberFormat="1" applyFont="1" applyAlignment="1">
      <alignment horizontal="center" vertical="top" wrapText="1"/>
    </xf>
    <xf numFmtId="0" fontId="55" fillId="0" borderId="0" xfId="0" applyFont="1" applyAlignment="1">
      <alignment horizontal="left" vertical="center" wrapText="1"/>
    </xf>
    <xf numFmtId="10" fontId="54" fillId="0" borderId="0" xfId="0" applyNumberFormat="1" applyFont="1" applyAlignment="1">
      <alignment horizontal="center" vertical="top" wrapText="1"/>
    </xf>
    <xf numFmtId="10" fontId="54" fillId="0" borderId="0" xfId="3" applyNumberFormat="1" applyFont="1" applyFill="1" applyBorder="1" applyAlignment="1">
      <alignment horizontal="center" vertical="top" wrapText="1"/>
    </xf>
    <xf numFmtId="0" fontId="56" fillId="0" borderId="0" xfId="0" applyFont="1" applyAlignment="1">
      <alignment horizontal="left" vertical="center" wrapText="1"/>
    </xf>
    <xf numFmtId="2" fontId="54" fillId="0" borderId="0" xfId="0" applyNumberFormat="1" applyFont="1" applyAlignment="1">
      <alignment horizontal="center" vertical="top" wrapText="1"/>
    </xf>
    <xf numFmtId="0" fontId="57" fillId="0" borderId="0" xfId="0" applyFont="1" applyAlignment="1">
      <alignment horizontal="left" vertical="center" wrapText="1"/>
    </xf>
    <xf numFmtId="0" fontId="58" fillId="0" borderId="0" xfId="0" applyFont="1" applyAlignment="1">
      <alignment horizontal="left" vertical="center" wrapText="1"/>
    </xf>
    <xf numFmtId="171" fontId="54" fillId="0" borderId="0" xfId="3" applyNumberFormat="1" applyFont="1" applyFill="1" applyBorder="1" applyAlignment="1">
      <alignment horizontal="center" vertical="center" wrapText="1"/>
    </xf>
    <xf numFmtId="0" fontId="59" fillId="0" borderId="0" xfId="0" applyFont="1"/>
    <xf numFmtId="174" fontId="3" fillId="0" borderId="0" xfId="4" applyNumberFormat="1" applyFont="1"/>
    <xf numFmtId="182" fontId="19" fillId="13" borderId="0" xfId="4" applyNumberFormat="1" applyFont="1" applyFill="1" applyAlignment="1">
      <alignment horizontal="center"/>
    </xf>
    <xf numFmtId="1" fontId="4" fillId="0" borderId="16" xfId="4" applyNumberFormat="1" applyFont="1" applyBorder="1" applyAlignment="1">
      <alignment horizontal="center"/>
    </xf>
    <xf numFmtId="171" fontId="35" fillId="2" borderId="0" xfId="4" applyNumberFormat="1" applyFont="1" applyFill="1"/>
    <xf numFmtId="200" fontId="4" fillId="0" borderId="7" xfId="4" applyNumberFormat="1" applyFont="1" applyBorder="1" applyAlignment="1">
      <alignment horizontal="center"/>
    </xf>
    <xf numFmtId="171" fontId="4" fillId="9" borderId="1" xfId="3" applyNumberFormat="1" applyFont="1" applyFill="1" applyBorder="1"/>
    <xf numFmtId="0" fontId="5" fillId="9" borderId="17" xfId="4" applyFont="1" applyFill="1" applyBorder="1" applyAlignment="1">
      <alignment horizontal="center"/>
    </xf>
    <xf numFmtId="0" fontId="5" fillId="9" borderId="0" xfId="4" applyFont="1" applyFill="1" applyAlignment="1">
      <alignment horizontal="center" vertical="center"/>
    </xf>
    <xf numFmtId="0" fontId="4" fillId="8" borderId="1" xfId="4" applyFont="1" applyFill="1" applyBorder="1"/>
    <xf numFmtId="0" fontId="4" fillId="8" borderId="1" xfId="4" applyFont="1" applyFill="1" applyBorder="1" applyAlignment="1">
      <alignment horizontal="left"/>
    </xf>
    <xf numFmtId="1" fontId="4" fillId="8" borderId="0" xfId="4" applyNumberFormat="1" applyFont="1" applyFill="1" applyAlignment="1">
      <alignment horizontal="center"/>
    </xf>
    <xf numFmtId="171" fontId="4" fillId="8" borderId="1" xfId="4" applyNumberFormat="1" applyFont="1" applyFill="1" applyBorder="1"/>
    <xf numFmtId="10" fontId="5" fillId="0" borderId="1" xfId="4" applyNumberFormat="1" applyFont="1" applyBorder="1"/>
    <xf numFmtId="10" fontId="35" fillId="0" borderId="1" xfId="4" applyNumberFormat="1" applyFont="1" applyBorder="1"/>
    <xf numFmtId="10" fontId="5" fillId="0" borderId="1" xfId="4" applyNumberFormat="1" applyFont="1" applyBorder="1" applyAlignment="1">
      <alignment horizontal="right"/>
    </xf>
    <xf numFmtId="200" fontId="4" fillId="0" borderId="0" xfId="4" applyNumberFormat="1" applyFont="1" applyAlignment="1">
      <alignment horizontal="left"/>
    </xf>
    <xf numFmtId="171" fontId="5" fillId="9" borderId="0" xfId="3" applyNumberFormat="1" applyFont="1" applyFill="1" applyBorder="1" applyAlignment="1">
      <alignment horizontal="left"/>
    </xf>
    <xf numFmtId="205" fontId="5" fillId="0" borderId="0" xfId="4" quotePrefix="1" applyNumberFormat="1" applyFont="1" applyAlignment="1">
      <alignment horizontal="right"/>
    </xf>
    <xf numFmtId="200" fontId="5" fillId="0" borderId="0" xfId="4" applyNumberFormat="1" applyFont="1"/>
    <xf numFmtId="200" fontId="4" fillId="0" borderId="1" xfId="4" applyNumberFormat="1" applyFont="1" applyBorder="1" applyAlignment="1">
      <alignment horizontal="left"/>
    </xf>
    <xf numFmtId="200" fontId="4" fillId="0" borderId="1" xfId="4" applyNumberFormat="1" applyFont="1" applyBorder="1"/>
    <xf numFmtId="171" fontId="4" fillId="9" borderId="0" xfId="3" applyNumberFormat="1" applyFont="1" applyFill="1" applyBorder="1" applyAlignment="1">
      <alignment horizontal="center"/>
    </xf>
    <xf numFmtId="171" fontId="5" fillId="0" borderId="16" xfId="3" applyNumberFormat="1" applyFont="1" applyFill="1" applyBorder="1" applyAlignment="1">
      <alignment horizontal="center"/>
    </xf>
    <xf numFmtId="0" fontId="41" fillId="0" borderId="31" xfId="0" applyFont="1" applyBorder="1" applyAlignment="1">
      <alignment horizontal="left" vertical="center" wrapText="1"/>
    </xf>
    <xf numFmtId="0" fontId="39" fillId="0" borderId="32" xfId="0" applyFont="1" applyBorder="1" applyAlignment="1">
      <alignment vertical="top" wrapText="1"/>
    </xf>
    <xf numFmtId="0" fontId="41" fillId="0" borderId="33" xfId="0" applyFont="1" applyBorder="1" applyAlignment="1">
      <alignment horizontal="left" vertical="center" wrapText="1"/>
    </xf>
    <xf numFmtId="0" fontId="39" fillId="0" borderId="34" xfId="0" applyFont="1" applyBorder="1" applyAlignment="1">
      <alignment vertical="top" wrapText="1"/>
    </xf>
    <xf numFmtId="0" fontId="41" fillId="0" borderId="29" xfId="0" applyFont="1" applyBorder="1" applyAlignment="1">
      <alignment horizontal="left" vertical="center" wrapText="1"/>
    </xf>
    <xf numFmtId="0" fontId="39" fillId="0" borderId="30" xfId="0" applyFont="1" applyBorder="1" applyAlignment="1">
      <alignment vertical="top" wrapText="1"/>
    </xf>
    <xf numFmtId="0" fontId="41" fillId="0" borderId="35" xfId="0" applyFont="1" applyBorder="1" applyAlignment="1">
      <alignment horizontal="left" vertical="center" wrapText="1"/>
    </xf>
    <xf numFmtId="0" fontId="39" fillId="0" borderId="37" xfId="0" applyFont="1" applyBorder="1" applyAlignment="1">
      <alignment vertical="top" wrapText="1"/>
    </xf>
    <xf numFmtId="209" fontId="5" fillId="0" borderId="0" xfId="20" applyFont="1" applyAlignment="1">
      <alignment horizontal="center"/>
    </xf>
    <xf numFmtId="0" fontId="19" fillId="0" borderId="0" xfId="4" applyFont="1"/>
    <xf numFmtId="0" fontId="5" fillId="0" borderId="0" xfId="21" applyFont="1" applyAlignment="1">
      <alignment horizontal="left" indent="1"/>
    </xf>
    <xf numFmtId="174" fontId="5" fillId="7" borderId="0" xfId="4" applyNumberFormat="1" applyFont="1" applyFill="1"/>
    <xf numFmtId="0" fontId="30" fillId="15" borderId="0" xfId="4" applyFont="1" applyFill="1"/>
    <xf numFmtId="0" fontId="38" fillId="15" borderId="20" xfId="9" applyFont="1" applyFill="1" applyBorder="1"/>
    <xf numFmtId="0" fontId="19" fillId="15" borderId="20" xfId="4" applyFont="1" applyFill="1" applyBorder="1"/>
    <xf numFmtId="0" fontId="19" fillId="15" borderId="20" xfId="9" applyFont="1" applyFill="1" applyBorder="1"/>
    <xf numFmtId="2" fontId="39" fillId="8" borderId="22" xfId="0" applyNumberFormat="1" applyFont="1" applyFill="1" applyBorder="1" applyAlignment="1">
      <alignment horizontal="center" vertical="center" wrapText="1"/>
    </xf>
    <xf numFmtId="197" fontId="39" fillId="0" borderId="21" xfId="0" applyNumberFormat="1" applyFont="1" applyBorder="1" applyAlignment="1">
      <alignment horizontal="center" vertical="center" wrapText="1"/>
    </xf>
    <xf numFmtId="0" fontId="9" fillId="15" borderId="0" xfId="4" applyFont="1" applyFill="1" applyAlignment="1">
      <alignment horizontal="right"/>
    </xf>
    <xf numFmtId="178" fontId="39" fillId="8" borderId="28" xfId="3" applyNumberFormat="1" applyFont="1" applyFill="1" applyBorder="1" applyAlignment="1">
      <alignment horizontal="center" vertical="center" wrapText="1"/>
    </xf>
    <xf numFmtId="171" fontId="39" fillId="8" borderId="27" xfId="3" applyNumberFormat="1" applyFont="1" applyFill="1" applyBorder="1" applyAlignment="1">
      <alignment horizontal="center" vertical="center" wrapText="1"/>
    </xf>
    <xf numFmtId="178" fontId="39" fillId="8" borderId="0" xfId="3" applyNumberFormat="1" applyFont="1" applyFill="1" applyBorder="1" applyAlignment="1">
      <alignment horizontal="center" vertical="center" wrapText="1"/>
    </xf>
    <xf numFmtId="171" fontId="39" fillId="8" borderId="36" xfId="3" applyNumberFormat="1" applyFont="1" applyFill="1" applyBorder="1" applyAlignment="1">
      <alignment horizontal="center" vertical="center" wrapText="1"/>
    </xf>
    <xf numFmtId="0" fontId="60" fillId="8" borderId="29" xfId="0" applyFont="1" applyFill="1" applyBorder="1" applyAlignment="1">
      <alignment horizontal="left" vertical="center" wrapText="1"/>
    </xf>
    <xf numFmtId="0" fontId="60" fillId="8" borderId="0" xfId="0" applyFont="1" applyFill="1" applyAlignment="1">
      <alignment horizontal="center" vertical="center" wrapText="1"/>
    </xf>
    <xf numFmtId="0" fontId="60" fillId="8" borderId="30" xfId="0" applyFont="1" applyFill="1" applyBorder="1" applyAlignment="1">
      <alignment horizontal="left" vertical="center" wrapText="1"/>
    </xf>
    <xf numFmtId="210" fontId="5" fillId="0" borderId="0" xfId="4" applyNumberFormat="1" applyFont="1" applyAlignment="1">
      <alignment horizontal="right"/>
    </xf>
    <xf numFmtId="0" fontId="1" fillId="0" borderId="0" xfId="0" applyFont="1"/>
    <xf numFmtId="0" fontId="4" fillId="0" borderId="0" xfId="30" applyFont="1"/>
    <xf numFmtId="0" fontId="5" fillId="0" borderId="0" xfId="30" applyFont="1"/>
    <xf numFmtId="0" fontId="5" fillId="0" borderId="0" xfId="30" applyFont="1" applyFill="1"/>
    <xf numFmtId="0" fontId="72" fillId="0" borderId="0" xfId="30" applyFont="1"/>
    <xf numFmtId="0" fontId="66" fillId="0" borderId="0" xfId="28" applyFont="1" applyFill="1"/>
    <xf numFmtId="0" fontId="72" fillId="0" borderId="0" xfId="30" applyFont="1" applyFill="1"/>
    <xf numFmtId="182" fontId="5" fillId="0" borderId="0" xfId="4" applyNumberFormat="1" applyFont="1" applyAlignment="1">
      <alignment horizontal="center"/>
    </xf>
    <xf numFmtId="0" fontId="4" fillId="0" borderId="0" xfId="30" applyFont="1" applyFill="1"/>
    <xf numFmtId="0" fontId="8" fillId="0" borderId="0" xfId="31" applyFont="1"/>
    <xf numFmtId="0" fontId="5" fillId="0" borderId="0" xfId="4" applyFont="1" applyAlignment="1">
      <alignment wrapText="1"/>
    </xf>
    <xf numFmtId="0" fontId="5" fillId="0" borderId="0" xfId="30" quotePrefix="1" applyFont="1" applyAlignment="1">
      <alignment horizontal="left"/>
    </xf>
    <xf numFmtId="0" fontId="5" fillId="0" borderId="0" xfId="30" applyFont="1" applyAlignment="1">
      <alignment horizontal="left"/>
    </xf>
    <xf numFmtId="203" fontId="27" fillId="2" borderId="51" xfId="4" applyNumberFormat="1" applyFont="1" applyFill="1" applyBorder="1" applyAlignment="1">
      <alignment horizontal="centerContinuous"/>
    </xf>
    <xf numFmtId="203" fontId="27" fillId="2" borderId="52" xfId="4" applyNumberFormat="1" applyFont="1" applyFill="1" applyBorder="1" applyAlignment="1">
      <alignment horizontal="centerContinuous"/>
    </xf>
    <xf numFmtId="0" fontId="71" fillId="17" borderId="0" xfId="4" applyFont="1" applyFill="1"/>
    <xf numFmtId="0" fontId="12" fillId="17" borderId="0" xfId="4" applyFont="1" applyFill="1"/>
    <xf numFmtId="0" fontId="11" fillId="17" borderId="0" xfId="4" applyFont="1" applyFill="1"/>
    <xf numFmtId="0" fontId="73" fillId="17" borderId="0" xfId="4" applyFont="1" applyFill="1"/>
    <xf numFmtId="0" fontId="29" fillId="17" borderId="0" xfId="29" applyNumberFormat="1" applyFont="1" applyFill="1" applyAlignment="1">
      <alignment horizontal="left" vertical="top" wrapText="1"/>
    </xf>
    <xf numFmtId="0" fontId="29" fillId="17" borderId="0" xfId="29" applyNumberFormat="1" applyFont="1" applyFill="1" applyAlignment="1">
      <alignment horizontal="left" vertical="top"/>
    </xf>
    <xf numFmtId="0" fontId="5" fillId="17" borderId="0" xfId="4" applyFont="1" applyFill="1"/>
    <xf numFmtId="0" fontId="74" fillId="17" borderId="0" xfId="4" applyFont="1" applyFill="1"/>
    <xf numFmtId="0" fontId="32" fillId="0" borderId="0" xfId="0" applyFont="1"/>
    <xf numFmtId="0" fontId="9" fillId="17" borderId="0" xfId="29" applyNumberFormat="1" applyFont="1" applyFill="1" applyAlignment="1">
      <alignment horizontal="left" vertical="center"/>
    </xf>
    <xf numFmtId="0" fontId="4" fillId="17" borderId="0" xfId="4" applyFont="1" applyFill="1" applyAlignment="1">
      <alignment vertical="center"/>
    </xf>
    <xf numFmtId="0" fontId="9" fillId="17" borderId="0" xfId="29" applyNumberFormat="1" applyFont="1" applyFill="1" applyAlignment="1">
      <alignment horizontal="left" vertical="center" wrapText="1"/>
    </xf>
    <xf numFmtId="0" fontId="9" fillId="17" borderId="0" xfId="29" applyNumberFormat="1" applyFont="1" applyFill="1" applyAlignment="1">
      <alignment horizontal="right" vertical="center"/>
    </xf>
    <xf numFmtId="0" fontId="4" fillId="0" borderId="0" xfId="4" applyFont="1" applyAlignment="1">
      <alignment vertical="center"/>
    </xf>
    <xf numFmtId="0" fontId="5" fillId="0" borderId="3" xfId="4" applyFont="1" applyBorder="1" applyAlignment="1">
      <alignment horizontal="center"/>
    </xf>
    <xf numFmtId="0" fontId="35" fillId="0" borderId="17" xfId="4" applyFont="1" applyBorder="1" applyAlignment="1">
      <alignment horizontal="center"/>
    </xf>
    <xf numFmtId="187" fontId="5" fillId="0" borderId="17" xfId="4" applyNumberFormat="1" applyFont="1" applyBorder="1" applyAlignment="1">
      <alignment horizontal="left"/>
    </xf>
    <xf numFmtId="0" fontId="5" fillId="0" borderId="1" xfId="4" applyFont="1" applyBorder="1" applyAlignment="1">
      <alignment horizontal="center"/>
    </xf>
    <xf numFmtId="0" fontId="51" fillId="9" borderId="1" xfId="4" applyFont="1" applyFill="1" applyBorder="1"/>
    <xf numFmtId="0" fontId="4" fillId="0" borderId="16" xfId="4" applyFont="1" applyBorder="1" applyAlignment="1">
      <alignment horizontal="center"/>
    </xf>
    <xf numFmtId="178" fontId="4" fillId="0" borderId="53" xfId="4" applyNumberFormat="1" applyFont="1" applyBorder="1" applyAlignment="1">
      <alignment horizontal="center"/>
    </xf>
    <xf numFmtId="178" fontId="4" fillId="0" borderId="55" xfId="4" applyNumberFormat="1" applyFont="1" applyBorder="1" applyAlignment="1">
      <alignment horizontal="center"/>
    </xf>
    <xf numFmtId="178" fontId="4" fillId="0" borderId="54" xfId="4" applyNumberFormat="1" applyFont="1" applyBorder="1" applyAlignment="1">
      <alignment horizontal="center"/>
    </xf>
    <xf numFmtId="181" fontId="4" fillId="0" borderId="53" xfId="4" applyNumberFormat="1" applyFont="1" applyBorder="1" applyAlignment="1">
      <alignment horizontal="center"/>
    </xf>
    <xf numFmtId="181" fontId="4" fillId="0" borderId="54" xfId="4" applyNumberFormat="1" applyFont="1" applyBorder="1" applyAlignment="1">
      <alignment horizontal="center"/>
    </xf>
    <xf numFmtId="0" fontId="2" fillId="0" borderId="0" xfId="4" applyAlignment="1">
      <alignment horizontal="center"/>
    </xf>
    <xf numFmtId="0" fontId="4" fillId="0" borderId="7" xfId="4" applyFont="1" applyBorder="1" applyAlignment="1">
      <alignment horizontal="center"/>
    </xf>
    <xf numFmtId="174" fontId="4" fillId="0" borderId="53" xfId="4" applyNumberFormat="1" applyFont="1" applyBorder="1" applyAlignment="1">
      <alignment horizontal="center"/>
    </xf>
    <xf numFmtId="174" fontId="4" fillId="0" borderId="54" xfId="4" applyNumberFormat="1" applyFont="1" applyBorder="1" applyAlignment="1">
      <alignment horizontal="center"/>
    </xf>
    <xf numFmtId="185" fontId="4" fillId="0" borderId="53" xfId="4" applyNumberFormat="1" applyFont="1" applyBorder="1" applyAlignment="1">
      <alignment horizontal="center"/>
    </xf>
    <xf numFmtId="185" fontId="4" fillId="0" borderId="55" xfId="4" applyNumberFormat="1" applyFont="1" applyBorder="1" applyAlignment="1">
      <alignment horizontal="center"/>
    </xf>
    <xf numFmtId="205" fontId="4" fillId="0" borderId="54" xfId="4" applyNumberFormat="1" applyFont="1" applyBorder="1" applyAlignment="1">
      <alignment horizontal="center"/>
    </xf>
    <xf numFmtId="10" fontId="35" fillId="0" borderId="0" xfId="4" applyNumberFormat="1" applyFont="1" applyAlignment="1">
      <alignment horizontal="center"/>
    </xf>
    <xf numFmtId="178" fontId="35" fillId="2" borderId="0" xfId="4" applyNumberFormat="1" applyFont="1" applyFill="1" applyAlignment="1">
      <alignment horizontal="center"/>
    </xf>
    <xf numFmtId="171" fontId="35" fillId="2" borderId="0" xfId="4" applyNumberFormat="1" applyFont="1" applyFill="1" applyAlignment="1">
      <alignment horizontal="center"/>
    </xf>
    <xf numFmtId="174" fontId="35" fillId="2" borderId="0" xfId="4" applyNumberFormat="1" applyFont="1" applyFill="1" applyAlignment="1">
      <alignment horizontal="center"/>
    </xf>
    <xf numFmtId="185" fontId="35" fillId="2" borderId="0" xfId="4" applyNumberFormat="1" applyFont="1" applyFill="1" applyAlignment="1">
      <alignment horizontal="center"/>
    </xf>
    <xf numFmtId="185" fontId="35" fillId="2" borderId="0" xfId="1" applyNumberFormat="1" applyFont="1" applyFill="1" applyBorder="1" applyAlignment="1">
      <alignment horizontal="center"/>
    </xf>
    <xf numFmtId="0" fontId="50" fillId="2" borderId="16" xfId="4" applyFont="1" applyFill="1" applyBorder="1" applyAlignment="1">
      <alignment horizontal="center"/>
    </xf>
    <xf numFmtId="0" fontId="17" fillId="2" borderId="56" xfId="9" applyFont="1" applyFill="1" applyBorder="1" applyAlignment="1" applyProtection="1">
      <alignment horizontal="center"/>
      <protection locked="0"/>
    </xf>
    <xf numFmtId="171" fontId="35" fillId="0" borderId="0" xfId="4" applyNumberFormat="1" applyFont="1" applyAlignment="1">
      <alignment horizontal="center"/>
    </xf>
    <xf numFmtId="181" fontId="4" fillId="0" borderId="0" xfId="4" applyNumberFormat="1" applyFont="1" applyAlignment="1">
      <alignment horizontal="center"/>
    </xf>
    <xf numFmtId="0" fontId="5" fillId="0" borderId="0" xfId="4" applyFont="1" applyProtection="1">
      <protection locked="0"/>
    </xf>
    <xf numFmtId="174" fontId="4" fillId="2" borderId="1" xfId="4" applyNumberFormat="1" applyFont="1" applyFill="1" applyBorder="1" applyProtection="1">
      <protection locked="0"/>
    </xf>
    <xf numFmtId="0" fontId="2" fillId="0" borderId="0" xfId="4" applyProtection="1">
      <protection locked="0"/>
    </xf>
    <xf numFmtId="0" fontId="3" fillId="0" borderId="0" xfId="4" applyFont="1" applyProtection="1">
      <protection locked="0"/>
    </xf>
    <xf numFmtId="0" fontId="5" fillId="4" borderId="1" xfId="4" applyFont="1" applyFill="1" applyBorder="1" applyProtection="1">
      <protection locked="0"/>
    </xf>
    <xf numFmtId="174" fontId="5" fillId="0" borderId="0" xfId="4" applyNumberFormat="1" applyFont="1" applyProtection="1">
      <protection locked="0"/>
    </xf>
    <xf numFmtId="0" fontId="5" fillId="4" borderId="0" xfId="4" applyFont="1" applyFill="1" applyProtection="1">
      <protection locked="0"/>
    </xf>
    <xf numFmtId="0" fontId="5" fillId="0" borderId="0" xfId="11" applyFont="1" applyProtection="1">
      <protection locked="0"/>
    </xf>
    <xf numFmtId="174" fontId="5" fillId="9" borderId="0" xfId="4" applyNumberFormat="1" applyFont="1" applyFill="1" applyProtection="1">
      <protection locked="0"/>
    </xf>
    <xf numFmtId="0" fontId="4" fillId="2" borderId="1" xfId="4" applyFont="1" applyFill="1" applyBorder="1" applyProtection="1">
      <protection locked="0"/>
    </xf>
    <xf numFmtId="0" fontId="5" fillId="0" borderId="3" xfId="4" applyFont="1" applyBorder="1" applyProtection="1">
      <protection locked="0"/>
    </xf>
    <xf numFmtId="174" fontId="5" fillId="0" borderId="3" xfId="4" applyNumberFormat="1" applyFont="1" applyBorder="1" applyProtection="1">
      <protection locked="0"/>
    </xf>
    <xf numFmtId="174" fontId="4" fillId="9" borderId="0" xfId="4" applyNumberFormat="1" applyFont="1" applyFill="1" applyProtection="1">
      <protection locked="0"/>
    </xf>
    <xf numFmtId="174" fontId="3" fillId="2" borderId="0" xfId="12" applyNumberFormat="1" applyFont="1" applyFill="1" applyBorder="1" applyAlignment="1" applyProtection="1">
      <alignment horizontal="right"/>
      <protection locked="0"/>
    </xf>
    <xf numFmtId="0" fontId="5" fillId="0" borderId="4" xfId="4" applyFont="1" applyBorder="1" applyProtection="1">
      <protection locked="0"/>
    </xf>
    <xf numFmtId="174" fontId="5" fillId="0" borderId="2" xfId="4" applyNumberFormat="1" applyFont="1" applyBorder="1" applyProtection="1">
      <protection locked="0"/>
    </xf>
    <xf numFmtId="0" fontId="4" fillId="0" borderId="0" xfId="4" applyFont="1" applyProtection="1">
      <protection locked="0"/>
    </xf>
    <xf numFmtId="174" fontId="4" fillId="0" borderId="0" xfId="4" applyNumberFormat="1" applyFont="1" applyProtection="1">
      <protection locked="0"/>
    </xf>
    <xf numFmtId="0" fontId="38" fillId="0" borderId="0" xfId="4" applyFont="1" applyProtection="1">
      <protection locked="0"/>
    </xf>
    <xf numFmtId="0" fontId="5" fillId="0" borderId="6" xfId="4" applyFont="1" applyBorder="1" applyProtection="1">
      <protection locked="0"/>
    </xf>
    <xf numFmtId="0" fontId="17" fillId="0" borderId="0" xfId="4" applyFont="1" applyProtection="1">
      <protection locked="0"/>
    </xf>
    <xf numFmtId="0" fontId="20" fillId="0" borderId="0" xfId="4" applyFont="1" applyProtection="1">
      <protection locked="0"/>
    </xf>
    <xf numFmtId="0" fontId="20" fillId="7" borderId="0" xfId="4" applyFont="1" applyFill="1" applyProtection="1">
      <protection locked="0"/>
    </xf>
    <xf numFmtId="0" fontId="5" fillId="7" borderId="0" xfId="4" applyFont="1" applyFill="1" applyProtection="1">
      <protection locked="0"/>
    </xf>
    <xf numFmtId="0" fontId="2" fillId="7" borderId="0" xfId="4" applyFill="1" applyProtection="1">
      <protection locked="0"/>
    </xf>
    <xf numFmtId="199" fontId="5" fillId="9" borderId="0" xfId="4" applyNumberFormat="1" applyFont="1" applyFill="1" applyProtection="1">
      <protection locked="0"/>
    </xf>
    <xf numFmtId="0" fontId="5" fillId="10" borderId="0" xfId="4" applyFont="1" applyFill="1" applyProtection="1">
      <protection locked="0"/>
    </xf>
    <xf numFmtId="0" fontId="17" fillId="2" borderId="0" xfId="4" applyFont="1" applyFill="1" applyProtection="1">
      <protection locked="0"/>
    </xf>
    <xf numFmtId="0" fontId="0" fillId="0" borderId="0" xfId="0" applyProtection="1">
      <protection locked="0"/>
    </xf>
    <xf numFmtId="0" fontId="4" fillId="0" borderId="7" xfId="4" applyFont="1" applyBorder="1" applyProtection="1">
      <protection locked="0"/>
    </xf>
    <xf numFmtId="200" fontId="4" fillId="0" borderId="7" xfId="4" applyNumberFormat="1" applyFont="1" applyBorder="1" applyProtection="1">
      <protection locked="0"/>
    </xf>
    <xf numFmtId="0" fontId="23" fillId="0" borderId="0" xfId="4" applyFont="1" applyProtection="1">
      <protection locked="0"/>
    </xf>
    <xf numFmtId="0" fontId="5" fillId="9" borderId="0" xfId="4" applyFont="1" applyFill="1" applyProtection="1">
      <protection locked="0"/>
    </xf>
    <xf numFmtId="0" fontId="5" fillId="0" borderId="1" xfId="4" applyFont="1" applyBorder="1" applyProtection="1">
      <protection locked="0"/>
    </xf>
    <xf numFmtId="174" fontId="5" fillId="0" borderId="1" xfId="4" applyNumberFormat="1" applyFont="1" applyBorder="1" applyProtection="1">
      <protection locked="0"/>
    </xf>
    <xf numFmtId="0" fontId="5" fillId="9" borderId="1" xfId="4" applyFont="1" applyFill="1" applyBorder="1" applyProtection="1">
      <protection locked="0"/>
    </xf>
    <xf numFmtId="174" fontId="5" fillId="9" borderId="1" xfId="4" applyNumberFormat="1" applyFont="1" applyFill="1" applyBorder="1" applyProtection="1">
      <protection locked="0"/>
    </xf>
    <xf numFmtId="0" fontId="23" fillId="9" borderId="0" xfId="4" applyFont="1" applyFill="1" applyProtection="1">
      <protection locked="0"/>
    </xf>
    <xf numFmtId="171" fontId="5" fillId="0" borderId="0" xfId="3" applyNumberFormat="1" applyFont="1" applyFill="1" applyBorder="1" applyAlignment="1" applyProtection="1">
      <alignment horizontal="left"/>
      <protection locked="0"/>
    </xf>
    <xf numFmtId="199" fontId="4" fillId="9" borderId="0" xfId="4" applyNumberFormat="1" applyFont="1" applyFill="1" applyProtection="1">
      <protection locked="0"/>
    </xf>
    <xf numFmtId="197" fontId="3" fillId="0" borderId="0" xfId="3" applyNumberFormat="1" applyFont="1" applyBorder="1" applyProtection="1">
      <protection locked="0"/>
    </xf>
    <xf numFmtId="197" fontId="3" fillId="0" borderId="0" xfId="3" applyNumberFormat="1" applyFont="1" applyFill="1" applyBorder="1" applyProtection="1">
      <protection locked="0"/>
    </xf>
    <xf numFmtId="9" fontId="3" fillId="0" borderId="0" xfId="3" applyFont="1" applyBorder="1" applyProtection="1">
      <protection locked="0"/>
    </xf>
    <xf numFmtId="9" fontId="3" fillId="0" borderId="0" xfId="3" applyFont="1" applyFill="1" applyBorder="1" applyProtection="1">
      <protection locked="0"/>
    </xf>
    <xf numFmtId="174" fontId="4" fillId="8" borderId="1" xfId="4" applyNumberFormat="1" applyFont="1" applyFill="1" applyBorder="1" applyProtection="1">
      <protection locked="0"/>
    </xf>
    <xf numFmtId="0" fontId="4" fillId="9" borderId="0" xfId="4" applyFont="1" applyFill="1" applyProtection="1">
      <protection locked="0"/>
    </xf>
    <xf numFmtId="0" fontId="47" fillId="9" borderId="0" xfId="4" applyFont="1" applyFill="1" applyProtection="1">
      <protection locked="0"/>
    </xf>
    <xf numFmtId="0" fontId="46" fillId="9" borderId="0" xfId="4" applyFont="1" applyFill="1" applyProtection="1">
      <protection locked="0"/>
    </xf>
    <xf numFmtId="171" fontId="46" fillId="9" borderId="0" xfId="4" applyNumberFormat="1" applyFont="1" applyFill="1" applyProtection="1">
      <protection locked="0"/>
    </xf>
    <xf numFmtId="174" fontId="5" fillId="9" borderId="9" xfId="4" applyNumberFormat="1" applyFont="1" applyFill="1" applyBorder="1" applyProtection="1">
      <protection locked="0"/>
    </xf>
    <xf numFmtId="171" fontId="5" fillId="9" borderId="9" xfId="4" applyNumberFormat="1" applyFont="1" applyFill="1" applyBorder="1" applyProtection="1">
      <protection locked="0"/>
    </xf>
    <xf numFmtId="0" fontId="5" fillId="9" borderId="9" xfId="4" applyFont="1" applyFill="1" applyBorder="1" applyProtection="1">
      <protection locked="0"/>
    </xf>
    <xf numFmtId="9" fontId="4" fillId="2" borderId="1" xfId="4" applyNumberFormat="1" applyFont="1" applyFill="1" applyBorder="1" applyProtection="1">
      <protection locked="0"/>
    </xf>
    <xf numFmtId="199" fontId="5" fillId="0" borderId="0" xfId="4" applyNumberFormat="1" applyFont="1" applyProtection="1">
      <protection locked="0"/>
    </xf>
    <xf numFmtId="171" fontId="5" fillId="0" borderId="0" xfId="3" applyNumberFormat="1" applyFont="1" applyFill="1" applyBorder="1" applyAlignment="1" applyProtection="1">
      <protection locked="0"/>
    </xf>
    <xf numFmtId="0" fontId="5" fillId="0" borderId="6" xfId="4" applyFont="1" applyBorder="1" applyAlignment="1" applyProtection="1">
      <alignment horizontal="right"/>
      <protection locked="0"/>
    </xf>
    <xf numFmtId="0" fontId="4" fillId="0" borderId="6" xfId="4" applyFont="1" applyBorder="1" applyAlignment="1" applyProtection="1">
      <alignment horizontal="right"/>
      <protection locked="0"/>
    </xf>
    <xf numFmtId="174" fontId="5" fillId="0" borderId="6" xfId="4" applyNumberFormat="1" applyFont="1" applyBorder="1" applyProtection="1">
      <protection locked="0"/>
    </xf>
    <xf numFmtId="0" fontId="4" fillId="0" borderId="6" xfId="4" applyFont="1" applyBorder="1" applyProtection="1">
      <protection locked="0"/>
    </xf>
    <xf numFmtId="200" fontId="4" fillId="0" borderId="6" xfId="4" applyNumberFormat="1" applyFont="1" applyBorder="1" applyProtection="1">
      <protection locked="0"/>
    </xf>
    <xf numFmtId="174" fontId="5" fillId="9" borderId="6" xfId="4" applyNumberFormat="1" applyFont="1" applyFill="1" applyBorder="1" applyProtection="1">
      <protection locked="0"/>
    </xf>
    <xf numFmtId="10" fontId="4" fillId="2" borderId="1" xfId="4" applyNumberFormat="1" applyFont="1" applyFill="1" applyBorder="1" applyAlignment="1" applyProtection="1">
      <alignment horizontal="left"/>
      <protection locked="0"/>
    </xf>
    <xf numFmtId="0" fontId="4" fillId="2" borderId="1" xfId="4" applyFont="1" applyFill="1" applyBorder="1" applyAlignment="1" applyProtection="1">
      <alignment horizontal="right"/>
      <protection locked="0"/>
    </xf>
    <xf numFmtId="10" fontId="4" fillId="2" borderId="16" xfId="4" applyNumberFormat="1" applyFont="1" applyFill="1" applyBorder="1" applyAlignment="1" applyProtection="1">
      <alignment horizontal="center" vertical="center"/>
      <protection locked="0"/>
    </xf>
    <xf numFmtId="0" fontId="2" fillId="0" borderId="1" xfId="4" applyBorder="1" applyProtection="1">
      <protection locked="0"/>
    </xf>
    <xf numFmtId="0" fontId="2" fillId="9" borderId="0" xfId="4" applyFill="1" applyProtection="1">
      <protection locked="0"/>
    </xf>
    <xf numFmtId="182" fontId="21" fillId="7" borderId="0" xfId="4" applyNumberFormat="1" applyFont="1" applyFill="1" applyAlignment="1" applyProtection="1">
      <alignment horizontal="center"/>
      <protection locked="0"/>
    </xf>
    <xf numFmtId="0" fontId="22" fillId="0" borderId="0" xfId="4" applyFont="1" applyProtection="1">
      <protection locked="0"/>
    </xf>
    <xf numFmtId="0" fontId="5" fillId="0" borderId="14" xfId="4" applyFont="1" applyBorder="1"/>
    <xf numFmtId="0" fontId="5" fillId="0" borderId="38" xfId="4" applyFont="1" applyBorder="1"/>
    <xf numFmtId="0" fontId="5" fillId="0" borderId="15" xfId="4" applyFont="1" applyBorder="1"/>
    <xf numFmtId="181" fontId="5" fillId="0" borderId="1" xfId="4" applyNumberFormat="1" applyFont="1" applyBorder="1" applyAlignment="1">
      <alignment horizontal="right"/>
    </xf>
    <xf numFmtId="0" fontId="5" fillId="0" borderId="39" xfId="4" applyFont="1" applyBorder="1"/>
    <xf numFmtId="0" fontId="17" fillId="0" borderId="15" xfId="4" applyFont="1" applyBorder="1" applyAlignment="1">
      <alignment horizontal="left"/>
    </xf>
    <xf numFmtId="0" fontId="17" fillId="0" borderId="39" xfId="4" applyFont="1" applyBorder="1" applyAlignment="1">
      <alignment horizontal="left"/>
    </xf>
    <xf numFmtId="0" fontId="14" fillId="0" borderId="0" xfId="4" applyFont="1" applyAlignment="1">
      <alignment horizontal="left"/>
    </xf>
    <xf numFmtId="0" fontId="14" fillId="0" borderId="0" xfId="4" applyFont="1" applyAlignment="1">
      <alignment horizontal="center"/>
    </xf>
    <xf numFmtId="174" fontId="17" fillId="0" borderId="1" xfId="4" applyNumberFormat="1" applyFont="1" applyBorder="1"/>
    <xf numFmtId="174" fontId="17" fillId="2" borderId="38" xfId="4" applyNumberFormat="1" applyFont="1" applyFill="1" applyBorder="1"/>
    <xf numFmtId="0" fontId="4" fillId="0" borderId="15" xfId="4" applyFont="1" applyBorder="1" applyAlignment="1">
      <alignment horizontal="left"/>
    </xf>
    <xf numFmtId="10" fontId="17" fillId="2" borderId="1" xfId="3" applyNumberFormat="1" applyFont="1" applyFill="1" applyBorder="1"/>
    <xf numFmtId="194" fontId="5" fillId="0" borderId="0" xfId="4" applyNumberFormat="1" applyFont="1"/>
    <xf numFmtId="174" fontId="5" fillId="0" borderId="3" xfId="4" applyNumberFormat="1" applyFont="1" applyBorder="1"/>
    <xf numFmtId="174" fontId="5" fillId="4" borderId="0" xfId="16" applyNumberFormat="1" applyFont="1" applyFill="1" applyBorder="1" applyAlignment="1">
      <alignment horizontal="right"/>
    </xf>
    <xf numFmtId="174" fontId="5" fillId="4" borderId="0" xfId="4" applyNumberFormat="1" applyFont="1" applyFill="1"/>
    <xf numFmtId="181" fontId="3" fillId="4" borderId="0" xfId="4" applyNumberFormat="1" applyFont="1" applyFill="1"/>
    <xf numFmtId="174" fontId="4" fillId="0" borderId="1" xfId="16" applyNumberFormat="1" applyFont="1" applyFill="1" applyBorder="1" applyAlignment="1">
      <alignment horizontal="right"/>
    </xf>
    <xf numFmtId="174" fontId="4" fillId="4" borderId="1" xfId="16" applyNumberFormat="1" applyFont="1" applyFill="1" applyBorder="1" applyAlignment="1">
      <alignment horizontal="right"/>
    </xf>
    <xf numFmtId="181" fontId="49" fillId="0" borderId="0" xfId="4" applyNumberFormat="1" applyFont="1"/>
    <xf numFmtId="174" fontId="4" fillId="4" borderId="1" xfId="4" applyNumberFormat="1" applyFont="1" applyFill="1" applyBorder="1"/>
    <xf numFmtId="2" fontId="5" fillId="0" borderId="0" xfId="4" applyNumberFormat="1" applyFont="1"/>
    <xf numFmtId="181" fontId="5" fillId="4" borderId="0" xfId="3" applyNumberFormat="1" applyFont="1" applyFill="1" applyBorder="1"/>
    <xf numFmtId="1" fontId="76" fillId="0" borderId="1" xfId="4" applyNumberFormat="1" applyFont="1" applyBorder="1"/>
    <xf numFmtId="0" fontId="77" fillId="0" borderId="0" xfId="0" applyFont="1"/>
    <xf numFmtId="0" fontId="69" fillId="2" borderId="0" xfId="4" applyFont="1" applyFill="1"/>
    <xf numFmtId="175" fontId="4" fillId="0" borderId="1" xfId="1" applyNumberFormat="1" applyFont="1" applyBorder="1"/>
    <xf numFmtId="0" fontId="28" fillId="0" borderId="0" xfId="11" applyFont="1"/>
    <xf numFmtId="212" fontId="27" fillId="0" borderId="0" xfId="12" applyNumberFormat="1" applyFont="1" applyFill="1" applyBorder="1" applyAlignment="1">
      <alignment horizontal="right"/>
    </xf>
    <xf numFmtId="0" fontId="4" fillId="0" borderId="1" xfId="11" applyFont="1" applyBorder="1"/>
    <xf numFmtId="174" fontId="5" fillId="4" borderId="1" xfId="4" applyNumberFormat="1" applyFont="1" applyFill="1" applyBorder="1"/>
    <xf numFmtId="0" fontId="5" fillId="0" borderId="0" xfId="4" applyFont="1" applyAlignment="1">
      <alignment horizontal="left" vertical="top" wrapText="1"/>
    </xf>
    <xf numFmtId="0" fontId="4" fillId="0" borderId="1" xfId="4" applyFont="1" applyBorder="1" applyAlignment="1">
      <alignment horizontal="left" indent="1"/>
    </xf>
    <xf numFmtId="174" fontId="4" fillId="0" borderId="0" xfId="11" applyNumberFormat="1" applyFont="1"/>
    <xf numFmtId="0" fontId="23" fillId="0" borderId="0" xfId="11" applyFont="1" applyAlignment="1">
      <alignment horizontal="left"/>
    </xf>
    <xf numFmtId="174" fontId="4" fillId="0" borderId="1" xfId="11" applyNumberFormat="1" applyFont="1" applyBorder="1"/>
    <xf numFmtId="174" fontId="17" fillId="2" borderId="0" xfId="4" applyNumberFormat="1" applyFont="1" applyFill="1"/>
    <xf numFmtId="0" fontId="5" fillId="9" borderId="1" xfId="11" applyFont="1" applyFill="1" applyBorder="1"/>
    <xf numFmtId="174" fontId="5" fillId="4" borderId="1" xfId="16" applyNumberFormat="1" applyFont="1" applyFill="1" applyBorder="1" applyAlignment="1">
      <alignment horizontal="right"/>
    </xf>
    <xf numFmtId="0" fontId="5" fillId="0" borderId="57" xfId="11" applyFont="1" applyBorder="1"/>
    <xf numFmtId="174" fontId="4" fillId="4" borderId="0" xfId="4" applyNumberFormat="1" applyFont="1" applyFill="1"/>
    <xf numFmtId="0" fontId="4" fillId="0" borderId="1" xfId="11" applyFont="1" applyBorder="1" applyAlignment="1">
      <alignment horizontal="left" indent="1"/>
    </xf>
    <xf numFmtId="0" fontId="4" fillId="9" borderId="1" xfId="11" applyFont="1" applyFill="1" applyBorder="1" applyAlignment="1">
      <alignment horizontal="left" indent="1"/>
    </xf>
    <xf numFmtId="187" fontId="5" fillId="8" borderId="1" xfId="4" quotePrefix="1" applyNumberFormat="1" applyFont="1" applyFill="1" applyBorder="1"/>
    <xf numFmtId="174" fontId="5" fillId="0" borderId="1" xfId="16" applyNumberFormat="1" applyFont="1" applyFill="1" applyBorder="1" applyAlignment="1">
      <alignment horizontal="right"/>
    </xf>
    <xf numFmtId="187" fontId="5" fillId="4" borderId="1" xfId="4" applyNumberFormat="1" applyFont="1" applyFill="1" applyBorder="1"/>
    <xf numFmtId="181" fontId="26" fillId="4" borderId="0" xfId="12" applyNumberFormat="1" applyFont="1" applyFill="1" applyBorder="1" applyAlignment="1">
      <alignment horizontal="right"/>
    </xf>
    <xf numFmtId="187" fontId="5" fillId="18" borderId="0" xfId="16" applyNumberFormat="1" applyFont="1" applyFill="1" applyBorder="1" applyAlignment="1">
      <alignment horizontal="right"/>
    </xf>
    <xf numFmtId="185" fontId="4" fillId="0" borderId="1" xfId="4" applyNumberFormat="1" applyFont="1" applyBorder="1"/>
    <xf numFmtId="185" fontId="4" fillId="0" borderId="1" xfId="4" applyNumberFormat="1" applyFont="1" applyBorder="1" applyAlignment="1">
      <alignment horizontal="left"/>
    </xf>
    <xf numFmtId="185" fontId="4" fillId="0" borderId="0" xfId="4" applyNumberFormat="1" applyFont="1" applyAlignment="1">
      <alignment horizontal="left"/>
    </xf>
    <xf numFmtId="185" fontId="4" fillId="0" borderId="0" xfId="4" applyNumberFormat="1" applyFont="1"/>
    <xf numFmtId="174" fontId="17" fillId="0" borderId="0" xfId="13" applyNumberFormat="1" applyFont="1" applyFill="1" applyAlignment="1">
      <alignment horizontal="right"/>
    </xf>
    <xf numFmtId="174" fontId="26" fillId="0" borderId="1" xfId="12" applyNumberFormat="1" applyFont="1" applyFill="1" applyBorder="1" applyAlignment="1">
      <alignment horizontal="right"/>
    </xf>
    <xf numFmtId="172" fontId="5" fillId="9" borderId="0" xfId="16" applyNumberFormat="1" applyFont="1" applyFill="1" applyBorder="1" applyAlignment="1">
      <alignment horizontal="right"/>
    </xf>
    <xf numFmtId="174" fontId="5" fillId="8" borderId="0" xfId="4" applyNumberFormat="1" applyFont="1" applyFill="1"/>
    <xf numFmtId="0" fontId="5" fillId="0" borderId="6" xfId="4" applyFont="1" applyBorder="1" applyAlignment="1">
      <alignment horizontal="left"/>
    </xf>
    <xf numFmtId="187" fontId="5" fillId="9" borderId="6" xfId="16" applyNumberFormat="1" applyFont="1" applyFill="1" applyBorder="1" applyAlignment="1">
      <alignment horizontal="right"/>
    </xf>
    <xf numFmtId="172" fontId="5" fillId="9" borderId="38" xfId="16" applyNumberFormat="1" applyFont="1" applyFill="1" applyBorder="1" applyAlignment="1">
      <alignment horizontal="right"/>
    </xf>
    <xf numFmtId="181" fontId="5" fillId="0" borderId="0" xfId="16" applyNumberFormat="1" applyFont="1" applyFill="1" applyBorder="1" applyAlignment="1">
      <alignment vertical="center"/>
    </xf>
    <xf numFmtId="174" fontId="5" fillId="19" borderId="0" xfId="4" applyNumberFormat="1" applyFont="1" applyFill="1"/>
    <xf numFmtId="174" fontId="5" fillId="19" borderId="1" xfId="4" applyNumberFormat="1" applyFont="1" applyFill="1" applyBorder="1"/>
    <xf numFmtId="176" fontId="5" fillId="4" borderId="0" xfId="7" applyNumberFormat="1" applyFont="1" applyFill="1"/>
    <xf numFmtId="179" fontId="4" fillId="0" borderId="0" xfId="11" applyNumberFormat="1" applyFont="1"/>
    <xf numFmtId="174" fontId="5" fillId="2" borderId="0" xfId="7" applyNumberFormat="1" applyFont="1" applyFill="1"/>
    <xf numFmtId="176" fontId="5" fillId="4" borderId="0" xfId="9" applyNumberFormat="1" applyFont="1" applyFill="1" applyAlignment="1">
      <alignment horizontal="right"/>
    </xf>
    <xf numFmtId="196" fontId="3" fillId="4" borderId="0" xfId="10" applyNumberFormat="1" applyFont="1" applyFill="1" applyBorder="1" applyAlignment="1">
      <alignment horizontal="right"/>
    </xf>
    <xf numFmtId="171" fontId="5" fillId="4" borderId="0" xfId="4" applyNumberFormat="1" applyFont="1" applyFill="1" applyAlignment="1">
      <alignment horizontal="right"/>
    </xf>
    <xf numFmtId="171" fontId="4" fillId="4" borderId="0" xfId="10" applyNumberFormat="1" applyFont="1" applyFill="1" applyBorder="1" applyAlignment="1">
      <alignment horizontal="right" vertical="center"/>
    </xf>
    <xf numFmtId="171" fontId="4" fillId="4" borderId="1" xfId="4" applyNumberFormat="1" applyFont="1" applyFill="1" applyBorder="1" applyAlignment="1">
      <alignment horizontal="right"/>
    </xf>
    <xf numFmtId="176" fontId="4" fillId="4" borderId="16" xfId="7" applyNumberFormat="1" applyFont="1" applyFill="1" applyBorder="1"/>
    <xf numFmtId="194" fontId="4" fillId="4" borderId="16" xfId="4" applyNumberFormat="1" applyFont="1" applyFill="1" applyBorder="1"/>
    <xf numFmtId="174" fontId="4" fillId="19" borderId="1" xfId="4" applyNumberFormat="1" applyFont="1" applyFill="1" applyBorder="1"/>
    <xf numFmtId="179" fontId="4" fillId="18" borderId="0" xfId="11" applyNumberFormat="1" applyFont="1" applyFill="1"/>
    <xf numFmtId="192" fontId="5" fillId="18" borderId="0" xfId="4" applyNumberFormat="1" applyFont="1" applyFill="1"/>
    <xf numFmtId="193" fontId="5" fillId="18" borderId="0" xfId="4" applyNumberFormat="1" applyFont="1" applyFill="1"/>
    <xf numFmtId="176" fontId="5" fillId="18" borderId="1" xfId="4" applyNumberFormat="1" applyFont="1" applyFill="1" applyBorder="1"/>
    <xf numFmtId="192" fontId="5" fillId="4" borderId="0" xfId="4" applyNumberFormat="1" applyFont="1" applyFill="1"/>
    <xf numFmtId="193" fontId="5" fillId="4" borderId="0" xfId="4" applyNumberFormat="1" applyFont="1" applyFill="1"/>
    <xf numFmtId="174" fontId="5" fillId="4" borderId="0" xfId="12" applyNumberFormat="1" applyFont="1" applyFill="1" applyBorder="1" applyAlignment="1">
      <alignment horizontal="right"/>
    </xf>
    <xf numFmtId="174" fontId="5" fillId="4" borderId="0" xfId="14" applyNumberFormat="1" applyFont="1" applyFill="1" applyBorder="1" applyAlignment="1">
      <alignment horizontal="right"/>
    </xf>
    <xf numFmtId="174" fontId="4" fillId="4" borderId="1" xfId="11" applyNumberFormat="1" applyFont="1" applyFill="1" applyBorder="1"/>
    <xf numFmtId="174" fontId="5" fillId="4" borderId="0" xfId="11" applyNumberFormat="1" applyFont="1" applyFill="1"/>
    <xf numFmtId="174" fontId="32" fillId="4" borderId="0" xfId="11" applyNumberFormat="1" applyFont="1" applyFill="1"/>
    <xf numFmtId="174" fontId="5" fillId="4" borderId="1" xfId="11" applyNumberFormat="1" applyFont="1" applyFill="1" applyBorder="1"/>
    <xf numFmtId="174" fontId="4" fillId="4" borderId="0" xfId="11" applyNumberFormat="1" applyFont="1" applyFill="1"/>
    <xf numFmtId="174" fontId="5" fillId="4" borderId="0" xfId="4" applyNumberFormat="1" applyFont="1" applyFill="1" applyAlignment="1">
      <alignment horizontal="right"/>
    </xf>
    <xf numFmtId="174" fontId="5" fillId="4" borderId="0" xfId="13" applyNumberFormat="1" applyFont="1" applyFill="1" applyAlignment="1">
      <alignment horizontal="right"/>
    </xf>
    <xf numFmtId="174" fontId="26" fillId="4" borderId="1" xfId="12" applyNumberFormat="1" applyFont="1" applyFill="1" applyBorder="1" applyAlignment="1">
      <alignment horizontal="right"/>
    </xf>
    <xf numFmtId="0" fontId="5" fillId="0" borderId="4" xfId="11" applyFont="1" applyBorder="1"/>
    <xf numFmtId="181" fontId="17" fillId="2" borderId="38" xfId="4" applyNumberFormat="1" applyFont="1" applyFill="1" applyBorder="1"/>
    <xf numFmtId="180" fontId="5" fillId="0" borderId="13" xfId="4" applyNumberFormat="1" applyFont="1" applyBorder="1"/>
    <xf numFmtId="180" fontId="5" fillId="0" borderId="10" xfId="4" applyNumberFormat="1" applyFont="1" applyBorder="1"/>
    <xf numFmtId="0" fontId="5" fillId="0" borderId="17" xfId="4" applyFont="1" applyBorder="1" applyAlignment="1">
      <alignment horizontal="center"/>
    </xf>
    <xf numFmtId="0" fontId="5" fillId="0" borderId="24" xfId="4" applyFont="1" applyBorder="1" applyAlignment="1">
      <alignment horizontal="center"/>
    </xf>
    <xf numFmtId="181" fontId="5" fillId="4" borderId="3" xfId="4" applyNumberFormat="1" applyFont="1" applyFill="1" applyBorder="1"/>
    <xf numFmtId="181" fontId="5" fillId="4" borderId="2" xfId="4" applyNumberFormat="1" applyFont="1" applyFill="1" applyBorder="1"/>
    <xf numFmtId="180" fontId="5" fillId="10" borderId="6" xfId="4" applyNumberFormat="1" applyFont="1" applyFill="1" applyBorder="1"/>
    <xf numFmtId="180" fontId="5" fillId="10" borderId="12" xfId="4" applyNumberFormat="1" applyFont="1" applyFill="1" applyBorder="1"/>
    <xf numFmtId="180" fontId="5" fillId="10" borderId="9" xfId="4" applyNumberFormat="1" applyFont="1" applyFill="1" applyBorder="1"/>
    <xf numFmtId="180" fontId="5" fillId="10" borderId="8" xfId="4" applyNumberFormat="1" applyFont="1" applyFill="1" applyBorder="1"/>
    <xf numFmtId="170" fontId="5" fillId="4" borderId="0" xfId="1" applyFont="1" applyFill="1" applyBorder="1"/>
    <xf numFmtId="181" fontId="26" fillId="4" borderId="0" xfId="3" applyNumberFormat="1" applyFont="1" applyFill="1" applyAlignment="1">
      <alignment horizontal="right"/>
    </xf>
    <xf numFmtId="175" fontId="4" fillId="4" borderId="1" xfId="1" applyNumberFormat="1" applyFont="1" applyFill="1" applyBorder="1"/>
    <xf numFmtId="0" fontId="4" fillId="0" borderId="4" xfId="4" applyFont="1" applyBorder="1" applyAlignment="1">
      <alignment horizontal="left"/>
    </xf>
    <xf numFmtId="174" fontId="17" fillId="0" borderId="3" xfId="4" applyNumberFormat="1" applyFont="1" applyBorder="1"/>
    <xf numFmtId="175" fontId="4" fillId="0" borderId="0" xfId="1" applyNumberFormat="1" applyFont="1" applyBorder="1"/>
    <xf numFmtId="191" fontId="17" fillId="2" borderId="15" xfId="4" applyNumberFormat="1" applyFont="1" applyFill="1" applyBorder="1"/>
    <xf numFmtId="191" fontId="17" fillId="2" borderId="1" xfId="4" applyNumberFormat="1" applyFont="1" applyFill="1" applyBorder="1"/>
    <xf numFmtId="187" fontId="17" fillId="2" borderId="39" xfId="4" applyNumberFormat="1" applyFont="1" applyFill="1" applyBorder="1"/>
    <xf numFmtId="190" fontId="17" fillId="2" borderId="17" xfId="16" applyNumberFormat="1" applyFont="1" applyFill="1" applyBorder="1" applyAlignment="1">
      <alignment horizontal="center"/>
    </xf>
    <xf numFmtId="174" fontId="4" fillId="2" borderId="0" xfId="4" applyNumberFormat="1" applyFont="1" applyFill="1" applyProtection="1">
      <protection locked="0"/>
    </xf>
    <xf numFmtId="0" fontId="3" fillId="2" borderId="0" xfId="4" applyFont="1" applyFill="1" applyProtection="1">
      <protection locked="0"/>
    </xf>
    <xf numFmtId="174" fontId="3" fillId="2" borderId="0" xfId="4" applyNumberFormat="1" applyFont="1" applyFill="1" applyProtection="1">
      <protection locked="0"/>
    </xf>
    <xf numFmtId="0" fontId="4" fillId="0" borderId="0" xfId="4" applyFont="1" applyAlignment="1" applyProtection="1">
      <alignment horizontal="centerContinuous"/>
      <protection locked="0"/>
    </xf>
    <xf numFmtId="0" fontId="3" fillId="8" borderId="0" xfId="4" applyFont="1" applyFill="1" applyProtection="1">
      <protection locked="0"/>
    </xf>
    <xf numFmtId="0" fontId="5" fillId="8" borderId="0" xfId="4" applyFont="1" applyFill="1" applyProtection="1">
      <protection locked="0"/>
    </xf>
    <xf numFmtId="193" fontId="3" fillId="8" borderId="0" xfId="4" applyNumberFormat="1" applyFont="1" applyFill="1" applyProtection="1">
      <protection locked="0"/>
    </xf>
    <xf numFmtId="0" fontId="4" fillId="2" borderId="0" xfId="4" applyFont="1" applyFill="1" applyProtection="1">
      <protection locked="0"/>
    </xf>
    <xf numFmtId="0" fontId="3" fillId="2" borderId="0" xfId="11" applyFont="1" applyFill="1" applyProtection="1">
      <protection locked="0"/>
    </xf>
    <xf numFmtId="164" fontId="13" fillId="2" borderId="0" xfId="4" applyNumberFormat="1" applyFont="1" applyFill="1" applyAlignment="1" applyProtection="1">
      <alignment horizontal="right"/>
      <protection locked="0"/>
    </xf>
    <xf numFmtId="179" fontId="5" fillId="0" borderId="0" xfId="11" applyNumberFormat="1" applyFont="1" applyProtection="1">
      <protection locked="0"/>
    </xf>
    <xf numFmtId="0" fontId="9" fillId="6" borderId="0" xfId="4" applyFont="1" applyFill="1" applyProtection="1">
      <protection locked="0"/>
    </xf>
    <xf numFmtId="15" fontId="5" fillId="0" borderId="0" xfId="4" applyNumberFormat="1" applyFont="1" applyProtection="1">
      <protection locked="0"/>
    </xf>
    <xf numFmtId="0" fontId="8" fillId="0" borderId="0" xfId="4" applyFont="1" applyProtection="1">
      <protection locked="0"/>
    </xf>
    <xf numFmtId="0" fontId="8" fillId="0" borderId="0" xfId="4" applyFont="1" applyAlignment="1" applyProtection="1">
      <alignment horizontal="right"/>
      <protection locked="0"/>
    </xf>
    <xf numFmtId="198" fontId="8" fillId="0" borderId="0" xfId="4" applyNumberFormat="1" applyFont="1" applyAlignment="1" applyProtection="1">
      <alignment horizontal="right"/>
      <protection locked="0"/>
    </xf>
    <xf numFmtId="198" fontId="4" fillId="0" borderId="0" xfId="4" applyNumberFormat="1" applyFont="1" applyAlignment="1" applyProtection="1">
      <alignment horizontal="right"/>
      <protection locked="0"/>
    </xf>
    <xf numFmtId="0" fontId="32" fillId="0" borderId="0" xfId="4" applyFont="1" applyProtection="1">
      <protection locked="0"/>
    </xf>
    <xf numFmtId="0" fontId="5" fillId="2" borderId="1" xfId="4" applyFont="1" applyFill="1" applyBorder="1" applyProtection="1">
      <protection locked="0"/>
    </xf>
    <xf numFmtId="179" fontId="5" fillId="2" borderId="1" xfId="11" applyNumberFormat="1" applyFont="1" applyFill="1" applyBorder="1" applyProtection="1">
      <protection locked="0"/>
    </xf>
    <xf numFmtId="0" fontId="3" fillId="8" borderId="59" xfId="4" applyFont="1" applyFill="1" applyBorder="1" applyProtection="1">
      <protection locked="0"/>
    </xf>
    <xf numFmtId="174" fontId="3" fillId="8" borderId="60" xfId="4" applyNumberFormat="1" applyFont="1" applyFill="1" applyBorder="1" applyProtection="1">
      <protection locked="0"/>
    </xf>
    <xf numFmtId="180" fontId="3" fillId="8" borderId="60" xfId="4" applyNumberFormat="1" applyFont="1" applyFill="1" applyBorder="1" applyProtection="1">
      <protection locked="0"/>
    </xf>
    <xf numFmtId="180" fontId="3" fillId="8" borderId="61" xfId="4" applyNumberFormat="1" applyFont="1" applyFill="1" applyBorder="1" applyProtection="1">
      <protection locked="0"/>
    </xf>
    <xf numFmtId="0" fontId="3" fillId="8" borderId="62" xfId="4" applyFont="1" applyFill="1" applyBorder="1" applyProtection="1">
      <protection locked="0"/>
    </xf>
    <xf numFmtId="174" fontId="3" fillId="8" borderId="63" xfId="4" applyNumberFormat="1" applyFont="1" applyFill="1" applyBorder="1" applyProtection="1">
      <protection locked="0"/>
    </xf>
    <xf numFmtId="180" fontId="3" fillId="8" borderId="63" xfId="4" applyNumberFormat="1" applyFont="1" applyFill="1" applyBorder="1" applyProtection="1">
      <protection locked="0"/>
    </xf>
    <xf numFmtId="0" fontId="42" fillId="2" borderId="23" xfId="0" applyFont="1" applyFill="1" applyBorder="1" applyAlignment="1">
      <alignment horizontal="left" vertical="center" wrapText="1"/>
    </xf>
    <xf numFmtId="0" fontId="41" fillId="0" borderId="22" xfId="0" applyFont="1" applyBorder="1" applyAlignment="1">
      <alignment horizontal="left" vertical="center" wrapText="1"/>
    </xf>
    <xf numFmtId="0" fontId="5" fillId="0" borderId="0" xfId="0" applyFont="1" applyAlignment="1">
      <alignment vertical="top" wrapText="1"/>
    </xf>
    <xf numFmtId="0" fontId="41" fillId="0" borderId="21" xfId="0" applyFont="1" applyBorder="1" applyAlignment="1">
      <alignment horizontal="left" vertical="center" wrapText="1"/>
    </xf>
    <xf numFmtId="0" fontId="41" fillId="0" borderId="64" xfId="0" applyFont="1" applyBorder="1" applyAlignment="1">
      <alignment horizontal="left" vertical="center" wrapText="1"/>
    </xf>
    <xf numFmtId="0" fontId="40" fillId="0" borderId="65" xfId="0" applyFont="1" applyBorder="1" applyAlignment="1">
      <alignment horizontal="left" vertical="center" wrapText="1"/>
    </xf>
    <xf numFmtId="178" fontId="39" fillId="8" borderId="65" xfId="0" applyNumberFormat="1" applyFont="1" applyFill="1" applyBorder="1" applyAlignment="1">
      <alignment horizontal="center" vertical="center" wrapText="1"/>
    </xf>
    <xf numFmtId="197" fontId="39" fillId="0" borderId="66" xfId="0" applyNumberFormat="1" applyFont="1" applyBorder="1" applyAlignment="1">
      <alignment horizontal="center" vertical="center" wrapText="1"/>
    </xf>
    <xf numFmtId="0" fontId="4" fillId="8" borderId="1" xfId="4" applyFont="1" applyFill="1" applyBorder="1" applyProtection="1">
      <protection locked="0"/>
    </xf>
    <xf numFmtId="0" fontId="5" fillId="0" borderId="0" xfId="0" applyFont="1"/>
    <xf numFmtId="171" fontId="5" fillId="9" borderId="0" xfId="4" applyNumberFormat="1" applyFont="1" applyFill="1" applyProtection="1">
      <protection locked="0"/>
    </xf>
    <xf numFmtId="181" fontId="5" fillId="9" borderId="0" xfId="4" applyNumberFormat="1" applyFont="1" applyFill="1" applyProtection="1">
      <protection locked="0"/>
    </xf>
    <xf numFmtId="0" fontId="3" fillId="9" borderId="0" xfId="4" applyFont="1" applyFill="1" applyProtection="1">
      <protection locked="0"/>
    </xf>
    <xf numFmtId="181" fontId="5" fillId="9" borderId="9" xfId="4" applyNumberFormat="1" applyFont="1" applyFill="1" applyBorder="1" applyProtection="1">
      <protection locked="0"/>
    </xf>
    <xf numFmtId="174" fontId="3" fillId="9" borderId="0" xfId="4" applyNumberFormat="1" applyFont="1" applyFill="1" applyProtection="1">
      <protection locked="0"/>
    </xf>
    <xf numFmtId="181" fontId="5" fillId="9" borderId="6" xfId="4" applyNumberFormat="1" applyFont="1" applyFill="1" applyBorder="1" applyProtection="1">
      <protection locked="0"/>
    </xf>
    <xf numFmtId="9" fontId="5" fillId="9" borderId="0" xfId="4" applyNumberFormat="1" applyFont="1" applyFill="1" applyProtection="1">
      <protection locked="0"/>
    </xf>
    <xf numFmtId="193" fontId="5" fillId="0" borderId="0" xfId="4" applyNumberFormat="1" applyFont="1" applyProtection="1">
      <protection locked="0"/>
    </xf>
    <xf numFmtId="0" fontId="5" fillId="0" borderId="0" xfId="4" applyFont="1" applyAlignment="1" applyProtection="1">
      <alignment horizontal="left"/>
      <protection locked="0"/>
    </xf>
    <xf numFmtId="0" fontId="4" fillId="0" borderId="0" xfId="4" applyFont="1" applyAlignment="1" applyProtection="1">
      <alignment horizontal="right"/>
      <protection locked="0"/>
    </xf>
    <xf numFmtId="200" fontId="4" fillId="0" borderId="0" xfId="4" applyNumberFormat="1" applyFont="1" applyProtection="1">
      <protection locked="0"/>
    </xf>
    <xf numFmtId="0" fontId="5" fillId="9" borderId="0" xfId="4" applyFont="1" applyFill="1" applyAlignment="1" applyProtection="1">
      <alignment horizontal="center" vertical="center"/>
      <protection locked="0"/>
    </xf>
    <xf numFmtId="10" fontId="4" fillId="0" borderId="0" xfId="4" applyNumberFormat="1" applyFont="1" applyAlignment="1" applyProtection="1">
      <alignment horizontal="left"/>
      <protection locked="0"/>
    </xf>
    <xf numFmtId="201" fontId="5" fillId="0" borderId="0" xfId="4" applyNumberFormat="1" applyFont="1" applyProtection="1">
      <protection locked="0"/>
    </xf>
    <xf numFmtId="201" fontId="5" fillId="0" borderId="0" xfId="4" applyNumberFormat="1" applyFont="1" applyAlignment="1" applyProtection="1">
      <alignment horizontal="right"/>
      <protection locked="0"/>
    </xf>
    <xf numFmtId="0" fontId="48" fillId="9" borderId="0" xfId="4" applyFont="1" applyFill="1" applyProtection="1">
      <protection locked="0"/>
    </xf>
    <xf numFmtId="202" fontId="3" fillId="2" borderId="0" xfId="4" applyNumberFormat="1" applyFont="1" applyFill="1" applyProtection="1">
      <protection locked="0"/>
    </xf>
    <xf numFmtId="201" fontId="3" fillId="2" borderId="0" xfId="4" applyNumberFormat="1" applyFont="1" applyFill="1" applyProtection="1">
      <protection locked="0"/>
    </xf>
    <xf numFmtId="201" fontId="3" fillId="2" borderId="0" xfId="4" applyNumberFormat="1" applyFont="1" applyFill="1" applyAlignment="1" applyProtection="1">
      <alignment horizontal="right"/>
      <protection locked="0"/>
    </xf>
    <xf numFmtId="0" fontId="4" fillId="8" borderId="0" xfId="4" applyFont="1" applyFill="1" applyProtection="1">
      <protection locked="0"/>
    </xf>
    <xf numFmtId="174" fontId="4" fillId="8" borderId="0" xfId="4" applyNumberFormat="1" applyFont="1" applyFill="1" applyProtection="1">
      <protection locked="0"/>
    </xf>
    <xf numFmtId="0" fontId="14" fillId="9" borderId="0" xfId="4" applyFont="1" applyFill="1" applyProtection="1">
      <protection locked="0"/>
    </xf>
    <xf numFmtId="181" fontId="4" fillId="2" borderId="1" xfId="4" applyNumberFormat="1" applyFont="1" applyFill="1" applyBorder="1" applyProtection="1">
      <protection locked="0"/>
    </xf>
    <xf numFmtId="0" fontId="21" fillId="0" borderId="0" xfId="4" applyFont="1"/>
    <xf numFmtId="0" fontId="30" fillId="7" borderId="0" xfId="4" applyFont="1" applyFill="1"/>
    <xf numFmtId="0" fontId="5" fillId="7" borderId="0" xfId="4" applyFont="1" applyFill="1" applyAlignment="1">
      <alignment horizontal="center"/>
    </xf>
    <xf numFmtId="0" fontId="2" fillId="0" borderId="0" xfId="4" applyAlignment="1">
      <alignment horizontal="left"/>
    </xf>
    <xf numFmtId="0" fontId="81" fillId="0" borderId="0" xfId="4" applyFont="1"/>
    <xf numFmtId="0" fontId="82" fillId="0" borderId="0" xfId="4" applyFont="1"/>
    <xf numFmtId="0" fontId="82" fillId="0" borderId="0" xfId="4" applyFont="1" applyAlignment="1">
      <alignment horizontal="center"/>
    </xf>
    <xf numFmtId="0" fontId="25" fillId="0" borderId="0" xfId="4" applyFont="1" applyAlignment="1">
      <alignment horizontal="center"/>
    </xf>
    <xf numFmtId="0" fontId="83" fillId="0" borderId="0" xfId="4" applyFont="1" applyAlignment="1">
      <alignment horizontal="center"/>
    </xf>
    <xf numFmtId="174" fontId="82" fillId="0" borderId="0" xfId="4" applyNumberFormat="1" applyFont="1"/>
    <xf numFmtId="166" fontId="84" fillId="0" borderId="0" xfId="4" applyNumberFormat="1" applyFont="1" applyAlignment="1">
      <alignment horizontal="center" readingOrder="1"/>
    </xf>
    <xf numFmtId="0" fontId="82" fillId="0" borderId="0" xfId="21" applyFont="1" applyAlignment="1">
      <alignment horizontal="left"/>
    </xf>
    <xf numFmtId="0" fontId="14" fillId="0" borderId="0" xfId="4" applyFont="1"/>
    <xf numFmtId="166" fontId="85" fillId="0" borderId="0" xfId="4" applyNumberFormat="1" applyFont="1" applyAlignment="1">
      <alignment horizontal="center" readingOrder="1"/>
    </xf>
    <xf numFmtId="14" fontId="5" fillId="0" borderId="0" xfId="4" applyNumberFormat="1" applyFont="1"/>
    <xf numFmtId="168" fontId="68" fillId="9" borderId="0" xfId="4" applyNumberFormat="1" applyFont="1" applyFill="1" applyAlignment="1">
      <alignment horizontal="right"/>
    </xf>
    <xf numFmtId="2" fontId="68" fillId="0" borderId="0" xfId="4" applyNumberFormat="1" applyFont="1" applyAlignment="1">
      <alignment horizontal="right"/>
    </xf>
    <xf numFmtId="0" fontId="86" fillId="0" borderId="0" xfId="4" applyFont="1"/>
    <xf numFmtId="0" fontId="5" fillId="0" borderId="2" xfId="4" applyFont="1" applyBorder="1" applyAlignment="1">
      <alignment horizontal="center"/>
    </xf>
    <xf numFmtId="0" fontId="3" fillId="0" borderId="44" xfId="4" applyFont="1" applyBorder="1"/>
    <xf numFmtId="0" fontId="14" fillId="0" borderId="44" xfId="4" applyFont="1" applyBorder="1"/>
    <xf numFmtId="0" fontId="5" fillId="0" borderId="46" xfId="21" applyFont="1" applyBorder="1" applyAlignment="1">
      <alignment horizontal="left" indent="1"/>
    </xf>
    <xf numFmtId="37" fontId="5" fillId="0" borderId="6" xfId="4" applyNumberFormat="1" applyFont="1" applyBorder="1" applyAlignment="1">
      <alignment horizontal="center"/>
    </xf>
    <xf numFmtId="181" fontId="5" fillId="0" borderId="6" xfId="4" applyNumberFormat="1" applyFont="1" applyBorder="1" applyAlignment="1">
      <alignment horizontal="center"/>
    </xf>
    <xf numFmtId="178" fontId="5" fillId="0" borderId="6" xfId="4" applyNumberFormat="1" applyFont="1" applyBorder="1" applyAlignment="1">
      <alignment horizontal="center"/>
    </xf>
    <xf numFmtId="0" fontId="5" fillId="0" borderId="44" xfId="21" applyFont="1" applyBorder="1" applyAlignment="1">
      <alignment horizontal="left"/>
    </xf>
    <xf numFmtId="178" fontId="5" fillId="0" borderId="0" xfId="4" applyNumberFormat="1" applyFont="1" applyAlignment="1">
      <alignment horizontal="center"/>
    </xf>
    <xf numFmtId="0" fontId="5" fillId="0" borderId="44" xfId="21" applyFont="1" applyBorder="1" applyAlignment="1">
      <alignment horizontal="left" indent="1"/>
    </xf>
    <xf numFmtId="37" fontId="5" fillId="4" borderId="0" xfId="4" applyNumberFormat="1" applyFont="1" applyFill="1" applyAlignment="1">
      <alignment horizontal="center"/>
    </xf>
    <xf numFmtId="0" fontId="5" fillId="0" borderId="44" xfId="4" applyFont="1" applyBorder="1"/>
    <xf numFmtId="0" fontId="5" fillId="0" borderId="42" xfId="4" applyFont="1" applyBorder="1"/>
    <xf numFmtId="37" fontId="5" fillId="14" borderId="0" xfId="4" applyNumberFormat="1" applyFont="1" applyFill="1" applyAlignment="1">
      <alignment horizontal="center"/>
    </xf>
    <xf numFmtId="193" fontId="5" fillId="14" borderId="11" xfId="4" applyNumberFormat="1" applyFont="1" applyFill="1" applyBorder="1" applyAlignment="1">
      <alignment horizontal="center"/>
    </xf>
    <xf numFmtId="210" fontId="5" fillId="14" borderId="0" xfId="4" applyNumberFormat="1" applyFont="1" applyFill="1" applyAlignment="1">
      <alignment horizontal="center"/>
    </xf>
    <xf numFmtId="210" fontId="5" fillId="14" borderId="11" xfId="4" applyNumberFormat="1" applyFont="1" applyFill="1" applyBorder="1" applyAlignment="1">
      <alignment horizontal="center"/>
    </xf>
    <xf numFmtId="0" fontId="4" fillId="4" borderId="43" xfId="4" applyFont="1" applyFill="1" applyBorder="1"/>
    <xf numFmtId="37" fontId="5" fillId="4" borderId="41" xfId="4" applyNumberFormat="1" applyFont="1" applyFill="1" applyBorder="1" applyAlignment="1">
      <alignment horizontal="center"/>
    </xf>
    <xf numFmtId="174" fontId="5" fillId="4" borderId="41" xfId="4" applyNumberFormat="1" applyFont="1" applyFill="1" applyBorder="1" applyAlignment="1">
      <alignment horizontal="center"/>
    </xf>
    <xf numFmtId="193" fontId="5" fillId="4" borderId="50" xfId="4" applyNumberFormat="1" applyFont="1" applyFill="1" applyBorder="1" applyAlignment="1">
      <alignment horizontal="center"/>
    </xf>
    <xf numFmtId="210" fontId="5" fillId="4" borderId="41" xfId="4" applyNumberFormat="1" applyFont="1" applyFill="1" applyBorder="1" applyAlignment="1">
      <alignment horizontal="center"/>
    </xf>
    <xf numFmtId="210" fontId="5" fillId="4" borderId="50" xfId="4" applyNumberFormat="1" applyFont="1" applyFill="1" applyBorder="1" applyAlignment="1">
      <alignment horizontal="center"/>
    </xf>
    <xf numFmtId="178" fontId="5" fillId="0" borderId="42" xfId="4" applyNumberFormat="1" applyFont="1" applyBorder="1"/>
    <xf numFmtId="178" fontId="5" fillId="0" borderId="45" xfId="4" applyNumberFormat="1" applyFont="1" applyBorder="1" applyAlignment="1">
      <alignment horizontal="center"/>
    </xf>
    <xf numFmtId="178" fontId="5" fillId="0" borderId="42" xfId="4" applyNumberFormat="1" applyFont="1" applyBorder="1" applyAlignment="1">
      <alignment horizontal="center"/>
    </xf>
    <xf numFmtId="210" fontId="5" fillId="14" borderId="42" xfId="4" applyNumberFormat="1" applyFont="1" applyFill="1" applyBorder="1" applyAlignment="1">
      <alignment horizontal="center"/>
    </xf>
    <xf numFmtId="210" fontId="5" fillId="4" borderId="40" xfId="4" applyNumberFormat="1" applyFont="1" applyFill="1" applyBorder="1" applyAlignment="1">
      <alignment horizontal="center"/>
    </xf>
    <xf numFmtId="0" fontId="4" fillId="14" borderId="49" xfId="4" applyFont="1" applyFill="1" applyBorder="1"/>
    <xf numFmtId="0" fontId="4" fillId="0" borderId="44" xfId="4" applyFont="1" applyBorder="1"/>
    <xf numFmtId="209" fontId="5" fillId="0" borderId="44" xfId="20" applyFont="1" applyBorder="1" applyAlignment="1">
      <alignment horizontal="left" indent="1"/>
    </xf>
    <xf numFmtId="209" fontId="5" fillId="0" borderId="0" xfId="20" applyFont="1" applyAlignment="1">
      <alignment horizontal="left" indent="1"/>
    </xf>
    <xf numFmtId="1" fontId="5" fillId="0" borderId="0" xfId="20" applyNumberFormat="1" applyFont="1" applyAlignment="1">
      <alignment horizontal="center"/>
    </xf>
    <xf numFmtId="2" fontId="5" fillId="0" borderId="0" xfId="20" applyNumberFormat="1" applyFont="1" applyAlignment="1">
      <alignment horizontal="center"/>
    </xf>
    <xf numFmtId="0" fontId="4" fillId="2" borderId="44" xfId="4" applyFont="1" applyFill="1" applyBorder="1"/>
    <xf numFmtId="0" fontId="4" fillId="2" borderId="0" xfId="4" applyFont="1" applyFill="1"/>
    <xf numFmtId="1" fontId="5" fillId="2" borderId="0" xfId="4" applyNumberFormat="1" applyFont="1" applyFill="1" applyAlignment="1">
      <alignment horizontal="center"/>
    </xf>
    <xf numFmtId="0" fontId="5" fillId="2" borderId="0" xfId="4" applyFont="1" applyFill="1" applyAlignment="1">
      <alignment horizontal="center"/>
    </xf>
    <xf numFmtId="0" fontId="4" fillId="14" borderId="43" xfId="4" applyFont="1" applyFill="1" applyBorder="1"/>
    <xf numFmtId="0" fontId="4" fillId="14" borderId="41" xfId="4" applyFont="1" applyFill="1" applyBorder="1"/>
    <xf numFmtId="173" fontId="5" fillId="14" borderId="41" xfId="4" applyNumberFormat="1" applyFont="1" applyFill="1" applyBorder="1" applyAlignment="1">
      <alignment horizontal="center"/>
    </xf>
    <xf numFmtId="0" fontId="5" fillId="14" borderId="41" xfId="4" applyFont="1" applyFill="1" applyBorder="1" applyAlignment="1">
      <alignment horizontal="center"/>
    </xf>
    <xf numFmtId="209" fontId="5" fillId="0" borderId="44" xfId="20" quotePrefix="1" applyFont="1" applyBorder="1" applyAlignment="1">
      <alignment horizontal="left" indent="1"/>
    </xf>
    <xf numFmtId="210" fontId="5" fillId="8" borderId="0" xfId="0" applyNumberFormat="1" applyFont="1" applyFill="1" applyAlignment="1">
      <alignment horizontal="right"/>
    </xf>
    <xf numFmtId="213" fontId="5" fillId="8" borderId="0" xfId="0" applyNumberFormat="1" applyFont="1" applyFill="1"/>
    <xf numFmtId="213" fontId="5" fillId="0" borderId="0" xfId="0" applyNumberFormat="1" applyFont="1"/>
    <xf numFmtId="210" fontId="5" fillId="9" borderId="0" xfId="0" applyNumberFormat="1" applyFont="1" applyFill="1" applyAlignment="1">
      <alignment horizontal="right"/>
    </xf>
    <xf numFmtId="0" fontId="5" fillId="9" borderId="0" xfId="0" applyFont="1" applyFill="1"/>
    <xf numFmtId="171" fontId="5" fillId="9" borderId="0" xfId="0" applyNumberFormat="1" applyFont="1" applyFill="1" applyAlignment="1">
      <alignment horizontal="right"/>
    </xf>
    <xf numFmtId="2" fontId="87" fillId="8" borderId="0" xfId="10" applyNumberFormat="1" applyFont="1" applyFill="1" applyAlignment="1">
      <alignment horizontal="center"/>
    </xf>
    <xf numFmtId="0" fontId="17" fillId="20" borderId="0" xfId="4" applyFont="1" applyFill="1"/>
    <xf numFmtId="0" fontId="17" fillId="0" borderId="0" xfId="0" applyFont="1"/>
    <xf numFmtId="216" fontId="17" fillId="8" borderId="0" xfId="0" applyNumberFormat="1" applyFont="1" applyFill="1" applyAlignment="1">
      <alignment horizontal="right"/>
    </xf>
    <xf numFmtId="216" fontId="17" fillId="0" borderId="0" xfId="0" applyNumberFormat="1" applyFont="1"/>
    <xf numFmtId="216" fontId="5" fillId="8" borderId="0" xfId="0" applyNumberFormat="1" applyFont="1" applyFill="1" applyAlignment="1">
      <alignment horizontal="right"/>
    </xf>
    <xf numFmtId="216" fontId="5" fillId="0" borderId="0" xfId="0" applyNumberFormat="1" applyFont="1"/>
    <xf numFmtId="0" fontId="5" fillId="9" borderId="6" xfId="4" applyFont="1" applyFill="1" applyBorder="1" applyProtection="1">
      <protection locked="0"/>
    </xf>
    <xf numFmtId="174" fontId="4" fillId="9" borderId="6" xfId="4" applyNumberFormat="1" applyFont="1" applyFill="1" applyBorder="1" applyProtection="1">
      <protection locked="0"/>
    </xf>
    <xf numFmtId="174" fontId="4" fillId="0" borderId="6" xfId="4" applyNumberFormat="1" applyFont="1" applyBorder="1" applyProtection="1">
      <protection locked="0"/>
    </xf>
    <xf numFmtId="217" fontId="5" fillId="4" borderId="41" xfId="4" applyNumberFormat="1" applyFont="1" applyFill="1" applyBorder="1" applyAlignment="1">
      <alignment horizontal="center"/>
    </xf>
    <xf numFmtId="217" fontId="5" fillId="0" borderId="0" xfId="4" applyNumberFormat="1" applyFont="1"/>
    <xf numFmtId="0" fontId="69" fillId="2" borderId="17" xfId="4" applyFont="1" applyFill="1" applyBorder="1" applyAlignment="1">
      <alignment horizontal="center"/>
    </xf>
    <xf numFmtId="0" fontId="69" fillId="2" borderId="16" xfId="4" applyFont="1" applyFill="1" applyBorder="1" applyAlignment="1">
      <alignment horizontal="center"/>
    </xf>
    <xf numFmtId="0" fontId="80" fillId="4" borderId="13" xfId="4" applyFont="1" applyFill="1" applyBorder="1" applyProtection="1">
      <protection locked="0"/>
    </xf>
    <xf numFmtId="0" fontId="8" fillId="4" borderId="6" xfId="4" applyFont="1" applyFill="1" applyBorder="1" applyAlignment="1" applyProtection="1">
      <alignment horizontal="right"/>
      <protection locked="0"/>
    </xf>
    <xf numFmtId="0" fontId="4" fillId="0" borderId="1" xfId="4" applyFont="1" applyBorder="1" applyProtection="1">
      <protection locked="0"/>
    </xf>
    <xf numFmtId="174" fontId="4" fillId="0" borderId="1" xfId="4" applyNumberFormat="1" applyFont="1" applyBorder="1" applyProtection="1">
      <protection locked="0"/>
    </xf>
    <xf numFmtId="0" fontId="5" fillId="4" borderId="0" xfId="30" applyFont="1" applyFill="1" applyAlignment="1">
      <alignment horizontal="centerContinuous"/>
    </xf>
    <xf numFmtId="0" fontId="5" fillId="0" borderId="0" xfId="30" applyFont="1" applyFill="1" applyAlignment="1">
      <alignment horizontal="centerContinuous"/>
    </xf>
    <xf numFmtId="0" fontId="5" fillId="0" borderId="42" xfId="4" applyFont="1" applyBorder="1" applyAlignment="1">
      <alignment horizontal="center"/>
    </xf>
    <xf numFmtId="2" fontId="5" fillId="0" borderId="42" xfId="20" applyNumberFormat="1" applyFont="1" applyBorder="1" applyAlignment="1">
      <alignment horizontal="center"/>
    </xf>
    <xf numFmtId="209" fontId="5" fillId="0" borderId="42" xfId="20" applyFont="1" applyBorder="1" applyAlignment="1">
      <alignment horizontal="center"/>
    </xf>
    <xf numFmtId="0" fontId="5" fillId="2" borderId="42" xfId="4" applyFont="1" applyFill="1" applyBorder="1" applyAlignment="1">
      <alignment horizontal="center"/>
    </xf>
    <xf numFmtId="0" fontId="5" fillId="14" borderId="40" xfId="4" applyFont="1" applyFill="1" applyBorder="1" applyAlignment="1">
      <alignment horizontal="center"/>
    </xf>
    <xf numFmtId="0" fontId="12" fillId="21" borderId="0" xfId="4" applyFont="1" applyFill="1"/>
    <xf numFmtId="0" fontId="11" fillId="21" borderId="0" xfId="4" applyFont="1" applyFill="1"/>
    <xf numFmtId="181" fontId="79" fillId="2" borderId="70" xfId="4" applyNumberFormat="1" applyFont="1" applyFill="1" applyBorder="1"/>
    <xf numFmtId="181" fontId="79" fillId="2" borderId="71" xfId="4" applyNumberFormat="1" applyFont="1" applyFill="1" applyBorder="1"/>
    <xf numFmtId="181" fontId="79" fillId="2" borderId="72" xfId="4" applyNumberFormat="1" applyFont="1" applyFill="1" applyBorder="1"/>
    <xf numFmtId="181" fontId="78" fillId="2" borderId="70" xfId="3" applyNumberFormat="1" applyFont="1" applyFill="1" applyBorder="1"/>
    <xf numFmtId="181" fontId="78" fillId="2" borderId="71" xfId="3" applyNumberFormat="1" applyFont="1" applyFill="1" applyBorder="1"/>
    <xf numFmtId="181" fontId="78" fillId="2" borderId="72" xfId="3" applyNumberFormat="1" applyFont="1" applyFill="1" applyBorder="1"/>
    <xf numFmtId="203" fontId="78" fillId="2" borderId="70" xfId="4" applyNumberFormat="1" applyFont="1" applyFill="1" applyBorder="1" applyAlignment="1">
      <alignment horizontal="centerContinuous"/>
    </xf>
    <xf numFmtId="203" fontId="27" fillId="2" borderId="72" xfId="4" applyNumberFormat="1" applyFont="1" applyFill="1" applyBorder="1" applyAlignment="1">
      <alignment horizontal="centerContinuous"/>
    </xf>
    <xf numFmtId="203" fontId="5" fillId="4" borderId="0" xfId="4" applyNumberFormat="1" applyFont="1" applyFill="1" applyAlignment="1">
      <alignment horizontal="centerContinuous"/>
    </xf>
    <xf numFmtId="203" fontId="27" fillId="2" borderId="0" xfId="4" applyNumberFormat="1" applyFont="1" applyFill="1" applyAlignment="1">
      <alignment horizontal="centerContinuous"/>
    </xf>
    <xf numFmtId="203" fontId="5" fillId="2" borderId="0" xfId="4" quotePrefix="1" applyNumberFormat="1" applyFont="1" applyFill="1" applyAlignment="1">
      <alignment horizontal="centerContinuous"/>
    </xf>
    <xf numFmtId="203" fontId="5" fillId="4" borderId="0" xfId="4" quotePrefix="1" applyNumberFormat="1" applyFont="1" applyFill="1" applyAlignment="1">
      <alignment horizontal="centerContinuous"/>
    </xf>
    <xf numFmtId="175" fontId="4" fillId="0" borderId="0" xfId="1" applyNumberFormat="1" applyFont="1" applyFill="1" applyBorder="1"/>
    <xf numFmtId="187" fontId="27" fillId="0" borderId="0" xfId="4" applyNumberFormat="1" applyFont="1"/>
    <xf numFmtId="9" fontId="5" fillId="0" borderId="0" xfId="3" applyFont="1" applyFill="1" applyBorder="1" applyAlignment="1"/>
    <xf numFmtId="168" fontId="17" fillId="2" borderId="0" xfId="4" applyNumberFormat="1" applyFont="1" applyFill="1"/>
    <xf numFmtId="0" fontId="4" fillId="4" borderId="1" xfId="4" applyFont="1" applyFill="1" applyBorder="1"/>
    <xf numFmtId="0" fontId="5" fillId="4" borderId="0" xfId="4" applyFont="1" applyFill="1" applyAlignment="1">
      <alignment horizontal="left"/>
    </xf>
    <xf numFmtId="0" fontId="5" fillId="4" borderId="1" xfId="4" applyFont="1" applyFill="1" applyBorder="1"/>
    <xf numFmtId="10" fontId="4" fillId="4" borderId="0" xfId="4" applyNumberFormat="1" applyFont="1" applyFill="1"/>
    <xf numFmtId="10" fontId="4" fillId="4" borderId="69" xfId="4" applyNumberFormat="1" applyFont="1" applyFill="1" applyBorder="1"/>
    <xf numFmtId="181" fontId="5" fillId="4" borderId="11" xfId="4" applyNumberFormat="1" applyFont="1" applyFill="1" applyBorder="1" applyAlignment="1">
      <alignment horizontal="center"/>
    </xf>
    <xf numFmtId="178" fontId="5" fillId="4" borderId="11" xfId="4" applyNumberFormat="1" applyFont="1" applyFill="1" applyBorder="1" applyAlignment="1">
      <alignment horizontal="center"/>
    </xf>
    <xf numFmtId="0" fontId="60" fillId="2" borderId="23" xfId="0" applyFont="1" applyFill="1" applyBorder="1" applyAlignment="1">
      <alignment vertical="center" wrapText="1"/>
    </xf>
    <xf numFmtId="0" fontId="60" fillId="2" borderId="0" xfId="0" applyFont="1" applyFill="1" applyAlignment="1">
      <alignment vertical="center" wrapText="1"/>
    </xf>
    <xf numFmtId="0" fontId="39" fillId="0" borderId="0" xfId="4" applyFont="1"/>
    <xf numFmtId="0" fontId="39" fillId="0" borderId="0" xfId="4" applyFont="1" applyAlignment="1">
      <alignment horizontal="center"/>
    </xf>
    <xf numFmtId="0" fontId="60" fillId="0" borderId="0" xfId="4" applyFont="1" applyAlignment="1">
      <alignment horizontal="center"/>
    </xf>
    <xf numFmtId="10" fontId="39" fillId="0" borderId="0" xfId="4" applyNumberFormat="1" applyFont="1"/>
    <xf numFmtId="171" fontId="39" fillId="0" borderId="0" xfId="10" applyNumberFormat="1" applyFont="1" applyAlignment="1">
      <alignment horizontal="center"/>
    </xf>
    <xf numFmtId="203" fontId="39" fillId="0" borderId="0" xfId="10" applyNumberFormat="1" applyFont="1" applyAlignment="1">
      <alignment horizontal="right"/>
    </xf>
    <xf numFmtId="9" fontId="39" fillId="0" borderId="0" xfId="10" applyFont="1" applyAlignment="1">
      <alignment horizontal="right"/>
    </xf>
    <xf numFmtId="2" fontId="39" fillId="9" borderId="0" xfId="0" applyNumberFormat="1" applyFont="1" applyFill="1" applyAlignment="1">
      <alignment horizontal="right"/>
    </xf>
    <xf numFmtId="9" fontId="39" fillId="9" borderId="0" xfId="10" applyFont="1" applyFill="1" applyAlignment="1">
      <alignment horizontal="right"/>
    </xf>
    <xf numFmtId="213" fontId="39" fillId="9" borderId="0" xfId="0" applyNumberFormat="1" applyFont="1" applyFill="1"/>
    <xf numFmtId="0" fontId="39" fillId="0" borderId="3" xfId="4" applyFont="1" applyBorder="1"/>
    <xf numFmtId="0" fontId="39" fillId="0" borderId="3" xfId="4" applyFont="1" applyBorder="1" applyAlignment="1">
      <alignment horizontal="center"/>
    </xf>
    <xf numFmtId="184" fontId="26" fillId="22" borderId="0" xfId="33" applyFont="1" applyBorder="1">
      <alignment horizontal="right"/>
    </xf>
    <xf numFmtId="4" fontId="17" fillId="0" borderId="0" xfId="11" applyNumberFormat="1" applyFont="1"/>
    <xf numFmtId="0" fontId="4" fillId="0" borderId="3" xfId="11" applyFont="1" applyBorder="1"/>
    <xf numFmtId="174" fontId="4" fillId="0" borderId="3" xfId="11" applyNumberFormat="1" applyFont="1" applyBorder="1"/>
    <xf numFmtId="174" fontId="4" fillId="4" borderId="3" xfId="11" applyNumberFormat="1" applyFont="1" applyFill="1" applyBorder="1"/>
    <xf numFmtId="174" fontId="17" fillId="0" borderId="0" xfId="16" applyNumberFormat="1" applyFont="1" applyFill="1" applyBorder="1" applyAlignment="1">
      <alignment horizontal="right"/>
    </xf>
    <xf numFmtId="174" fontId="5" fillId="0" borderId="26" xfId="4" applyNumberFormat="1" applyFont="1" applyBorder="1"/>
    <xf numFmtId="0" fontId="67" fillId="0" borderId="1" xfId="4" applyFont="1" applyBorder="1"/>
    <xf numFmtId="174" fontId="4" fillId="0" borderId="1" xfId="12" applyNumberFormat="1" applyFont="1" applyFill="1" applyBorder="1" applyAlignment="1">
      <alignment horizontal="right"/>
    </xf>
    <xf numFmtId="174" fontId="4" fillId="4" borderId="1" xfId="12" applyNumberFormat="1" applyFont="1" applyFill="1" applyBorder="1" applyAlignment="1">
      <alignment horizontal="right"/>
    </xf>
    <xf numFmtId="0" fontId="51" fillId="0" borderId="0" xfId="4" applyFont="1"/>
    <xf numFmtId="174" fontId="17" fillId="0" borderId="18" xfId="14" applyNumberFormat="1" applyFont="1" applyFill="1" applyBorder="1" applyAlignment="1">
      <alignment horizontal="right"/>
    </xf>
    <xf numFmtId="174" fontId="5" fillId="4" borderId="18" xfId="12" applyNumberFormat="1" applyFont="1" applyFill="1" applyBorder="1" applyAlignment="1">
      <alignment horizontal="right"/>
    </xf>
    <xf numFmtId="0" fontId="37" fillId="0" borderId="0" xfId="11" applyFont="1"/>
    <xf numFmtId="0" fontId="2" fillId="23" borderId="0" xfId="4" applyFill="1"/>
    <xf numFmtId="0" fontId="37" fillId="0" borderId="0" xfId="4" applyFont="1" applyAlignment="1">
      <alignment horizontal="left"/>
    </xf>
    <xf numFmtId="0" fontId="51" fillId="0" borderId="0" xfId="4" applyFont="1" applyAlignment="1">
      <alignment horizontal="left"/>
    </xf>
    <xf numFmtId="1" fontId="76" fillId="0" borderId="0" xfId="4" applyNumberFormat="1" applyFont="1"/>
    <xf numFmtId="174" fontId="4" fillId="0" borderId="0" xfId="16" applyNumberFormat="1" applyFont="1" applyFill="1" applyBorder="1" applyAlignment="1">
      <alignment horizontal="right"/>
    </xf>
    <xf numFmtId="9" fontId="5" fillId="0" borderId="0" xfId="3" applyFont="1"/>
    <xf numFmtId="0" fontId="93" fillId="0" borderId="0" xfId="4" applyFont="1"/>
    <xf numFmtId="9" fontId="37" fillId="0" borderId="0" xfId="3" applyFont="1"/>
    <xf numFmtId="174" fontId="8" fillId="4" borderId="1" xfId="11" applyNumberFormat="1" applyFont="1" applyFill="1" applyBorder="1"/>
    <xf numFmtId="218" fontId="5" fillId="0" borderId="0" xfId="11" applyNumberFormat="1" applyFont="1"/>
    <xf numFmtId="187" fontId="5" fillId="25" borderId="0" xfId="4" quotePrefix="1" applyNumberFormat="1" applyFont="1" applyFill="1"/>
    <xf numFmtId="187" fontId="5" fillId="25" borderId="0" xfId="4" applyNumberFormat="1" applyFont="1" applyFill="1"/>
    <xf numFmtId="171" fontId="5" fillId="0" borderId="0" xfId="3" quotePrefix="1" applyNumberFormat="1" applyFont="1" applyFill="1" applyBorder="1"/>
    <xf numFmtId="0" fontId="93" fillId="0" borderId="0" xfId="11" applyFont="1"/>
    <xf numFmtId="174" fontId="37" fillId="0" borderId="0" xfId="11" applyNumberFormat="1" applyFont="1"/>
    <xf numFmtId="0" fontId="92" fillId="0" borderId="0" xfId="0" applyFont="1"/>
    <xf numFmtId="187" fontId="37" fillId="0" borderId="0" xfId="4" applyNumberFormat="1" applyFont="1"/>
    <xf numFmtId="0" fontId="37" fillId="0" borderId="0" xfId="4" applyFont="1" applyAlignment="1">
      <alignment horizontal="left" indent="1"/>
    </xf>
    <xf numFmtId="187" fontId="17" fillId="25" borderId="0" xfId="4" applyNumberFormat="1" applyFont="1" applyFill="1"/>
    <xf numFmtId="187" fontId="5" fillId="25" borderId="0" xfId="16" applyNumberFormat="1" applyFont="1" applyFill="1" applyBorder="1"/>
    <xf numFmtId="187" fontId="17" fillId="0" borderId="0" xfId="16" applyNumberFormat="1" applyFont="1" applyFill="1" applyBorder="1"/>
    <xf numFmtId="187" fontId="17" fillId="25" borderId="0" xfId="4" quotePrefix="1" applyNumberFormat="1" applyFont="1" applyFill="1"/>
    <xf numFmtId="187" fontId="17" fillId="0" borderId="1" xfId="4" applyNumberFormat="1" applyFont="1" applyBorder="1"/>
    <xf numFmtId="187" fontId="17" fillId="0" borderId="0" xfId="4" applyNumberFormat="1" applyFont="1"/>
    <xf numFmtId="185" fontId="51" fillId="0" borderId="0" xfId="4" applyNumberFormat="1" applyFont="1"/>
    <xf numFmtId="187" fontId="17" fillId="0" borderId="0" xfId="4" quotePrefix="1" applyNumberFormat="1" applyFont="1"/>
    <xf numFmtId="174" fontId="5" fillId="16" borderId="0" xfId="4" applyNumberFormat="1" applyFont="1" applyFill="1"/>
    <xf numFmtId="189" fontId="37" fillId="0" borderId="0" xfId="4" applyNumberFormat="1" applyFont="1"/>
    <xf numFmtId="187" fontId="5" fillId="16" borderId="6" xfId="16" applyNumberFormat="1" applyFont="1" applyFill="1" applyBorder="1" applyAlignment="1">
      <alignment horizontal="right"/>
    </xf>
    <xf numFmtId="187" fontId="5" fillId="16" borderId="0" xfId="16" applyNumberFormat="1" applyFont="1" applyFill="1" applyBorder="1" applyAlignment="1">
      <alignment horizontal="right"/>
    </xf>
    <xf numFmtId="174" fontId="5" fillId="24" borderId="0" xfId="4" applyNumberFormat="1" applyFont="1" applyFill="1"/>
    <xf numFmtId="174" fontId="0" fillId="0" borderId="0" xfId="0" applyNumberFormat="1"/>
    <xf numFmtId="172" fontId="5" fillId="0" borderId="0" xfId="16" applyNumberFormat="1" applyFont="1" applyFill="1" applyBorder="1" applyAlignment="1">
      <alignment horizontal="right"/>
    </xf>
    <xf numFmtId="179" fontId="37" fillId="0" borderId="0" xfId="11" applyNumberFormat="1" applyFont="1"/>
    <xf numFmtId="0" fontId="17" fillId="0" borderId="1" xfId="4" applyFont="1" applyBorder="1"/>
    <xf numFmtId="187" fontId="5" fillId="24" borderId="1" xfId="4" applyNumberFormat="1" applyFont="1" applyFill="1" applyBorder="1"/>
    <xf numFmtId="0" fontId="5" fillId="0" borderId="1" xfId="4" quotePrefix="1" applyFont="1" applyBorder="1" applyAlignment="1">
      <alignment horizontal="left"/>
    </xf>
    <xf numFmtId="187" fontId="5" fillId="9" borderId="1" xfId="4" quotePrefix="1" applyNumberFormat="1" applyFont="1" applyFill="1" applyBorder="1"/>
    <xf numFmtId="219" fontId="5" fillId="0" borderId="0" xfId="4" applyNumberFormat="1" applyFont="1"/>
    <xf numFmtId="171" fontId="5" fillId="0" borderId="16" xfId="11" applyNumberFormat="1" applyFont="1" applyBorder="1"/>
    <xf numFmtId="0" fontId="94" fillId="0" borderId="0" xfId="0" applyFont="1"/>
    <xf numFmtId="0" fontId="37" fillId="0" borderId="7" xfId="4" applyFont="1" applyBorder="1"/>
    <xf numFmtId="174" fontId="5" fillId="4" borderId="3" xfId="4" applyNumberFormat="1" applyFont="1" applyFill="1" applyBorder="1"/>
    <xf numFmtId="4" fontId="5" fillId="8" borderId="0" xfId="4" applyNumberFormat="1" applyFont="1" applyFill="1"/>
    <xf numFmtId="4" fontId="5" fillId="16" borderId="0" xfId="4" applyNumberFormat="1" applyFont="1" applyFill="1"/>
    <xf numFmtId="187" fontId="5" fillId="26" borderId="0" xfId="16" applyNumberFormat="1" applyFont="1" applyFill="1" applyBorder="1" applyAlignment="1">
      <alignment horizontal="right"/>
    </xf>
    <xf numFmtId="187" fontId="5" fillId="25" borderId="1" xfId="16" applyNumberFormat="1" applyFont="1" applyFill="1" applyBorder="1" applyAlignment="1">
      <alignment horizontal="right"/>
    </xf>
    <xf numFmtId="187" fontId="5" fillId="26" borderId="1" xfId="16" applyNumberFormat="1" applyFont="1" applyFill="1" applyBorder="1" applyAlignment="1">
      <alignment horizontal="right"/>
    </xf>
    <xf numFmtId="187" fontId="5" fillId="27" borderId="0" xfId="16" applyNumberFormat="1" applyFont="1" applyFill="1" applyBorder="1" applyAlignment="1">
      <alignment horizontal="right"/>
    </xf>
    <xf numFmtId="187" fontId="5" fillId="16" borderId="1" xfId="16" applyNumberFormat="1" applyFont="1" applyFill="1" applyBorder="1" applyAlignment="1">
      <alignment horizontal="right"/>
    </xf>
    <xf numFmtId="187" fontId="5" fillId="16" borderId="0" xfId="4" applyNumberFormat="1" applyFont="1" applyFill="1"/>
    <xf numFmtId="0" fontId="17" fillId="9" borderId="0" xfId="4" applyFont="1" applyFill="1"/>
    <xf numFmtId="187" fontId="5" fillId="25" borderId="0" xfId="16" applyNumberFormat="1" applyFont="1" applyFill="1" applyBorder="1" applyAlignment="1">
      <alignment horizontal="right"/>
    </xf>
    <xf numFmtId="187" fontId="17" fillId="26" borderId="0" xfId="16" applyNumberFormat="1" applyFont="1" applyFill="1" applyBorder="1" applyAlignment="1">
      <alignment horizontal="right"/>
    </xf>
    <xf numFmtId="221" fontId="17" fillId="0" borderId="0" xfId="4" applyNumberFormat="1" applyFont="1"/>
    <xf numFmtId="221" fontId="5" fillId="0" borderId="0" xfId="4" applyNumberFormat="1" applyFont="1"/>
    <xf numFmtId="221" fontId="5" fillId="24" borderId="0" xfId="4" applyNumberFormat="1" applyFont="1" applyFill="1"/>
    <xf numFmtId="187" fontId="5" fillId="24" borderId="0" xfId="4" applyNumberFormat="1" applyFont="1" applyFill="1"/>
    <xf numFmtId="0" fontId="78" fillId="0" borderId="0" xfId="4" applyFont="1"/>
    <xf numFmtId="0" fontId="95" fillId="7" borderId="0" xfId="4" applyFont="1" applyFill="1"/>
    <xf numFmtId="0" fontId="78" fillId="0" borderId="1" xfId="4" applyFont="1" applyBorder="1"/>
    <xf numFmtId="0" fontId="78" fillId="7" borderId="0" xfId="4" applyFont="1" applyFill="1"/>
    <xf numFmtId="0" fontId="96" fillId="21" borderId="0" xfId="4" applyFont="1" applyFill="1"/>
    <xf numFmtId="0" fontId="97" fillId="0" borderId="7" xfId="4" applyFont="1" applyBorder="1"/>
    <xf numFmtId="0" fontId="79" fillId="0" borderId="0" xfId="4" applyFont="1"/>
    <xf numFmtId="0" fontId="97" fillId="0" borderId="1" xfId="4" applyFont="1" applyBorder="1"/>
    <xf numFmtId="185" fontId="97" fillId="0" borderId="1" xfId="4" applyNumberFormat="1" applyFont="1" applyBorder="1"/>
    <xf numFmtId="185" fontId="97" fillId="0" borderId="0" xfId="4" applyNumberFormat="1" applyFont="1"/>
    <xf numFmtId="0" fontId="78" fillId="0" borderId="18" xfId="4" applyFont="1" applyBorder="1"/>
    <xf numFmtId="0" fontId="78" fillId="0" borderId="7" xfId="4" applyFont="1" applyBorder="1"/>
    <xf numFmtId="0" fontId="78" fillId="0" borderId="0" xfId="11" applyFont="1"/>
    <xf numFmtId="0" fontId="97" fillId="0" borderId="1" xfId="11" applyFont="1" applyBorder="1"/>
    <xf numFmtId="0" fontId="78" fillId="0" borderId="1" xfId="11" applyFont="1" applyBorder="1"/>
    <xf numFmtId="0" fontId="97" fillId="0" borderId="0" xfId="11" applyFont="1"/>
    <xf numFmtId="0" fontId="78" fillId="0" borderId="3" xfId="4" applyFont="1" applyBorder="1"/>
    <xf numFmtId="0" fontId="95" fillId="0" borderId="0" xfId="4" applyFont="1"/>
    <xf numFmtId="0" fontId="97" fillId="0" borderId="3" xfId="11" applyFont="1" applyBorder="1"/>
    <xf numFmtId="0" fontId="78" fillId="0" borderId="3" xfId="11" applyFont="1" applyBorder="1"/>
    <xf numFmtId="9" fontId="5" fillId="0" borderId="9" xfId="3" applyFont="1" applyBorder="1"/>
    <xf numFmtId="9" fontId="17" fillId="0" borderId="0" xfId="3" applyFont="1"/>
    <xf numFmtId="222" fontId="4" fillId="8" borderId="15" xfId="4" applyNumberFormat="1" applyFont="1" applyFill="1" applyBorder="1"/>
    <xf numFmtId="222" fontId="4" fillId="8" borderId="1" xfId="4" applyNumberFormat="1" applyFont="1" applyFill="1" applyBorder="1"/>
    <xf numFmtId="222" fontId="4" fillId="8" borderId="14" xfId="4" applyNumberFormat="1" applyFont="1" applyFill="1" applyBorder="1"/>
    <xf numFmtId="187" fontId="4" fillId="26" borderId="0" xfId="4" applyNumberFormat="1" applyFont="1" applyFill="1"/>
    <xf numFmtId="174" fontId="5" fillId="24" borderId="0" xfId="14" applyNumberFormat="1" applyFont="1" applyFill="1" applyBorder="1" applyAlignment="1">
      <alignment horizontal="right"/>
    </xf>
    <xf numFmtId="0" fontId="5" fillId="0" borderId="0" xfId="11" applyFont="1" applyAlignment="1">
      <alignment horizontal="left"/>
    </xf>
    <xf numFmtId="0" fontId="4" fillId="0" borderId="73" xfId="4" applyFont="1" applyBorder="1" applyAlignment="1" applyProtection="1">
      <alignment horizontal="centerContinuous"/>
      <protection locked="0"/>
    </xf>
    <xf numFmtId="0" fontId="8" fillId="0" borderId="73" xfId="4" applyFont="1" applyBorder="1" applyProtection="1">
      <protection locked="0"/>
    </xf>
    <xf numFmtId="0" fontId="8" fillId="0" borderId="73" xfId="4" applyFont="1" applyBorder="1" applyAlignment="1" applyProtection="1">
      <alignment horizontal="right"/>
      <protection locked="0"/>
    </xf>
    <xf numFmtId="198" fontId="8" fillId="0" borderId="73" xfId="4" applyNumberFormat="1" applyFont="1" applyBorder="1" applyAlignment="1" applyProtection="1">
      <alignment horizontal="right"/>
      <protection locked="0"/>
    </xf>
    <xf numFmtId="198" fontId="4" fillId="0" borderId="73" xfId="4" applyNumberFormat="1" applyFont="1" applyBorder="1" applyAlignment="1" applyProtection="1">
      <alignment horizontal="right"/>
      <protection locked="0"/>
    </xf>
    <xf numFmtId="0" fontId="4" fillId="2" borderId="73" xfId="4" applyFont="1" applyFill="1" applyBorder="1" applyProtection="1">
      <protection locked="0"/>
    </xf>
    <xf numFmtId="174" fontId="4" fillId="2" borderId="73" xfId="4" applyNumberFormat="1" applyFont="1" applyFill="1" applyBorder="1" applyProtection="1">
      <protection locked="0"/>
    </xf>
    <xf numFmtId="174" fontId="5" fillId="0" borderId="73" xfId="4" applyNumberFormat="1" applyFont="1" applyBorder="1" applyProtection="1">
      <protection locked="0"/>
    </xf>
    <xf numFmtId="0" fontId="3" fillId="0" borderId="73" xfId="4" applyFont="1" applyBorder="1" applyProtection="1">
      <protection locked="0"/>
    </xf>
    <xf numFmtId="0" fontId="4" fillId="0" borderId="73" xfId="4" applyFont="1" applyBorder="1" applyAlignment="1">
      <alignment horizontal="centerContinuous"/>
    </xf>
    <xf numFmtId="0" fontId="5" fillId="0" borderId="73" xfId="4" applyFont="1" applyBorder="1" applyAlignment="1">
      <alignment horizontal="centerContinuous"/>
    </xf>
    <xf numFmtId="222" fontId="5" fillId="0" borderId="0" xfId="4" applyNumberFormat="1" applyFont="1"/>
    <xf numFmtId="176" fontId="5" fillId="24" borderId="16" xfId="4" applyNumberFormat="1" applyFont="1" applyFill="1" applyBorder="1" applyAlignment="1">
      <alignment horizontal="center"/>
    </xf>
    <xf numFmtId="0" fontId="98" fillId="0" borderId="0" xfId="11" applyFont="1" applyAlignment="1">
      <alignment horizontal="left"/>
    </xf>
    <xf numFmtId="171" fontId="4" fillId="0" borderId="0" xfId="4" applyNumberFormat="1" applyFont="1"/>
    <xf numFmtId="174" fontId="4" fillId="24" borderId="1" xfId="4" applyNumberFormat="1" applyFont="1" applyFill="1" applyBorder="1"/>
    <xf numFmtId="174" fontId="5" fillId="24" borderId="1" xfId="4" applyNumberFormat="1" applyFont="1" applyFill="1" applyBorder="1"/>
    <xf numFmtId="223" fontId="26" fillId="0" borderId="18" xfId="4" applyNumberFormat="1" applyFont="1" applyBorder="1" applyAlignment="1">
      <alignment horizontal="right"/>
    </xf>
    <xf numFmtId="223" fontId="26" fillId="4" borderId="18" xfId="4" applyNumberFormat="1" applyFont="1" applyFill="1" applyBorder="1" applyAlignment="1">
      <alignment horizontal="right"/>
    </xf>
    <xf numFmtId="223" fontId="26" fillId="4" borderId="58" xfId="4" applyNumberFormat="1" applyFont="1" applyFill="1" applyBorder="1" applyAlignment="1">
      <alignment horizontal="right"/>
    </xf>
    <xf numFmtId="174" fontId="5" fillId="24" borderId="0" xfId="11" applyNumberFormat="1" applyFont="1" applyFill="1"/>
    <xf numFmtId="174" fontId="32" fillId="24" borderId="0" xfId="11" applyNumberFormat="1" applyFont="1" applyFill="1"/>
    <xf numFmtId="181" fontId="5" fillId="16" borderId="0" xfId="16" applyNumberFormat="1" applyFont="1" applyFill="1" applyBorder="1" applyAlignment="1">
      <alignment vertical="center"/>
    </xf>
    <xf numFmtId="187" fontId="5" fillId="16" borderId="0" xfId="16" applyNumberFormat="1" applyFont="1" applyFill="1" applyAlignment="1">
      <alignment horizontal="right"/>
    </xf>
    <xf numFmtId="187" fontId="5" fillId="16" borderId="9" xfId="16" applyNumberFormat="1" applyFont="1" applyFill="1" applyBorder="1" applyAlignment="1">
      <alignment horizontal="right"/>
    </xf>
    <xf numFmtId="187" fontId="4" fillId="26" borderId="1" xfId="4" applyNumberFormat="1" applyFont="1" applyFill="1" applyBorder="1"/>
    <xf numFmtId="0" fontId="80" fillId="4" borderId="0" xfId="4" applyFont="1" applyFill="1" applyProtection="1">
      <protection locked="0"/>
    </xf>
    <xf numFmtId="0" fontId="8" fillId="4" borderId="0" xfId="4" applyFont="1" applyFill="1" applyAlignment="1" applyProtection="1">
      <alignment horizontal="right"/>
      <protection locked="0"/>
    </xf>
    <xf numFmtId="174" fontId="3" fillId="4" borderId="0" xfId="4" applyNumberFormat="1" applyFont="1" applyFill="1" applyProtection="1">
      <protection locked="0"/>
    </xf>
    <xf numFmtId="223" fontId="5" fillId="9" borderId="17" xfId="4" applyNumberFormat="1" applyFont="1" applyFill="1" applyBorder="1" applyAlignment="1" applyProtection="1">
      <alignment horizontal="center" vertical="center"/>
      <protection locked="0"/>
    </xf>
    <xf numFmtId="223" fontId="5" fillId="9" borderId="24" xfId="4" applyNumberFormat="1" applyFont="1" applyFill="1" applyBorder="1" applyAlignment="1" applyProtection="1">
      <alignment horizontal="center" vertical="center"/>
      <protection locked="0"/>
    </xf>
    <xf numFmtId="223" fontId="5" fillId="9" borderId="0" xfId="4" applyNumberFormat="1" applyFont="1" applyFill="1"/>
    <xf numFmtId="174" fontId="32" fillId="0" borderId="0" xfId="12" applyNumberFormat="1" applyFont="1" applyBorder="1" applyAlignment="1">
      <alignment horizontal="right"/>
    </xf>
    <xf numFmtId="174" fontId="32" fillId="0" borderId="0" xfId="12" applyNumberFormat="1" applyFont="1" applyFill="1" applyBorder="1" applyAlignment="1">
      <alignment horizontal="right"/>
    </xf>
    <xf numFmtId="174" fontId="32" fillId="4" borderId="0" xfId="14" applyNumberFormat="1" applyFont="1" applyFill="1" applyBorder="1" applyAlignment="1">
      <alignment horizontal="right"/>
    </xf>
    <xf numFmtId="0" fontId="51" fillId="0" borderId="1" xfId="4" applyFont="1" applyBorder="1"/>
    <xf numFmtId="221" fontId="17" fillId="2" borderId="0" xfId="4" applyNumberFormat="1" applyFont="1" applyFill="1"/>
    <xf numFmtId="176" fontId="5" fillId="0" borderId="0" xfId="7" applyNumberFormat="1" applyFont="1"/>
    <xf numFmtId="176" fontId="5" fillId="0" borderId="0" xfId="9" applyNumberFormat="1" applyFont="1" applyAlignment="1">
      <alignment horizontal="right"/>
    </xf>
    <xf numFmtId="174" fontId="5" fillId="0" borderId="0" xfId="7" applyNumberFormat="1" applyFont="1"/>
    <xf numFmtId="0" fontId="4" fillId="2" borderId="1" xfId="7" applyFont="1" applyFill="1" applyBorder="1"/>
    <xf numFmtId="177" fontId="4" fillId="2" borderId="1" xfId="8" applyFont="1" applyFill="1" applyBorder="1"/>
    <xf numFmtId="178" fontId="5" fillId="0" borderId="0" xfId="9" applyNumberFormat="1" applyFont="1" applyAlignment="1" applyProtection="1">
      <alignment horizontal="right"/>
      <protection locked="0"/>
    </xf>
    <xf numFmtId="174" fontId="5" fillId="24" borderId="0" xfId="7" applyNumberFormat="1" applyFont="1" applyFill="1"/>
    <xf numFmtId="0" fontId="5" fillId="0" borderId="0" xfId="5" applyFont="1" applyAlignment="1"/>
    <xf numFmtId="0" fontId="5" fillId="9" borderId="0" xfId="5" applyFont="1" applyFill="1" applyAlignment="1"/>
    <xf numFmtId="0" fontId="4" fillId="2" borderId="1" xfId="5" applyFont="1" applyFill="1" applyBorder="1" applyAlignment="1"/>
    <xf numFmtId="193" fontId="4" fillId="2" borderId="1" xfId="4" applyNumberFormat="1" applyFont="1" applyFill="1" applyBorder="1" applyProtection="1">
      <protection locked="0"/>
    </xf>
    <xf numFmtId="198" fontId="8" fillId="0" borderId="3" xfId="4" applyNumberFormat="1" applyFont="1" applyBorder="1" applyAlignment="1" applyProtection="1">
      <alignment horizontal="right"/>
      <protection locked="0"/>
    </xf>
    <xf numFmtId="15" fontId="5" fillId="0" borderId="1" xfId="4" applyNumberFormat="1" applyFont="1" applyBorder="1"/>
    <xf numFmtId="0" fontId="5" fillId="0" borderId="1" xfId="5" applyFont="1" applyBorder="1">
      <alignment vertical="top"/>
    </xf>
    <xf numFmtId="0" fontId="0" fillId="0" borderId="1" xfId="0" applyBorder="1"/>
    <xf numFmtId="0" fontId="0" fillId="0" borderId="14" xfId="0" applyBorder="1"/>
    <xf numFmtId="0" fontId="100" fillId="0" borderId="0" xfId="4" applyFont="1"/>
    <xf numFmtId="174" fontId="17" fillId="8" borderId="0" xfId="0" applyNumberFormat="1" applyFont="1" applyFill="1" applyAlignment="1">
      <alignment horizontal="right"/>
    </xf>
    <xf numFmtId="174" fontId="17" fillId="0" borderId="0" xfId="0" applyNumberFormat="1" applyFont="1" applyAlignment="1">
      <alignment horizontal="right"/>
    </xf>
    <xf numFmtId="166" fontId="39" fillId="0" borderId="0" xfId="4" applyNumberFormat="1" applyFont="1" applyAlignment="1">
      <alignment horizontal="center" readingOrder="1"/>
    </xf>
    <xf numFmtId="9" fontId="39" fillId="0" borderId="0" xfId="4" applyNumberFormat="1" applyFont="1"/>
    <xf numFmtId="9" fontId="39" fillId="8" borderId="0" xfId="10" applyFont="1" applyFill="1" applyAlignment="1">
      <alignment horizontal="center"/>
    </xf>
    <xf numFmtId="9" fontId="5" fillId="0" borderId="0" xfId="0" applyNumberFormat="1" applyFont="1"/>
    <xf numFmtId="178" fontId="5" fillId="4" borderId="0" xfId="4" applyNumberFormat="1" applyFont="1" applyFill="1" applyAlignment="1">
      <alignment horizontal="center"/>
    </xf>
    <xf numFmtId="0" fontId="5" fillId="9" borderId="0" xfId="4" applyFont="1" applyFill="1" applyAlignment="1">
      <alignment horizontal="right" indent="1"/>
    </xf>
    <xf numFmtId="224" fontId="5" fillId="8" borderId="0" xfId="0" applyNumberFormat="1" applyFont="1" applyFill="1" applyAlignment="1">
      <alignment horizontal="right"/>
    </xf>
    <xf numFmtId="224" fontId="4" fillId="0" borderId="0" xfId="4" applyNumberFormat="1" applyFont="1" applyAlignment="1">
      <alignment horizontal="center"/>
    </xf>
    <xf numFmtId="224" fontId="5" fillId="0" borderId="0" xfId="0" applyNumberFormat="1" applyFont="1"/>
    <xf numFmtId="224" fontId="17" fillId="8" borderId="0" xfId="0" applyNumberFormat="1" applyFont="1" applyFill="1" applyAlignment="1">
      <alignment horizontal="right"/>
    </xf>
    <xf numFmtId="224" fontId="17" fillId="0" borderId="0" xfId="0" applyNumberFormat="1" applyFont="1"/>
    <xf numFmtId="181" fontId="17" fillId="2" borderId="1" xfId="4" applyNumberFormat="1" applyFont="1" applyFill="1" applyBorder="1"/>
    <xf numFmtId="181" fontId="17" fillId="2" borderId="14" xfId="4" applyNumberFormat="1" applyFont="1" applyFill="1" applyBorder="1"/>
    <xf numFmtId="1" fontId="5" fillId="2" borderId="0" xfId="20" applyNumberFormat="1" applyFont="1" applyFill="1" applyAlignment="1">
      <alignment horizontal="center"/>
    </xf>
    <xf numFmtId="37" fontId="17" fillId="2" borderId="0" xfId="4" applyNumberFormat="1" applyFont="1" applyFill="1" applyAlignment="1">
      <alignment horizontal="center"/>
    </xf>
    <xf numFmtId="1" fontId="5" fillId="2" borderId="42" xfId="4" applyNumberFormat="1" applyFont="1" applyFill="1" applyBorder="1" applyAlignment="1">
      <alignment horizontal="center"/>
    </xf>
    <xf numFmtId="0" fontId="4" fillId="24" borderId="49" xfId="4" applyFont="1" applyFill="1" applyBorder="1"/>
    <xf numFmtId="0" fontId="4" fillId="24" borderId="48" xfId="4" applyFont="1" applyFill="1" applyBorder="1"/>
    <xf numFmtId="210" fontId="5" fillId="24" borderId="48" xfId="4" applyNumberFormat="1" applyFont="1" applyFill="1" applyBorder="1" applyAlignment="1">
      <alignment horizontal="center"/>
    </xf>
    <xf numFmtId="210" fontId="5" fillId="24" borderId="47" xfId="4" applyNumberFormat="1" applyFont="1" applyFill="1" applyBorder="1" applyAlignment="1">
      <alignment horizontal="center"/>
    </xf>
    <xf numFmtId="0" fontId="32" fillId="2" borderId="1" xfId="0" applyFont="1" applyFill="1" applyBorder="1"/>
    <xf numFmtId="176" fontId="4" fillId="2" borderId="1" xfId="0" applyNumberFormat="1" applyFont="1" applyFill="1" applyBorder="1"/>
    <xf numFmtId="2" fontId="4" fillId="2" borderId="0" xfId="0" applyNumberFormat="1" applyFont="1" applyFill="1"/>
    <xf numFmtId="0" fontId="80" fillId="0" borderId="73" xfId="4" applyFont="1" applyBorder="1" applyProtection="1">
      <protection locked="0"/>
    </xf>
    <xf numFmtId="0" fontId="3" fillId="0" borderId="78" xfId="4" applyFont="1" applyBorder="1"/>
    <xf numFmtId="0" fontId="5" fillId="0" borderId="78" xfId="4" applyFont="1" applyBorder="1"/>
    <xf numFmtId="0" fontId="5" fillId="0" borderId="82" xfId="4" applyFont="1" applyBorder="1"/>
    <xf numFmtId="225" fontId="5" fillId="0" borderId="0" xfId="4" applyNumberFormat="1" applyFont="1"/>
    <xf numFmtId="178" fontId="4" fillId="24" borderId="0" xfId="4" applyNumberFormat="1" applyFont="1" applyFill="1" applyAlignment="1">
      <alignment horizontal="right"/>
    </xf>
    <xf numFmtId="9" fontId="4" fillId="0" borderId="0" xfId="3" applyFont="1"/>
    <xf numFmtId="211" fontId="17" fillId="28" borderId="0" xfId="20" applyNumberFormat="1" applyFont="1" applyFill="1" applyAlignment="1">
      <alignment horizontal="center"/>
    </xf>
    <xf numFmtId="211" fontId="17" fillId="28" borderId="42" xfId="20" applyNumberFormat="1" applyFont="1" applyFill="1" applyBorder="1" applyAlignment="1">
      <alignment horizontal="center"/>
    </xf>
    <xf numFmtId="174" fontId="5" fillId="0" borderId="74" xfId="4" applyNumberFormat="1" applyFont="1" applyBorder="1"/>
    <xf numFmtId="0" fontId="14" fillId="0" borderId="78" xfId="4" applyFont="1" applyBorder="1"/>
    <xf numFmtId="0" fontId="5" fillId="0" borderId="79" xfId="21" applyFont="1" applyBorder="1" applyAlignment="1">
      <alignment horizontal="left" indent="1"/>
    </xf>
    <xf numFmtId="185" fontId="5" fillId="0" borderId="80" xfId="4" applyNumberFormat="1" applyFont="1" applyBorder="1" applyAlignment="1">
      <alignment horizontal="center"/>
    </xf>
    <xf numFmtId="0" fontId="5" fillId="0" borderId="78" xfId="21" applyFont="1" applyBorder="1" applyAlignment="1">
      <alignment horizontal="left"/>
    </xf>
    <xf numFmtId="174" fontId="5" fillId="4" borderId="0" xfId="11" applyNumberFormat="1" applyFont="1" applyFill="1" applyAlignment="1">
      <alignment horizontal="center"/>
    </xf>
    <xf numFmtId="9" fontId="5" fillId="4" borderId="74" xfId="4" applyNumberFormat="1" applyFont="1" applyFill="1" applyBorder="1" applyAlignment="1">
      <alignment horizontal="center"/>
    </xf>
    <xf numFmtId="0" fontId="5" fillId="0" borderId="78" xfId="21" applyFont="1" applyBorder="1" applyAlignment="1">
      <alignment horizontal="left" indent="1"/>
    </xf>
    <xf numFmtId="174" fontId="5" fillId="0" borderId="0" xfId="11" applyNumberFormat="1" applyFont="1" applyAlignment="1">
      <alignment horizontal="center"/>
    </xf>
    <xf numFmtId="181" fontId="5" fillId="0" borderId="0" xfId="4" applyNumberFormat="1" applyFont="1" applyAlignment="1">
      <alignment horizontal="center"/>
    </xf>
    <xf numFmtId="9" fontId="5" fillId="0" borderId="74" xfId="4" applyNumberFormat="1" applyFont="1" applyBorder="1" applyAlignment="1">
      <alignment horizontal="center"/>
    </xf>
    <xf numFmtId="9" fontId="5" fillId="0" borderId="74" xfId="4" applyNumberFormat="1" applyFont="1" applyBorder="1"/>
    <xf numFmtId="215" fontId="5" fillId="0" borderId="74" xfId="4" applyNumberFormat="1" applyFont="1" applyBorder="1"/>
    <xf numFmtId="0" fontId="4" fillId="14" borderId="78" xfId="4" applyFont="1" applyFill="1" applyBorder="1"/>
    <xf numFmtId="215" fontId="5" fillId="14" borderId="74" xfId="4" applyNumberFormat="1" applyFont="1" applyFill="1" applyBorder="1" applyAlignment="1">
      <alignment horizontal="center"/>
    </xf>
    <xf numFmtId="0" fontId="4" fillId="4" borderId="84" xfId="4" applyFont="1" applyFill="1" applyBorder="1"/>
    <xf numFmtId="215" fontId="5" fillId="4" borderId="85" xfId="4" applyNumberFormat="1" applyFont="1" applyFill="1" applyBorder="1" applyAlignment="1">
      <alignment horizontal="center"/>
    </xf>
    <xf numFmtId="0" fontId="5" fillId="0" borderId="81" xfId="4" applyFont="1" applyBorder="1"/>
    <xf numFmtId="0" fontId="5" fillId="0" borderId="82" xfId="4" applyFont="1" applyBorder="1" applyAlignment="1">
      <alignment horizontal="center"/>
    </xf>
    <xf numFmtId="174" fontId="5" fillId="0" borderId="83" xfId="4" applyNumberFormat="1" applyFont="1" applyBorder="1" applyAlignment="1">
      <alignment horizontal="center"/>
    </xf>
    <xf numFmtId="174" fontId="4" fillId="29" borderId="1" xfId="16" applyNumberFormat="1" applyFont="1" applyFill="1" applyBorder="1" applyAlignment="1">
      <alignment horizontal="right"/>
    </xf>
    <xf numFmtId="174" fontId="78" fillId="0" borderId="0" xfId="4" applyNumberFormat="1" applyFont="1"/>
    <xf numFmtId="0" fontId="101" fillId="16" borderId="1" xfId="34"/>
    <xf numFmtId="4" fontId="91" fillId="22" borderId="24" xfId="35">
      <alignment horizontal="right"/>
    </xf>
    <xf numFmtId="0" fontId="102" fillId="22" borderId="39" xfId="36"/>
    <xf numFmtId="184" fontId="91" fillId="22" borderId="24" xfId="33">
      <alignment horizontal="right"/>
    </xf>
    <xf numFmtId="3" fontId="91" fillId="22" borderId="24" xfId="37">
      <alignment horizontal="right"/>
    </xf>
    <xf numFmtId="184" fontId="90" fillId="22" borderId="24" xfId="32">
      <alignment horizontal="right"/>
    </xf>
    <xf numFmtId="0" fontId="90" fillId="22" borderId="39" xfId="38"/>
    <xf numFmtId="3" fontId="90" fillId="22" borderId="24" xfId="39">
      <alignment horizontal="right"/>
    </xf>
    <xf numFmtId="0" fontId="30" fillId="30" borderId="86" xfId="40">
      <alignment horizontal="right"/>
    </xf>
    <xf numFmtId="0" fontId="30" fillId="30" borderId="86" xfId="41">
      <alignment horizontal="left"/>
    </xf>
    <xf numFmtId="0" fontId="30" fillId="30" borderId="17" xfId="42">
      <alignment horizontal="right"/>
    </xf>
    <xf numFmtId="0" fontId="30" fillId="30" borderId="17" xfId="43">
      <alignment horizontal="left"/>
    </xf>
    <xf numFmtId="0" fontId="103" fillId="22" borderId="0" xfId="44">
      <alignment horizontal="center"/>
    </xf>
    <xf numFmtId="0" fontId="104" fillId="30" borderId="3" xfId="45">
      <alignment horizontal="left" vertical="center" readingOrder="1"/>
    </xf>
    <xf numFmtId="0" fontId="105" fillId="30" borderId="0" xfId="46"/>
    <xf numFmtId="0" fontId="30" fillId="30" borderId="19" xfId="47">
      <alignment horizontal="right"/>
    </xf>
    <xf numFmtId="0" fontId="30" fillId="30" borderId="19" xfId="48">
      <alignment horizontal="left"/>
    </xf>
    <xf numFmtId="0" fontId="30" fillId="30" borderId="19" xfId="49">
      <alignment horizontal="right"/>
    </xf>
    <xf numFmtId="0" fontId="30" fillId="30" borderId="19" xfId="50">
      <alignment horizontal="left"/>
    </xf>
    <xf numFmtId="0" fontId="4" fillId="0" borderId="0" xfId="11" applyFont="1" applyAlignment="1">
      <alignment horizontal="left" indent="1"/>
    </xf>
    <xf numFmtId="4" fontId="91" fillId="31" borderId="24" xfId="51">
      <alignment horizontal="right"/>
    </xf>
    <xf numFmtId="184" fontId="91" fillId="31" borderId="24" xfId="52">
      <alignment horizontal="right"/>
    </xf>
    <xf numFmtId="3" fontId="90" fillId="31" borderId="24" xfId="53">
      <alignment horizontal="right"/>
    </xf>
    <xf numFmtId="184" fontId="90" fillId="31" borderId="24" xfId="54">
      <alignment horizontal="right"/>
    </xf>
    <xf numFmtId="184" fontId="101" fillId="31" borderId="24" xfId="55">
      <alignment horizontal="right"/>
    </xf>
    <xf numFmtId="184" fontId="101" fillId="22" borderId="24" xfId="56">
      <alignment horizontal="right"/>
    </xf>
    <xf numFmtId="0" fontId="106" fillId="22" borderId="39" xfId="57"/>
    <xf numFmtId="0" fontId="5" fillId="0" borderId="0" xfId="15" applyFont="1" applyFill="1"/>
    <xf numFmtId="185" fontId="5" fillId="0" borderId="0" xfId="4" applyNumberFormat="1" applyFont="1" applyAlignment="1">
      <alignment horizontal="left"/>
    </xf>
    <xf numFmtId="0" fontId="17" fillId="0" borderId="87" xfId="4" applyFont="1" applyBorder="1" applyAlignment="1">
      <alignment horizontal="left"/>
    </xf>
    <xf numFmtId="165" fontId="5" fillId="25" borderId="0" xfId="4" quotePrefix="1" applyNumberFormat="1" applyFont="1" applyFill="1"/>
    <xf numFmtId="165" fontId="5" fillId="18" borderId="0" xfId="16" applyFont="1" applyFill="1" applyBorder="1" applyAlignment="1">
      <alignment horizontal="right"/>
    </xf>
    <xf numFmtId="165" fontId="5" fillId="0" borderId="0" xfId="4" applyNumberFormat="1" applyFont="1"/>
    <xf numFmtId="183" fontId="4" fillId="0" borderId="73" xfId="4" applyNumberFormat="1" applyFont="1" applyBorder="1" applyAlignment="1">
      <alignment horizontal="centerContinuous"/>
    </xf>
    <xf numFmtId="174" fontId="17" fillId="0" borderId="73" xfId="4" applyNumberFormat="1" applyFont="1" applyBorder="1"/>
    <xf numFmtId="0" fontId="5" fillId="0" borderId="73" xfId="4" applyFont="1" applyBorder="1"/>
    <xf numFmtId="0" fontId="78" fillId="0" borderId="73" xfId="4" applyFont="1" applyBorder="1"/>
    <xf numFmtId="174" fontId="17" fillId="0" borderId="73" xfId="12" applyNumberFormat="1" applyFont="1" applyFill="1" applyBorder="1" applyAlignment="1">
      <alignment horizontal="right"/>
    </xf>
    <xf numFmtId="174" fontId="5" fillId="4" borderId="73" xfId="4" applyNumberFormat="1" applyFont="1" applyFill="1" applyBorder="1"/>
    <xf numFmtId="0" fontId="5" fillId="0" borderId="73" xfId="11" applyFont="1" applyBorder="1"/>
    <xf numFmtId="0" fontId="78" fillId="0" borderId="73" xfId="11" applyFont="1" applyBorder="1"/>
    <xf numFmtId="174" fontId="5" fillId="0" borderId="73" xfId="4" applyNumberFormat="1" applyFont="1" applyBorder="1"/>
    <xf numFmtId="174" fontId="17" fillId="0" borderId="73" xfId="11" applyNumberFormat="1" applyFont="1" applyBorder="1"/>
    <xf numFmtId="174" fontId="5" fillId="4" borderId="73" xfId="11" applyNumberFormat="1" applyFont="1" applyFill="1" applyBorder="1"/>
    <xf numFmtId="0" fontId="5" fillId="0" borderId="73" xfId="4" applyFont="1" applyBorder="1" applyAlignment="1">
      <alignment horizontal="left"/>
    </xf>
    <xf numFmtId="187" fontId="27" fillId="0" borderId="73" xfId="16" applyNumberFormat="1" applyFont="1" applyFill="1" applyBorder="1"/>
    <xf numFmtId="187" fontId="5" fillId="25" borderId="73" xfId="16" applyNumberFormat="1" applyFont="1" applyFill="1" applyBorder="1"/>
    <xf numFmtId="187" fontId="5" fillId="0" borderId="73" xfId="4" applyNumberFormat="1" applyFont="1" applyBorder="1"/>
    <xf numFmtId="187" fontId="5" fillId="8" borderId="73" xfId="4" applyNumberFormat="1" applyFont="1" applyFill="1" applyBorder="1"/>
    <xf numFmtId="187" fontId="5" fillId="25" borderId="73" xfId="4" applyNumberFormat="1" applyFont="1" applyFill="1" applyBorder="1"/>
    <xf numFmtId="181" fontId="27" fillId="2" borderId="87" xfId="16" applyNumberFormat="1" applyFont="1" applyFill="1" applyBorder="1" applyAlignment="1">
      <alignment vertical="center"/>
    </xf>
    <xf numFmtId="181" fontId="27" fillId="2" borderId="73" xfId="16" applyNumberFormat="1" applyFont="1" applyFill="1" applyBorder="1" applyAlignment="1">
      <alignment vertical="center"/>
    </xf>
    <xf numFmtId="172" fontId="4" fillId="8" borderId="87" xfId="16" applyNumberFormat="1" applyFont="1" applyFill="1" applyBorder="1" applyAlignment="1">
      <alignment horizontal="right"/>
    </xf>
    <xf numFmtId="172" fontId="4" fillId="8" borderId="73" xfId="16" applyNumberFormat="1" applyFont="1" applyFill="1" applyBorder="1" applyAlignment="1">
      <alignment horizontal="right"/>
    </xf>
    <xf numFmtId="172" fontId="4" fillId="8" borderId="88" xfId="16" applyNumberFormat="1" applyFont="1" applyFill="1" applyBorder="1" applyAlignment="1">
      <alignment horizontal="right"/>
    </xf>
    <xf numFmtId="220" fontId="5" fillId="16" borderId="73" xfId="4" applyNumberFormat="1" applyFont="1" applyFill="1" applyBorder="1"/>
    <xf numFmtId="0" fontId="18" fillId="0" borderId="73" xfId="4" applyFont="1" applyBorder="1"/>
    <xf numFmtId="187" fontId="5" fillId="26" borderId="73" xfId="16" applyNumberFormat="1" applyFont="1" applyFill="1" applyBorder="1" applyAlignment="1">
      <alignment horizontal="right"/>
    </xf>
    <xf numFmtId="187" fontId="5" fillId="16" borderId="73" xfId="16" applyNumberFormat="1" applyFont="1" applyFill="1" applyBorder="1" applyAlignment="1">
      <alignment horizontal="right"/>
    </xf>
    <xf numFmtId="0" fontId="5" fillId="0" borderId="88" xfId="4" applyFont="1" applyBorder="1"/>
    <xf numFmtId="0" fontId="5" fillId="0" borderId="87" xfId="4" applyFont="1" applyBorder="1"/>
    <xf numFmtId="181" fontId="5" fillId="0" borderId="73" xfId="4" applyNumberFormat="1" applyFont="1" applyBorder="1" applyAlignment="1">
      <alignment horizontal="right"/>
    </xf>
    <xf numFmtId="174" fontId="17" fillId="2" borderId="73" xfId="4" applyNumberFormat="1" applyFont="1" applyFill="1" applyBorder="1"/>
    <xf numFmtId="174" fontId="17" fillId="2" borderId="88" xfId="4" applyNumberFormat="1" applyFont="1" applyFill="1" applyBorder="1"/>
    <xf numFmtId="181" fontId="17" fillId="2" borderId="73" xfId="4" applyNumberFormat="1" applyFont="1" applyFill="1" applyBorder="1"/>
    <xf numFmtId="181" fontId="17" fillId="2" borderId="88" xfId="4" applyNumberFormat="1" applyFont="1" applyFill="1" applyBorder="1"/>
    <xf numFmtId="187" fontId="17" fillId="0" borderId="73" xfId="4" applyNumberFormat="1" applyFont="1" applyBorder="1"/>
    <xf numFmtId="187" fontId="5" fillId="24" borderId="73" xfId="4" applyNumberFormat="1" applyFont="1" applyFill="1" applyBorder="1"/>
    <xf numFmtId="0" fontId="5" fillId="0" borderId="73" xfId="5" applyFont="1" applyBorder="1">
      <alignment vertical="top"/>
    </xf>
    <xf numFmtId="2" fontId="27" fillId="2" borderId="73" xfId="6" applyNumberFormat="1" applyFont="1" applyFill="1" applyBorder="1" applyAlignment="1">
      <alignment horizontal="right" vertical="center"/>
    </xf>
    <xf numFmtId="0" fontId="5" fillId="9" borderId="73" xfId="5" applyFont="1" applyFill="1" applyBorder="1">
      <alignment vertical="top"/>
    </xf>
    <xf numFmtId="171" fontId="17" fillId="2" borderId="73" xfId="6" applyNumberFormat="1" applyFont="1" applyFill="1" applyBorder="1" applyAlignment="1">
      <alignment horizontal="right" vertical="center"/>
    </xf>
    <xf numFmtId="177" fontId="3" fillId="5" borderId="73" xfId="8" applyFont="1" applyFill="1" applyBorder="1" applyAlignment="1">
      <alignment horizontal="left"/>
    </xf>
    <xf numFmtId="195" fontId="3" fillId="4" borderId="73" xfId="10" applyNumberFormat="1" applyFont="1" applyFill="1" applyBorder="1" applyAlignment="1">
      <alignment horizontal="right"/>
    </xf>
    <xf numFmtId="177" fontId="5" fillId="5" borderId="73" xfId="8" quotePrefix="1" applyFont="1" applyFill="1" applyBorder="1" applyAlignment="1">
      <alignment horizontal="left" indent="1"/>
    </xf>
    <xf numFmtId="0" fontId="21" fillId="7" borderId="73" xfId="4" applyFont="1" applyFill="1" applyBorder="1" applyProtection="1">
      <protection locked="0"/>
    </xf>
    <xf numFmtId="0" fontId="2" fillId="7" borderId="73" xfId="4" applyFill="1" applyBorder="1" applyProtection="1">
      <protection locked="0"/>
    </xf>
    <xf numFmtId="183" fontId="4" fillId="0" borderId="73" xfId="4" applyNumberFormat="1" applyFont="1" applyBorder="1" applyAlignment="1" applyProtection="1">
      <alignment horizontal="centerContinuous"/>
      <protection locked="0"/>
    </xf>
    <xf numFmtId="0" fontId="5" fillId="9" borderId="73" xfId="4" applyFont="1" applyFill="1" applyBorder="1" applyProtection="1">
      <protection locked="0"/>
    </xf>
    <xf numFmtId="0" fontId="21" fillId="7" borderId="73" xfId="4" applyFont="1" applyFill="1" applyBorder="1"/>
    <xf numFmtId="0" fontId="2" fillId="7" borderId="73" xfId="4" applyFill="1" applyBorder="1"/>
    <xf numFmtId="0" fontId="2" fillId="9" borderId="73" xfId="4" applyFill="1" applyBorder="1"/>
    <xf numFmtId="10" fontId="5" fillId="0" borderId="73" xfId="4" applyNumberFormat="1" applyFont="1" applyBorder="1" applyAlignment="1">
      <alignment horizontal="right"/>
    </xf>
    <xf numFmtId="0" fontId="2" fillId="7" borderId="73" xfId="4" applyFill="1" applyBorder="1" applyAlignment="1">
      <alignment horizontal="left"/>
    </xf>
    <xf numFmtId="0" fontId="5" fillId="9" borderId="73" xfId="4" applyFont="1" applyFill="1" applyBorder="1"/>
    <xf numFmtId="0" fontId="4" fillId="9" borderId="73" xfId="4" applyFont="1" applyFill="1" applyBorder="1"/>
    <xf numFmtId="204" fontId="3" fillId="9" borderId="73" xfId="4" applyNumberFormat="1" applyFont="1" applyFill="1" applyBorder="1" applyAlignment="1">
      <alignment horizontal="left"/>
    </xf>
    <xf numFmtId="187" fontId="5" fillId="9" borderId="73" xfId="4" applyNumberFormat="1" applyFont="1" applyFill="1" applyBorder="1"/>
    <xf numFmtId="0" fontId="5" fillId="9" borderId="73" xfId="4" applyFont="1" applyFill="1" applyBorder="1" applyAlignment="1">
      <alignment horizontal="left"/>
    </xf>
    <xf numFmtId="174" fontId="69" fillId="0" borderId="1" xfId="4" applyNumberFormat="1" applyFont="1" applyBorder="1"/>
    <xf numFmtId="226" fontId="26" fillId="0" borderId="18" xfId="4" applyNumberFormat="1" applyFont="1" applyBorder="1" applyAlignment="1">
      <alignment horizontal="right"/>
    </xf>
    <xf numFmtId="0" fontId="12" fillId="32" borderId="0" xfId="4" applyFont="1" applyFill="1"/>
    <xf numFmtId="0" fontId="11" fillId="32" borderId="0" xfId="4" applyFont="1" applyFill="1"/>
    <xf numFmtId="0" fontId="96" fillId="32" borderId="0" xfId="4" applyFont="1" applyFill="1"/>
    <xf numFmtId="174" fontId="5" fillId="0" borderId="73" xfId="11" applyNumberFormat="1" applyFont="1" applyBorder="1"/>
    <xf numFmtId="174" fontId="5" fillId="0" borderId="18" xfId="12" applyNumberFormat="1" applyFont="1" applyFill="1" applyBorder="1" applyAlignment="1">
      <alignment horizontal="right"/>
    </xf>
    <xf numFmtId="226" fontId="26" fillId="0" borderId="58" xfId="4" applyNumberFormat="1" applyFont="1" applyBorder="1" applyAlignment="1">
      <alignment horizontal="right"/>
    </xf>
    <xf numFmtId="0" fontId="107" fillId="0" borderId="0" xfId="4" applyFont="1"/>
    <xf numFmtId="185" fontId="5" fillId="0" borderId="0" xfId="11" applyNumberFormat="1" applyFont="1"/>
    <xf numFmtId="171" fontId="17" fillId="0" borderId="0" xfId="3" applyNumberFormat="1" applyFont="1" applyFill="1" applyBorder="1"/>
    <xf numFmtId="174" fontId="8" fillId="0" borderId="1" xfId="11" applyNumberFormat="1" applyFont="1" applyBorder="1"/>
    <xf numFmtId="0" fontId="37" fillId="0" borderId="1" xfId="11" applyFont="1" applyBorder="1"/>
    <xf numFmtId="174" fontId="17" fillId="0" borderId="1" xfId="11" applyNumberFormat="1" applyFont="1" applyBorder="1"/>
    <xf numFmtId="174" fontId="17" fillId="0" borderId="0" xfId="12" applyNumberFormat="1" applyFont="1" applyBorder="1" applyAlignment="1">
      <alignment horizontal="right"/>
    </xf>
    <xf numFmtId="0" fontId="3" fillId="0" borderId="3" xfId="4" applyFont="1" applyBorder="1"/>
    <xf numFmtId="0" fontId="79" fillId="0" borderId="3" xfId="4" applyFont="1" applyBorder="1"/>
    <xf numFmtId="0" fontId="39" fillId="0" borderId="0" xfId="4" applyFont="1" applyAlignment="1">
      <alignment horizontal="right" indent="1"/>
    </xf>
    <xf numFmtId="4" fontId="39" fillId="0" borderId="0" xfId="4" applyNumberFormat="1" applyFont="1" applyAlignment="1">
      <alignment horizontal="right" indent="1"/>
    </xf>
    <xf numFmtId="4" fontId="17" fillId="20" borderId="0" xfId="4" applyNumberFormat="1" applyFont="1" applyFill="1"/>
    <xf numFmtId="0" fontId="34" fillId="0" borderId="0" xfId="23" applyFont="1"/>
    <xf numFmtId="0" fontId="108" fillId="7" borderId="0" xfId="4" applyFont="1" applyFill="1"/>
    <xf numFmtId="0" fontId="108" fillId="0" borderId="0" xfId="4" applyFont="1"/>
    <xf numFmtId="0" fontId="109" fillId="0" borderId="0" xfId="23" applyFont="1"/>
    <xf numFmtId="0" fontId="110" fillId="0" borderId="0" xfId="4" applyFont="1"/>
    <xf numFmtId="0" fontId="34" fillId="0" borderId="76" xfId="23" applyFont="1" applyBorder="1"/>
    <xf numFmtId="0" fontId="34" fillId="33" borderId="76" xfId="23" applyFont="1" applyFill="1" applyBorder="1" applyAlignment="1">
      <alignment horizontal="centerContinuous"/>
    </xf>
    <xf numFmtId="0" fontId="34" fillId="0" borderId="8" xfId="23" applyFont="1" applyBorder="1"/>
    <xf numFmtId="0" fontId="34" fillId="9" borderId="0" xfId="23" applyFont="1" applyFill="1"/>
    <xf numFmtId="0" fontId="111" fillId="0" borderId="0" xfId="23" applyFont="1"/>
    <xf numFmtId="0" fontId="34" fillId="0" borderId="107" xfId="23" applyFont="1" applyBorder="1"/>
    <xf numFmtId="0" fontId="34" fillId="0" borderId="0" xfId="23" quotePrefix="1" applyFont="1"/>
    <xf numFmtId="0" fontId="34" fillId="36" borderId="3" xfId="23" applyFont="1" applyFill="1" applyBorder="1"/>
    <xf numFmtId="178" fontId="0" fillId="0" borderId="0" xfId="0" applyNumberFormat="1"/>
    <xf numFmtId="0" fontId="4" fillId="8" borderId="0" xfId="4" applyFont="1" applyFill="1"/>
    <xf numFmtId="0" fontId="4" fillId="8" borderId="0" xfId="4" applyFont="1" applyFill="1" applyAlignment="1">
      <alignment horizontal="left"/>
    </xf>
    <xf numFmtId="0" fontId="5" fillId="8" borderId="0" xfId="4" applyFont="1" applyFill="1"/>
    <xf numFmtId="181" fontId="5" fillId="0" borderId="1" xfId="4" applyNumberFormat="1" applyFont="1" applyBorder="1"/>
    <xf numFmtId="171" fontId="5" fillId="0" borderId="1" xfId="3" applyNumberFormat="1" applyFont="1" applyBorder="1"/>
    <xf numFmtId="0" fontId="5" fillId="0" borderId="16" xfId="4" applyFont="1" applyBorder="1"/>
    <xf numFmtId="187" fontId="5" fillId="25" borderId="1" xfId="4" applyNumberFormat="1" applyFont="1" applyFill="1" applyBorder="1"/>
    <xf numFmtId="171" fontId="17" fillId="0" borderId="1" xfId="3" applyNumberFormat="1" applyFont="1" applyFill="1" applyBorder="1"/>
    <xf numFmtId="203" fontId="17" fillId="0" borderId="51" xfId="4" applyNumberFormat="1" applyFont="1" applyBorder="1" applyAlignment="1">
      <alignment horizontal="centerContinuous"/>
    </xf>
    <xf numFmtId="203" fontId="5" fillId="0" borderId="52" xfId="4" applyNumberFormat="1" applyFont="1" applyBorder="1" applyAlignment="1">
      <alignment horizontal="centerContinuous"/>
    </xf>
    <xf numFmtId="187" fontId="17" fillId="0" borderId="0" xfId="16" applyNumberFormat="1" applyFont="1" applyFill="1" applyBorder="1" applyAlignment="1">
      <alignment horizontal="right"/>
    </xf>
    <xf numFmtId="171" fontId="17" fillId="2" borderId="0" xfId="3" applyNumberFormat="1" applyFont="1" applyFill="1" applyAlignment="1">
      <alignment horizontal="right"/>
    </xf>
    <xf numFmtId="174" fontId="26" fillId="0" borderId="1" xfId="12" applyNumberFormat="1" applyFont="1" applyBorder="1" applyAlignment="1">
      <alignment horizontal="right"/>
    </xf>
    <xf numFmtId="174" fontId="27" fillId="0" borderId="0" xfId="12" applyNumberFormat="1" applyFont="1" applyBorder="1" applyAlignment="1">
      <alignment horizontal="right"/>
    </xf>
    <xf numFmtId="174" fontId="4" fillId="0" borderId="1" xfId="12" applyNumberFormat="1" applyFont="1" applyBorder="1" applyAlignment="1">
      <alignment horizontal="right"/>
    </xf>
    <xf numFmtId="0" fontId="5" fillId="0" borderId="86" xfId="4" applyFont="1" applyBorder="1" applyAlignment="1">
      <alignment horizontal="center"/>
    </xf>
    <xf numFmtId="174" fontId="4" fillId="4" borderId="86" xfId="9" applyNumberFormat="1" applyFont="1" applyFill="1" applyBorder="1" applyAlignment="1">
      <alignment horizontal="right"/>
    </xf>
    <xf numFmtId="9" fontId="5" fillId="9" borderId="86" xfId="3" applyFont="1" applyFill="1" applyBorder="1" applyAlignment="1" applyProtection="1">
      <alignment horizontal="center" vertical="center"/>
      <protection locked="0"/>
    </xf>
    <xf numFmtId="0" fontId="5" fillId="9" borderId="86" xfId="4" applyFont="1" applyFill="1" applyBorder="1" applyAlignment="1">
      <alignment horizontal="center"/>
    </xf>
    <xf numFmtId="187" fontId="17" fillId="8" borderId="1" xfId="4" applyNumberFormat="1" applyFont="1" applyFill="1" applyBorder="1"/>
    <xf numFmtId="175" fontId="17" fillId="0" borderId="0" xfId="1" applyNumberFormat="1" applyFont="1" applyFill="1"/>
    <xf numFmtId="187" fontId="17" fillId="2" borderId="0" xfId="4" applyNumberFormat="1" applyFont="1" applyFill="1"/>
    <xf numFmtId="187" fontId="17" fillId="0" borderId="0" xfId="16" applyNumberFormat="1" applyFont="1" applyAlignment="1">
      <alignment horizontal="right"/>
    </xf>
    <xf numFmtId="0" fontId="38" fillId="0" borderId="0" xfId="4" applyFont="1" applyAlignment="1">
      <alignment horizontal="left"/>
    </xf>
    <xf numFmtId="0" fontId="32" fillId="0" borderId="0" xfId="23" applyFont="1"/>
    <xf numFmtId="0" fontId="32" fillId="0" borderId="0" xfId="23" applyFont="1" applyAlignment="1">
      <alignment horizontal="center"/>
    </xf>
    <xf numFmtId="0" fontId="32" fillId="0" borderId="75" xfId="23" applyFont="1" applyBorder="1"/>
    <xf numFmtId="0" fontId="38" fillId="33" borderId="76" xfId="4" applyFont="1" applyFill="1" applyBorder="1" applyAlignment="1">
      <alignment horizontal="centerContinuous"/>
    </xf>
    <xf numFmtId="0" fontId="19" fillId="33" borderId="76" xfId="4" applyFont="1" applyFill="1" applyBorder="1" applyAlignment="1">
      <alignment horizontal="centerContinuous"/>
    </xf>
    <xf numFmtId="0" fontId="32" fillId="0" borderId="77" xfId="23" applyFont="1" applyBorder="1"/>
    <xf numFmtId="0" fontId="32" fillId="0" borderId="74" xfId="23" applyFont="1" applyBorder="1"/>
    <xf numFmtId="0" fontId="32" fillId="0" borderId="0" xfId="23" quotePrefix="1" applyFont="1"/>
    <xf numFmtId="0" fontId="80" fillId="0" borderId="78" xfId="23" applyFont="1" applyBorder="1"/>
    <xf numFmtId="227" fontId="5" fillId="16" borderId="12" xfId="4" applyNumberFormat="1" applyFont="1" applyFill="1" applyBorder="1" applyAlignment="1">
      <alignment horizontal="center"/>
    </xf>
    <xf numFmtId="227" fontId="5" fillId="16" borderId="11" xfId="4" applyNumberFormat="1" applyFont="1" applyFill="1" applyBorder="1" applyAlignment="1">
      <alignment horizontal="center"/>
    </xf>
    <xf numFmtId="0" fontId="5" fillId="0" borderId="92" xfId="4" applyFont="1" applyBorder="1"/>
    <xf numFmtId="211" fontId="17" fillId="2" borderId="93" xfId="20" applyNumberFormat="1" applyFont="1" applyFill="1" applyBorder="1" applyAlignment="1">
      <alignment horizontal="center"/>
    </xf>
    <xf numFmtId="178" fontId="5" fillId="9" borderId="93" xfId="4" applyNumberFormat="1" applyFont="1" applyFill="1" applyBorder="1" applyAlignment="1">
      <alignment horizontal="center"/>
    </xf>
    <xf numFmtId="0" fontId="5" fillId="0" borderId="94" xfId="4" applyFont="1" applyBorder="1"/>
    <xf numFmtId="211" fontId="17" fillId="2" borderId="95" xfId="20" applyNumberFormat="1" applyFont="1" applyFill="1" applyBorder="1" applyAlignment="1">
      <alignment horizontal="center"/>
    </xf>
    <xf numFmtId="178" fontId="5" fillId="9" borderId="95" xfId="4" applyNumberFormat="1" applyFont="1" applyFill="1" applyBorder="1" applyAlignment="1">
      <alignment horizontal="center"/>
    </xf>
    <xf numFmtId="209" fontId="5" fillId="0" borderId="96" xfId="4" applyNumberFormat="1" applyFont="1" applyBorder="1" applyAlignment="1">
      <alignment horizontal="left"/>
    </xf>
    <xf numFmtId="211" fontId="17" fillId="2" borderId="97" xfId="20" applyNumberFormat="1" applyFont="1" applyFill="1" applyBorder="1" applyAlignment="1">
      <alignment horizontal="center"/>
    </xf>
    <xf numFmtId="178" fontId="5" fillId="9" borderId="97" xfId="4" applyNumberFormat="1" applyFont="1" applyFill="1" applyBorder="1" applyAlignment="1">
      <alignment horizontal="center"/>
    </xf>
    <xf numFmtId="0" fontId="32" fillId="0" borderId="78" xfId="23" applyFont="1" applyBorder="1"/>
    <xf numFmtId="0" fontId="5" fillId="4" borderId="98" xfId="4" applyFont="1" applyFill="1" applyBorder="1"/>
    <xf numFmtId="210" fontId="5" fillId="4" borderId="17" xfId="4" applyNumberFormat="1" applyFont="1" applyFill="1" applyBorder="1" applyAlignment="1">
      <alignment horizontal="center"/>
    </xf>
    <xf numFmtId="0" fontId="5" fillId="0" borderId="99" xfId="4" applyFont="1" applyBorder="1"/>
    <xf numFmtId="3" fontId="17" fillId="2" borderId="100" xfId="4" applyNumberFormat="1" applyFont="1" applyFill="1" applyBorder="1" applyAlignment="1">
      <alignment horizontal="center"/>
    </xf>
    <xf numFmtId="0" fontId="5" fillId="0" borderId="101" xfId="4" applyFont="1" applyBorder="1"/>
    <xf numFmtId="3" fontId="5" fillId="8" borderId="24" xfId="4" applyNumberFormat="1" applyFont="1" applyFill="1" applyBorder="1" applyAlignment="1">
      <alignment horizontal="center"/>
    </xf>
    <xf numFmtId="0" fontId="4" fillId="4" borderId="102" xfId="4" applyFont="1" applyFill="1" applyBorder="1"/>
    <xf numFmtId="228" fontId="4" fillId="4" borderId="103" xfId="4" applyNumberFormat="1" applyFont="1" applyFill="1" applyBorder="1" applyAlignment="1">
      <alignment horizontal="center"/>
    </xf>
    <xf numFmtId="209" fontId="5" fillId="0" borderId="99" xfId="20" applyFont="1" applyBorder="1" applyAlignment="1">
      <alignment horizontal="left" indent="1"/>
    </xf>
    <xf numFmtId="174" fontId="17" fillId="2" borderId="24" xfId="4" applyNumberFormat="1" applyFont="1" applyFill="1" applyBorder="1" applyAlignment="1">
      <alignment horizontal="center"/>
    </xf>
    <xf numFmtId="209" fontId="5" fillId="0" borderId="99" xfId="20" quotePrefix="1" applyFont="1" applyBorder="1" applyAlignment="1">
      <alignment horizontal="left" indent="1"/>
    </xf>
    <xf numFmtId="3" fontId="17" fillId="2" borderId="24" xfId="20" applyNumberFormat="1" applyFont="1" applyFill="1" applyBorder="1" applyAlignment="1">
      <alignment horizontal="center"/>
    </xf>
    <xf numFmtId="3" fontId="17" fillId="2" borderId="24" xfId="25" applyNumberFormat="1" applyFont="1" applyFill="1" applyBorder="1" applyAlignment="1">
      <alignment horizontal="center"/>
    </xf>
    <xf numFmtId="0" fontId="4" fillId="4" borderId="104" xfId="4" applyFont="1" applyFill="1" applyBorder="1"/>
    <xf numFmtId="0" fontId="4" fillId="0" borderId="104" xfId="4" applyFont="1" applyBorder="1"/>
    <xf numFmtId="0" fontId="4" fillId="8" borderId="105" xfId="4" applyFont="1" applyFill="1" applyBorder="1"/>
    <xf numFmtId="229" fontId="4" fillId="8" borderId="86" xfId="4" applyNumberFormat="1" applyFont="1" applyFill="1" applyBorder="1" applyAlignment="1">
      <alignment horizontal="center"/>
    </xf>
    <xf numFmtId="0" fontId="4" fillId="0" borderId="106" xfId="4" applyFont="1" applyBorder="1"/>
    <xf numFmtId="229" fontId="4" fillId="0" borderId="107" xfId="4" applyNumberFormat="1" applyFont="1" applyBorder="1" applyAlignment="1">
      <alignment horizontal="center"/>
    </xf>
    <xf numFmtId="0" fontId="32" fillId="0" borderId="108" xfId="23" applyFont="1" applyBorder="1"/>
    <xf numFmtId="0" fontId="8" fillId="0" borderId="0" xfId="23" applyFont="1"/>
    <xf numFmtId="0" fontId="5" fillId="0" borderId="74" xfId="4" applyFont="1" applyBorder="1" applyAlignment="1">
      <alignment horizontal="center"/>
    </xf>
    <xf numFmtId="187" fontId="17" fillId="2" borderId="93" xfId="27" applyNumberFormat="1" applyFont="1" applyFill="1" applyBorder="1" applyAlignment="1">
      <alignment horizontal="center"/>
    </xf>
    <xf numFmtId="187" fontId="17" fillId="0" borderId="0" xfId="27" applyNumberFormat="1" applyFont="1" applyAlignment="1">
      <alignment horizontal="center"/>
    </xf>
    <xf numFmtId="187" fontId="17" fillId="2" borderId="13" xfId="27" applyNumberFormat="1" applyFont="1" applyFill="1" applyBorder="1" applyAlignment="1">
      <alignment horizontal="center"/>
    </xf>
    <xf numFmtId="187" fontId="17" fillId="2" borderId="12" xfId="27" applyNumberFormat="1" applyFont="1" applyFill="1" applyBorder="1" applyAlignment="1">
      <alignment horizontal="center"/>
    </xf>
    <xf numFmtId="165" fontId="17" fillId="0" borderId="0" xfId="27" applyFont="1" applyAlignment="1">
      <alignment horizontal="center"/>
    </xf>
    <xf numFmtId="227" fontId="5" fillId="16" borderId="13" xfId="4" applyNumberFormat="1" applyFont="1" applyFill="1" applyBorder="1" applyAlignment="1">
      <alignment horizontal="center"/>
    </xf>
    <xf numFmtId="227" fontId="5" fillId="16" borderId="80" xfId="4" applyNumberFormat="1" applyFont="1" applyFill="1" applyBorder="1" applyAlignment="1">
      <alignment horizontal="center"/>
    </xf>
    <xf numFmtId="0" fontId="5" fillId="0" borderId="109" xfId="0" applyFont="1" applyBorder="1"/>
    <xf numFmtId="187" fontId="17" fillId="2" borderId="95" xfId="27" applyNumberFormat="1" applyFont="1" applyFill="1" applyBorder="1" applyAlignment="1">
      <alignment horizontal="center"/>
    </xf>
    <xf numFmtId="187" fontId="17" fillId="2" borderId="109" xfId="27" applyNumberFormat="1" applyFont="1" applyFill="1" applyBorder="1" applyAlignment="1">
      <alignment horizontal="center"/>
    </xf>
    <xf numFmtId="187" fontId="17" fillId="34" borderId="11" xfId="27" applyNumberFormat="1" applyFont="1" applyFill="1" applyBorder="1" applyAlignment="1">
      <alignment horizontal="center"/>
    </xf>
    <xf numFmtId="227" fontId="5" fillId="16" borderId="109" xfId="4" applyNumberFormat="1" applyFont="1" applyFill="1" applyBorder="1" applyAlignment="1">
      <alignment horizontal="center"/>
    </xf>
    <xf numFmtId="227" fontId="5" fillId="35" borderId="74" xfId="4" applyNumberFormat="1" applyFont="1" applyFill="1" applyBorder="1" applyAlignment="1">
      <alignment horizontal="center"/>
    </xf>
    <xf numFmtId="187" fontId="17" fillId="2" borderId="11" xfId="27" applyNumberFormat="1" applyFont="1" applyFill="1" applyBorder="1" applyAlignment="1">
      <alignment horizontal="center"/>
    </xf>
    <xf numFmtId="227" fontId="5" fillId="16" borderId="74" xfId="4" applyNumberFormat="1" applyFont="1" applyFill="1" applyBorder="1" applyAlignment="1">
      <alignment horizontal="center"/>
    </xf>
    <xf numFmtId="187" fontId="17" fillId="2" borderId="95" xfId="27" applyNumberFormat="1" applyFont="1" applyFill="1" applyBorder="1" applyAlignment="1">
      <alignment horizontal="right"/>
    </xf>
    <xf numFmtId="187" fontId="17" fillId="2" borderId="97" xfId="27" applyNumberFormat="1" applyFont="1" applyFill="1" applyBorder="1" applyAlignment="1">
      <alignment horizontal="center"/>
    </xf>
    <xf numFmtId="187" fontId="17" fillId="2" borderId="10" xfId="27" applyNumberFormat="1" applyFont="1" applyFill="1" applyBorder="1" applyAlignment="1">
      <alignment horizontal="center"/>
    </xf>
    <xf numFmtId="187" fontId="17" fillId="2" borderId="8" xfId="27" applyNumberFormat="1" applyFont="1" applyFill="1" applyBorder="1" applyAlignment="1">
      <alignment horizontal="center"/>
    </xf>
    <xf numFmtId="227" fontId="5" fillId="16" borderId="10" xfId="4" applyNumberFormat="1" applyFont="1" applyFill="1" applyBorder="1" applyAlignment="1">
      <alignment horizontal="center"/>
    </xf>
    <xf numFmtId="227" fontId="5" fillId="16" borderId="110" xfId="4" applyNumberFormat="1" applyFont="1" applyFill="1" applyBorder="1" applyAlignment="1">
      <alignment horizontal="center"/>
    </xf>
    <xf numFmtId="209" fontId="5" fillId="0" borderId="0" xfId="4" applyNumberFormat="1" applyFont="1" applyAlignment="1">
      <alignment horizontal="left"/>
    </xf>
    <xf numFmtId="209" fontId="5" fillId="0" borderId="0" xfId="4" applyNumberFormat="1" applyFont="1" applyAlignment="1">
      <alignment horizontal="center"/>
    </xf>
    <xf numFmtId="187" fontId="32" fillId="0" borderId="0" xfId="27" applyNumberFormat="1" applyFont="1" applyAlignment="1">
      <alignment horizontal="center"/>
    </xf>
    <xf numFmtId="187" fontId="5" fillId="0" borderId="0" xfId="27" applyNumberFormat="1" applyFont="1" applyAlignment="1">
      <alignment horizontal="center"/>
    </xf>
    <xf numFmtId="165" fontId="5" fillId="0" borderId="0" xfId="27" applyFont="1" applyAlignment="1">
      <alignment horizontal="center"/>
    </xf>
    <xf numFmtId="227" fontId="5" fillId="0" borderId="0" xfId="4" applyNumberFormat="1" applyFont="1" applyAlignment="1">
      <alignment horizontal="center"/>
    </xf>
    <xf numFmtId="227" fontId="5" fillId="0" borderId="74" xfId="4" applyNumberFormat="1" applyFont="1" applyBorder="1" applyAlignment="1">
      <alignment horizontal="center"/>
    </xf>
    <xf numFmtId="0" fontId="4" fillId="36" borderId="111" xfId="4" applyFont="1" applyFill="1" applyBorder="1"/>
    <xf numFmtId="0" fontId="4" fillId="36" borderId="3" xfId="4" applyFont="1" applyFill="1" applyBorder="1"/>
    <xf numFmtId="0" fontId="8" fillId="36" borderId="3" xfId="23" applyFont="1" applyFill="1" applyBorder="1"/>
    <xf numFmtId="209" fontId="5" fillId="36" borderId="3" xfId="4" applyNumberFormat="1" applyFont="1" applyFill="1" applyBorder="1" applyAlignment="1">
      <alignment horizontal="left"/>
    </xf>
    <xf numFmtId="209" fontId="5" fillId="36" borderId="3" xfId="4" applyNumberFormat="1" applyFont="1" applyFill="1" applyBorder="1" applyAlignment="1">
      <alignment horizontal="center"/>
    </xf>
    <xf numFmtId="187" fontId="4" fillId="36" borderId="3" xfId="4" applyNumberFormat="1" applyFont="1" applyFill="1" applyBorder="1"/>
    <xf numFmtId="165" fontId="51" fillId="36" borderId="3" xfId="27" applyFont="1" applyFill="1" applyBorder="1" applyAlignment="1">
      <alignment horizontal="center"/>
    </xf>
    <xf numFmtId="227" fontId="4" fillId="16" borderId="3" xfId="4" applyNumberFormat="1" applyFont="1" applyFill="1" applyBorder="1" applyAlignment="1">
      <alignment horizontal="center"/>
    </xf>
    <xf numFmtId="227" fontId="4" fillId="16" borderId="112" xfId="4" applyNumberFormat="1" applyFont="1" applyFill="1" applyBorder="1" applyAlignment="1">
      <alignment horizontal="center"/>
    </xf>
    <xf numFmtId="0" fontId="66" fillId="0" borderId="0" xfId="26" applyFont="1" applyAlignment="1" applyProtection="1"/>
    <xf numFmtId="170" fontId="32" fillId="0" borderId="0" xfId="23" applyNumberFormat="1" applyFont="1"/>
    <xf numFmtId="187" fontId="5" fillId="16" borderId="0" xfId="16" applyNumberFormat="1" applyFont="1" applyFill="1" applyBorder="1"/>
    <xf numFmtId="187" fontId="5" fillId="0" borderId="1" xfId="16" applyNumberFormat="1" applyFont="1" applyFill="1" applyBorder="1" applyAlignment="1">
      <alignment horizontal="right"/>
    </xf>
    <xf numFmtId="4" fontId="5" fillId="0" borderId="0" xfId="4" applyNumberFormat="1" applyFont="1" applyAlignment="1">
      <alignment horizontal="right"/>
    </xf>
    <xf numFmtId="0" fontId="3" fillId="0" borderId="4" xfId="4" applyFont="1" applyBorder="1" applyAlignment="1">
      <alignment vertical="center"/>
    </xf>
    <xf numFmtId="174" fontId="3" fillId="0" borderId="3" xfId="11" applyNumberFormat="1" applyFont="1" applyBorder="1" applyAlignment="1">
      <alignment horizontal="right" vertical="center"/>
    </xf>
    <xf numFmtId="174" fontId="3" fillId="0" borderId="2" xfId="11" applyNumberFormat="1" applyFont="1" applyBorder="1" applyAlignment="1">
      <alignment horizontal="right" vertical="center"/>
    </xf>
    <xf numFmtId="230" fontId="13" fillId="2" borderId="0" xfId="4" applyNumberFormat="1" applyFont="1" applyFill="1" applyAlignment="1" applyProtection="1">
      <alignment horizontal="right"/>
      <protection locked="0"/>
    </xf>
    <xf numFmtId="0" fontId="88" fillId="32" borderId="0" xfId="4" applyFont="1" applyFill="1"/>
    <xf numFmtId="0" fontId="89" fillId="32" borderId="0" xfId="30" applyFont="1" applyFill="1"/>
    <xf numFmtId="0" fontId="89" fillId="32" borderId="0" xfId="30" applyFont="1" applyFill="1" applyAlignment="1">
      <alignment horizontal="left"/>
    </xf>
    <xf numFmtId="0" fontId="64" fillId="32" borderId="49" xfId="4" applyFont="1" applyFill="1" applyBorder="1" applyAlignment="1">
      <alignment horizontal="center"/>
    </xf>
    <xf numFmtId="0" fontId="64" fillId="32" borderId="48" xfId="4" applyFont="1" applyFill="1" applyBorder="1" applyAlignment="1">
      <alignment horizontal="center"/>
    </xf>
    <xf numFmtId="0" fontId="62" fillId="32" borderId="48" xfId="4" applyFont="1" applyFill="1" applyBorder="1" applyAlignment="1">
      <alignment horizontal="center"/>
    </xf>
    <xf numFmtId="0" fontId="62" fillId="32" borderId="48" xfId="4" applyFont="1" applyFill="1" applyBorder="1" applyAlignment="1">
      <alignment horizontal="centerContinuous"/>
    </xf>
    <xf numFmtId="0" fontId="62" fillId="32" borderId="47" xfId="4" applyFont="1" applyFill="1" applyBorder="1" applyAlignment="1">
      <alignment horizontal="centerContinuous"/>
    </xf>
    <xf numFmtId="0" fontId="62" fillId="32" borderId="44" xfId="4" applyFont="1" applyFill="1" applyBorder="1" applyAlignment="1">
      <alignment horizontal="center"/>
    </xf>
    <xf numFmtId="0" fontId="62" fillId="32" borderId="0" xfId="4" applyFont="1" applyFill="1" applyAlignment="1">
      <alignment horizontal="center"/>
    </xf>
    <xf numFmtId="0" fontId="62" fillId="32" borderId="42" xfId="4" applyFont="1" applyFill="1" applyBorder="1" applyAlignment="1">
      <alignment horizontal="center"/>
    </xf>
    <xf numFmtId="0" fontId="62" fillId="32" borderId="47" xfId="4" applyFont="1" applyFill="1" applyBorder="1" applyAlignment="1">
      <alignment horizontal="left"/>
    </xf>
    <xf numFmtId="0" fontId="64" fillId="32" borderId="75" xfId="4" applyFont="1" applyFill="1" applyBorder="1" applyAlignment="1">
      <alignment horizontal="center"/>
    </xf>
    <xf numFmtId="0" fontId="64" fillId="32" borderId="76" xfId="4" applyFont="1" applyFill="1" applyBorder="1" applyAlignment="1">
      <alignment horizontal="center"/>
    </xf>
    <xf numFmtId="0" fontId="63" fillId="32" borderId="76" xfId="4" applyFont="1" applyFill="1" applyBorder="1" applyAlignment="1">
      <alignment horizontal="center"/>
    </xf>
    <xf numFmtId="0" fontId="63" fillId="32" borderId="76" xfId="4" applyFont="1" applyFill="1" applyBorder="1" applyAlignment="1">
      <alignment horizontal="centerContinuous"/>
    </xf>
    <xf numFmtId="0" fontId="62" fillId="32" borderId="76" xfId="4" applyFont="1" applyFill="1" applyBorder="1" applyAlignment="1">
      <alignment horizontal="centerContinuous"/>
    </xf>
    <xf numFmtId="174" fontId="63" fillId="32" borderId="77" xfId="4" applyNumberFormat="1" applyFont="1" applyFill="1" applyBorder="1" applyAlignment="1">
      <alignment horizontal="centerContinuous"/>
    </xf>
    <xf numFmtId="0" fontId="62" fillId="32" borderId="78" xfId="4" applyFont="1" applyFill="1" applyBorder="1" applyAlignment="1">
      <alignment horizontal="center"/>
    </xf>
    <xf numFmtId="0" fontId="63" fillId="32" borderId="0" xfId="4" applyFont="1" applyFill="1" applyAlignment="1">
      <alignment horizontal="center"/>
    </xf>
    <xf numFmtId="174" fontId="63" fillId="32" borderId="74" xfId="4" applyNumberFormat="1" applyFont="1" applyFill="1" applyBorder="1" applyAlignment="1">
      <alignment horizontal="center"/>
    </xf>
    <xf numFmtId="0" fontId="64" fillId="32" borderId="67" xfId="4" applyFont="1" applyFill="1" applyBorder="1" applyAlignment="1">
      <alignment horizontal="center"/>
    </xf>
    <xf numFmtId="0" fontId="62" fillId="32" borderId="68" xfId="4" applyFont="1" applyFill="1" applyBorder="1" applyAlignment="1">
      <alignment horizontal="center"/>
    </xf>
    <xf numFmtId="0" fontId="64" fillId="32" borderId="47" xfId="4" applyFont="1" applyFill="1" applyBorder="1" applyAlignment="1">
      <alignment horizontal="center"/>
    </xf>
    <xf numFmtId="0" fontId="62" fillId="32" borderId="43" xfId="4" applyFont="1" applyFill="1" applyBorder="1" applyAlignment="1">
      <alignment horizontal="center"/>
    </xf>
    <xf numFmtId="0" fontId="62" fillId="32" borderId="40" xfId="4" applyFont="1" applyFill="1" applyBorder="1" applyAlignment="1">
      <alignment horizontal="center"/>
    </xf>
    <xf numFmtId="0" fontId="62" fillId="32" borderId="49" xfId="4" applyFont="1" applyFill="1" applyBorder="1" applyAlignment="1">
      <alignment horizontal="center"/>
    </xf>
    <xf numFmtId="0" fontId="62" fillId="32" borderId="47" xfId="4" applyFont="1" applyFill="1" applyBorder="1" applyAlignment="1">
      <alignment horizontal="center"/>
    </xf>
    <xf numFmtId="0" fontId="62" fillId="32" borderId="41" xfId="4" applyFont="1" applyFill="1" applyBorder="1" applyAlignment="1">
      <alignment horizontal="center"/>
    </xf>
    <xf numFmtId="0" fontId="62" fillId="32" borderId="67" xfId="4" applyFont="1" applyFill="1" applyBorder="1" applyAlignment="1">
      <alignment horizontal="center"/>
    </xf>
    <xf numFmtId="0" fontId="63" fillId="32" borderId="78" xfId="4" applyFont="1" applyFill="1" applyBorder="1" applyAlignment="1">
      <alignment horizontal="center"/>
    </xf>
    <xf numFmtId="0" fontId="38" fillId="32" borderId="0" xfId="4" applyFont="1" applyFill="1" applyAlignment="1">
      <alignment horizontal="center"/>
    </xf>
    <xf numFmtId="0" fontId="34" fillId="32" borderId="0" xfId="23" applyFont="1" applyFill="1"/>
    <xf numFmtId="2" fontId="38" fillId="32" borderId="74" xfId="4" applyNumberFormat="1" applyFont="1" applyFill="1" applyBorder="1"/>
    <xf numFmtId="2" fontId="38" fillId="32" borderId="0" xfId="4" applyNumberFormat="1" applyFont="1" applyFill="1"/>
    <xf numFmtId="0" fontId="63" fillId="32" borderId="74" xfId="4" applyFont="1" applyFill="1" applyBorder="1" applyAlignment="1">
      <alignment horizontal="center"/>
    </xf>
    <xf numFmtId="0" fontId="63" fillId="32" borderId="78" xfId="4" applyFont="1" applyFill="1" applyBorder="1" applyAlignment="1">
      <alignment horizontal="centerContinuous"/>
    </xf>
    <xf numFmtId="0" fontId="63" fillId="32" borderId="0" xfId="4" applyFont="1" applyFill="1" applyAlignment="1">
      <alignment horizontal="centerContinuous"/>
    </xf>
    <xf numFmtId="0" fontId="38" fillId="32" borderId="0" xfId="4" applyFont="1" applyFill="1" applyAlignment="1">
      <alignment horizontal="centerContinuous"/>
    </xf>
    <xf numFmtId="0" fontId="112" fillId="32" borderId="0" xfId="23" applyFont="1" applyFill="1"/>
    <xf numFmtId="0" fontId="114" fillId="7" borderId="0" xfId="4" applyFont="1" applyFill="1"/>
    <xf numFmtId="0" fontId="115" fillId="7" borderId="0" xfId="4" applyFont="1" applyFill="1"/>
    <xf numFmtId="0" fontId="116" fillId="7" borderId="0" xfId="4" applyFont="1" applyFill="1"/>
    <xf numFmtId="182" fontId="115" fillId="7" borderId="0" xfId="4" applyNumberFormat="1" applyFont="1" applyFill="1" applyAlignment="1">
      <alignment horizontal="center"/>
    </xf>
    <xf numFmtId="0" fontId="117" fillId="0" borderId="1" xfId="4" applyFont="1" applyBorder="1"/>
    <xf numFmtId="0" fontId="116" fillId="0" borderId="1" xfId="4" applyFont="1" applyBorder="1"/>
    <xf numFmtId="182" fontId="115" fillId="9" borderId="1" xfId="4" applyNumberFormat="1" applyFont="1" applyFill="1" applyBorder="1" applyAlignment="1">
      <alignment horizontal="center"/>
    </xf>
    <xf numFmtId="0" fontId="117" fillId="7" borderId="0" xfId="4" applyFont="1" applyFill="1"/>
    <xf numFmtId="0" fontId="116" fillId="0" borderId="0" xfId="4" applyFont="1"/>
    <xf numFmtId="0" fontId="117" fillId="0" borderId="0" xfId="4" applyFont="1"/>
    <xf numFmtId="4" fontId="118" fillId="0" borderId="0" xfId="11" applyNumberFormat="1" applyFont="1"/>
    <xf numFmtId="182" fontId="115" fillId="0" borderId="0" xfId="4" applyNumberFormat="1" applyFont="1" applyAlignment="1">
      <alignment horizontal="center"/>
    </xf>
    <xf numFmtId="0" fontId="114" fillId="32" borderId="0" xfId="4" applyFont="1" applyFill="1"/>
    <xf numFmtId="0" fontId="116" fillId="32" borderId="0" xfId="4" applyFont="1" applyFill="1"/>
    <xf numFmtId="0" fontId="116" fillId="4" borderId="0" xfId="4" applyFont="1" applyFill="1"/>
    <xf numFmtId="0" fontId="118" fillId="2" borderId="0" xfId="4" applyFont="1" applyFill="1"/>
    <xf numFmtId="0" fontId="119" fillId="0" borderId="73" xfId="4" applyFont="1" applyBorder="1" applyAlignment="1">
      <alignment horizontal="centerContinuous"/>
    </xf>
    <xf numFmtId="0" fontId="116" fillId="0" borderId="73" xfId="4" applyFont="1" applyBorder="1" applyAlignment="1">
      <alignment horizontal="centerContinuous"/>
    </xf>
    <xf numFmtId="0" fontId="116" fillId="0" borderId="7" xfId="4" applyFont="1" applyBorder="1"/>
    <xf numFmtId="0" fontId="119" fillId="0" borderId="7" xfId="4" applyFont="1" applyBorder="1"/>
    <xf numFmtId="1" fontId="119" fillId="0" borderId="7" xfId="4" applyNumberFormat="1" applyFont="1" applyBorder="1"/>
    <xf numFmtId="0" fontId="119" fillId="0" borderId="0" xfId="4" applyFont="1"/>
    <xf numFmtId="0" fontId="115" fillId="4" borderId="0" xfId="4" applyFont="1" applyFill="1"/>
    <xf numFmtId="0" fontId="116" fillId="0" borderId="0" xfId="4" applyFont="1" applyAlignment="1">
      <alignment horizontal="left"/>
    </xf>
    <xf numFmtId="15" fontId="120" fillId="9" borderId="0" xfId="4" applyNumberFormat="1" applyFont="1" applyFill="1"/>
    <xf numFmtId="1" fontId="120" fillId="9" borderId="0" xfId="4" applyNumberFormat="1" applyFont="1" applyFill="1"/>
    <xf numFmtId="1" fontId="116" fillId="9" borderId="0" xfId="4" applyNumberFormat="1" applyFont="1" applyFill="1"/>
    <xf numFmtId="0" fontId="116" fillId="0" borderId="1" xfId="4" applyFont="1" applyBorder="1" applyAlignment="1">
      <alignment horizontal="left"/>
    </xf>
    <xf numFmtId="15" fontId="120" fillId="9" borderId="1" xfId="4" applyNumberFormat="1" applyFont="1" applyFill="1" applyBorder="1"/>
    <xf numFmtId="15" fontId="116" fillId="9" borderId="0" xfId="4" applyNumberFormat="1" applyFont="1" applyFill="1"/>
    <xf numFmtId="0" fontId="116" fillId="9" borderId="1" xfId="4" applyFont="1" applyFill="1" applyBorder="1"/>
    <xf numFmtId="0" fontId="116" fillId="9" borderId="0" xfId="4" applyFont="1" applyFill="1"/>
    <xf numFmtId="0" fontId="118" fillId="9" borderId="0" xfId="4" applyFont="1" applyFill="1"/>
    <xf numFmtId="0" fontId="121" fillId="0" borderId="0" xfId="0" applyFont="1"/>
    <xf numFmtId="181" fontId="116" fillId="0" borderId="0" xfId="4" applyNumberFormat="1" applyFont="1" applyAlignment="1">
      <alignment horizontal="right"/>
    </xf>
    <xf numFmtId="171" fontId="116" fillId="0" borderId="0" xfId="3" applyNumberFormat="1" applyFont="1" applyFill="1" applyBorder="1"/>
    <xf numFmtId="2" fontId="116" fillId="0" borderId="0" xfId="4" applyNumberFormat="1" applyFont="1"/>
    <xf numFmtId="0" fontId="116" fillId="0" borderId="0" xfId="4" quotePrefix="1" applyFont="1"/>
    <xf numFmtId="0" fontId="119" fillId="0" borderId="0" xfId="4" applyFont="1" applyAlignment="1">
      <alignment horizontal="left"/>
    </xf>
    <xf numFmtId="1" fontId="116" fillId="0" borderId="0" xfId="4" applyNumberFormat="1" applyFont="1"/>
    <xf numFmtId="180" fontId="116" fillId="0" borderId="13" xfId="4" applyNumberFormat="1" applyFont="1" applyBorder="1"/>
    <xf numFmtId="0" fontId="116" fillId="0" borderId="6" xfId="4" applyFont="1" applyBorder="1"/>
    <xf numFmtId="180" fontId="116" fillId="0" borderId="6" xfId="4" applyNumberFormat="1" applyFont="1" applyBorder="1"/>
    <xf numFmtId="180" fontId="116" fillId="10" borderId="6" xfId="4" applyNumberFormat="1" applyFont="1" applyFill="1" applyBorder="1"/>
    <xf numFmtId="180" fontId="116" fillId="10" borderId="12" xfId="4" applyNumberFormat="1" applyFont="1" applyFill="1" applyBorder="1"/>
    <xf numFmtId="180" fontId="116" fillId="0" borderId="10" xfId="4" applyNumberFormat="1" applyFont="1" applyBorder="1"/>
    <xf numFmtId="0" fontId="116" fillId="0" borderId="9" xfId="4" applyFont="1" applyBorder="1"/>
    <xf numFmtId="180" fontId="116" fillId="0" borderId="9" xfId="4" applyNumberFormat="1" applyFont="1" applyBorder="1"/>
    <xf numFmtId="180" fontId="116" fillId="10" borderId="9" xfId="4" applyNumberFormat="1" applyFont="1" applyFill="1" applyBorder="1"/>
    <xf numFmtId="180" fontId="116" fillId="10" borderId="8" xfId="4" applyNumberFormat="1" applyFont="1" applyFill="1" applyBorder="1"/>
    <xf numFmtId="0" fontId="122" fillId="0" borderId="0" xfId="4" applyFont="1" applyAlignment="1">
      <alignment horizontal="left"/>
    </xf>
    <xf numFmtId="0" fontId="122" fillId="0" borderId="0" xfId="4" applyFont="1" applyAlignment="1">
      <alignment horizontal="center"/>
    </xf>
    <xf numFmtId="171" fontId="116" fillId="8" borderId="0" xfId="3" applyNumberFormat="1" applyFont="1" applyFill="1" applyBorder="1"/>
    <xf numFmtId="0" fontId="123" fillId="0" borderId="0" xfId="4" applyFont="1" applyAlignment="1">
      <alignment horizontal="left"/>
    </xf>
    <xf numFmtId="233" fontId="116" fillId="8" borderId="0" xfId="3" applyNumberFormat="1" applyFont="1" applyFill="1" applyBorder="1"/>
    <xf numFmtId="0" fontId="119" fillId="0" borderId="15" xfId="4" applyFont="1" applyBorder="1" applyAlignment="1">
      <alignment horizontal="left"/>
    </xf>
    <xf numFmtId="0" fontId="124" fillId="2" borderId="17" xfId="4" applyFont="1" applyFill="1" applyBorder="1" applyAlignment="1">
      <alignment horizontal="center"/>
    </xf>
    <xf numFmtId="231" fontId="118" fillId="37" borderId="1" xfId="0" applyNumberFormat="1" applyFont="1" applyFill="1" applyBorder="1" applyAlignment="1">
      <alignment horizontal="right"/>
    </xf>
    <xf numFmtId="232" fontId="116" fillId="4" borderId="1" xfId="4" applyNumberFormat="1" applyFont="1" applyFill="1" applyBorder="1"/>
    <xf numFmtId="232" fontId="116" fillId="4" borderId="14" xfId="4" applyNumberFormat="1" applyFont="1" applyFill="1" applyBorder="1"/>
    <xf numFmtId="0" fontId="118" fillId="0" borderId="15" xfId="4" applyFont="1" applyBorder="1" applyAlignment="1">
      <alignment horizontal="left"/>
    </xf>
    <xf numFmtId="0" fontId="116" fillId="0" borderId="15" xfId="4" applyFont="1" applyBorder="1"/>
    <xf numFmtId="0" fontId="116" fillId="0" borderId="17" xfId="4" applyFont="1" applyBorder="1" applyAlignment="1">
      <alignment horizontal="center"/>
    </xf>
    <xf numFmtId="231" fontId="118" fillId="2" borderId="1" xfId="4" applyNumberFormat="1" applyFont="1" applyFill="1" applyBorder="1"/>
    <xf numFmtId="231" fontId="118" fillId="2" borderId="14" xfId="4" applyNumberFormat="1" applyFont="1" applyFill="1" applyBorder="1"/>
    <xf numFmtId="0" fontId="118" fillId="0" borderId="39" xfId="4" applyFont="1" applyBorder="1" applyAlignment="1">
      <alignment horizontal="left"/>
    </xf>
    <xf numFmtId="0" fontId="116" fillId="0" borderId="39" xfId="4" applyFont="1" applyBorder="1"/>
    <xf numFmtId="0" fontId="116" fillId="0" borderId="24" xfId="4" applyFont="1" applyBorder="1" applyAlignment="1">
      <alignment horizontal="center"/>
    </xf>
    <xf numFmtId="231" fontId="118" fillId="37" borderId="0" xfId="0" applyNumberFormat="1" applyFont="1" applyFill="1" applyAlignment="1">
      <alignment horizontal="right"/>
    </xf>
    <xf numFmtId="231" fontId="118" fillId="2" borderId="0" xfId="4" applyNumberFormat="1" applyFont="1" applyFill="1"/>
    <xf numFmtId="0" fontId="118" fillId="0" borderId="87" xfId="4" applyFont="1" applyBorder="1" applyAlignment="1">
      <alignment horizontal="left"/>
    </xf>
    <xf numFmtId="0" fontId="116" fillId="0" borderId="87" xfId="4" applyFont="1" applyBorder="1"/>
    <xf numFmtId="0" fontId="116" fillId="0" borderId="86" xfId="4" applyFont="1" applyBorder="1" applyAlignment="1">
      <alignment horizontal="center"/>
    </xf>
    <xf numFmtId="231" fontId="118" fillId="37" borderId="73" xfId="0" applyNumberFormat="1" applyFont="1" applyFill="1" applyBorder="1" applyAlignment="1">
      <alignment horizontal="right"/>
    </xf>
    <xf numFmtId="231" fontId="118" fillId="2" borderId="73" xfId="4" applyNumberFormat="1" applyFont="1" applyFill="1" applyBorder="1"/>
    <xf numFmtId="231" fontId="116" fillId="4" borderId="1" xfId="4" applyNumberFormat="1" applyFont="1" applyFill="1" applyBorder="1"/>
    <xf numFmtId="0" fontId="116" fillId="0" borderId="14" xfId="4" applyFont="1" applyBorder="1"/>
    <xf numFmtId="0" fontId="116" fillId="0" borderId="38" xfId="4" applyFont="1" applyBorder="1"/>
    <xf numFmtId="0" fontId="116" fillId="0" borderId="88" xfId="4" applyFont="1" applyBorder="1"/>
    <xf numFmtId="174" fontId="118" fillId="0" borderId="1" xfId="4" applyNumberFormat="1" applyFont="1" applyBorder="1"/>
    <xf numFmtId="181" fontId="116" fillId="4" borderId="3" xfId="4" applyNumberFormat="1" applyFont="1" applyFill="1" applyBorder="1"/>
    <xf numFmtId="10" fontId="118" fillId="37" borderId="113" xfId="0" applyNumberFormat="1" applyFont="1" applyFill="1" applyBorder="1" applyAlignment="1">
      <alignment horizontal="right"/>
    </xf>
    <xf numFmtId="181" fontId="118" fillId="2" borderId="1" xfId="4" applyNumberFormat="1" applyFont="1" applyFill="1" applyBorder="1"/>
    <xf numFmtId="10" fontId="118" fillId="37" borderId="0" xfId="0" applyNumberFormat="1" applyFont="1" applyFill="1" applyAlignment="1">
      <alignment horizontal="right"/>
    </xf>
    <xf numFmtId="181" fontId="118" fillId="2" borderId="0" xfId="4" applyNumberFormat="1" applyFont="1" applyFill="1"/>
    <xf numFmtId="10" fontId="118" fillId="37" borderId="114" xfId="0" applyNumberFormat="1" applyFont="1" applyFill="1" applyBorder="1" applyAlignment="1">
      <alignment horizontal="right"/>
    </xf>
    <xf numFmtId="181" fontId="118" fillId="2" borderId="73" xfId="4" applyNumberFormat="1" applyFont="1" applyFill="1" applyBorder="1"/>
    <xf numFmtId="171" fontId="116" fillId="8" borderId="0" xfId="3" applyNumberFormat="1" applyFont="1" applyFill="1"/>
    <xf numFmtId="0" fontId="119" fillId="0" borderId="4" xfId="4" applyFont="1" applyBorder="1" applyAlignment="1">
      <alignment horizontal="left"/>
    </xf>
    <xf numFmtId="0" fontId="116" fillId="0" borderId="3" xfId="4" applyFont="1" applyBorder="1"/>
    <xf numFmtId="0" fontId="124" fillId="2" borderId="16" xfId="4" applyFont="1" applyFill="1" applyBorder="1" applyAlignment="1">
      <alignment horizontal="center"/>
    </xf>
    <xf numFmtId="174" fontId="118" fillId="0" borderId="3" xfId="4" applyNumberFormat="1" applyFont="1" applyBorder="1"/>
    <xf numFmtId="10" fontId="118" fillId="2" borderId="0" xfId="4" applyNumberFormat="1" applyFont="1" applyFill="1"/>
    <xf numFmtId="10" fontId="118" fillId="37" borderId="73" xfId="0" applyNumberFormat="1" applyFont="1" applyFill="1" applyBorder="1" applyAlignment="1">
      <alignment horizontal="right"/>
    </xf>
    <xf numFmtId="10" fontId="118" fillId="2" borderId="73" xfId="4" applyNumberFormat="1" applyFont="1" applyFill="1" applyBorder="1"/>
    <xf numFmtId="0" fontId="118" fillId="0" borderId="0" xfId="4" applyFont="1" applyAlignment="1">
      <alignment horizontal="left"/>
    </xf>
    <xf numFmtId="0" fontId="116" fillId="0" borderId="0" xfId="4" applyFont="1" applyAlignment="1">
      <alignment horizontal="center"/>
    </xf>
    <xf numFmtId="10" fontId="118" fillId="0" borderId="0" xfId="4" applyNumberFormat="1" applyFont="1"/>
    <xf numFmtId="0" fontId="125" fillId="0" borderId="0" xfId="4" applyFont="1" applyAlignment="1">
      <alignment horizontal="left"/>
    </xf>
    <xf numFmtId="0" fontId="119" fillId="0" borderId="7" xfId="4" applyFont="1" applyBorder="1" applyAlignment="1">
      <alignment horizontal="left"/>
    </xf>
    <xf numFmtId="1" fontId="126" fillId="0" borderId="7" xfId="4" applyNumberFormat="1" applyFont="1" applyBorder="1"/>
    <xf numFmtId="174" fontId="116" fillId="0" borderId="7" xfId="4" applyNumberFormat="1" applyFont="1" applyBorder="1"/>
    <xf numFmtId="1" fontId="126" fillId="0" borderId="0" xfId="4" applyNumberFormat="1" applyFont="1"/>
    <xf numFmtId="174" fontId="116" fillId="0" borderId="0" xfId="4" applyNumberFormat="1" applyFont="1"/>
    <xf numFmtId="3" fontId="118" fillId="37" borderId="0" xfId="0" applyNumberFormat="1" applyFont="1" applyFill="1" applyAlignment="1">
      <alignment horizontal="right"/>
    </xf>
    <xf numFmtId="3" fontId="118" fillId="37" borderId="115" xfId="0" applyNumberFormat="1" applyFont="1" applyFill="1" applyBorder="1" applyAlignment="1">
      <alignment horizontal="right"/>
    </xf>
    <xf numFmtId="174" fontId="116" fillId="4" borderId="89" xfId="16" applyNumberFormat="1" applyFont="1" applyFill="1" applyBorder="1" applyAlignment="1">
      <alignment horizontal="right"/>
    </xf>
    <xf numFmtId="181" fontId="116" fillId="0" borderId="0" xfId="3" applyNumberFormat="1" applyFont="1" applyFill="1" applyBorder="1" applyAlignment="1">
      <alignment horizontal="right"/>
    </xf>
    <xf numFmtId="181" fontId="125" fillId="4" borderId="0" xfId="4" applyNumberFormat="1" applyFont="1" applyFill="1"/>
    <xf numFmtId="231" fontId="118" fillId="0" borderId="0" xfId="16" applyNumberFormat="1" applyFont="1" applyFill="1" applyBorder="1" applyAlignment="1">
      <alignment horizontal="right"/>
    </xf>
    <xf numFmtId="231" fontId="125" fillId="4" borderId="89" xfId="4" applyNumberFormat="1" applyFont="1" applyFill="1" applyBorder="1"/>
    <xf numFmtId="181" fontId="118" fillId="0" borderId="0" xfId="3" applyNumberFormat="1" applyFont="1" applyFill="1" applyBorder="1" applyAlignment="1">
      <alignment horizontal="right"/>
    </xf>
    <xf numFmtId="10" fontId="118" fillId="0" borderId="0" xfId="16" applyNumberFormat="1" applyFont="1" applyFill="1" applyBorder="1" applyAlignment="1">
      <alignment horizontal="right"/>
    </xf>
    <xf numFmtId="10" fontId="116" fillId="4" borderId="0" xfId="16" applyNumberFormat="1" applyFont="1" applyFill="1" applyBorder="1" applyAlignment="1">
      <alignment horizontal="right"/>
    </xf>
    <xf numFmtId="1" fontId="126" fillId="0" borderId="1" xfId="4" applyNumberFormat="1" applyFont="1" applyBorder="1"/>
    <xf numFmtId="174" fontId="118" fillId="0" borderId="1" xfId="16" applyNumberFormat="1" applyFont="1" applyFill="1" applyBorder="1" applyAlignment="1">
      <alignment horizontal="right"/>
    </xf>
    <xf numFmtId="174" fontId="116" fillId="0" borderId="1" xfId="16" applyNumberFormat="1" applyFont="1" applyFill="1" applyBorder="1" applyAlignment="1">
      <alignment horizontal="right"/>
    </xf>
    <xf numFmtId="174" fontId="118" fillId="0" borderId="0" xfId="16" applyNumberFormat="1" applyFont="1" applyFill="1" applyBorder="1" applyAlignment="1">
      <alignment horizontal="right"/>
    </xf>
    <xf numFmtId="174" fontId="116" fillId="0" borderId="0" xfId="16" applyNumberFormat="1" applyFont="1" applyFill="1" applyBorder="1" applyAlignment="1">
      <alignment horizontal="right"/>
    </xf>
    <xf numFmtId="181" fontId="127" fillId="0" borderId="0" xfId="4" applyNumberFormat="1" applyFont="1"/>
    <xf numFmtId="179" fontId="128" fillId="0" borderId="0" xfId="4" applyNumberFormat="1" applyFont="1"/>
    <xf numFmtId="174" fontId="118" fillId="0" borderId="1" xfId="16" applyNumberFormat="1" applyFont="1" applyBorder="1" applyAlignment="1">
      <alignment horizontal="right"/>
    </xf>
    <xf numFmtId="0" fontId="119" fillId="0" borderId="1" xfId="4" applyFont="1" applyBorder="1" applyAlignment="1">
      <alignment horizontal="left"/>
    </xf>
    <xf numFmtId="0" fontId="119" fillId="0" borderId="1" xfId="4" applyFont="1" applyBorder="1"/>
    <xf numFmtId="174" fontId="119" fillId="0" borderId="1" xfId="16" applyNumberFormat="1" applyFont="1" applyFill="1" applyBorder="1" applyAlignment="1">
      <alignment horizontal="right"/>
    </xf>
    <xf numFmtId="0" fontId="125" fillId="0" borderId="0" xfId="4" applyFont="1"/>
    <xf numFmtId="181" fontId="125" fillId="0" borderId="0" xfId="4" applyNumberFormat="1" applyFont="1"/>
    <xf numFmtId="0" fontId="129" fillId="0" borderId="0" xfId="4" applyFont="1" applyAlignment="1">
      <alignment horizontal="left"/>
    </xf>
    <xf numFmtId="171" fontId="116" fillId="0" borderId="0" xfId="4" applyNumberFormat="1" applyFont="1"/>
    <xf numFmtId="181" fontId="116" fillId="0" borderId="0" xfId="4" applyNumberFormat="1" applyFont="1"/>
    <xf numFmtId="181" fontId="118" fillId="0" borderId="0" xfId="4" applyNumberFormat="1" applyFont="1"/>
    <xf numFmtId="181" fontId="116" fillId="10" borderId="89" xfId="3" applyNumberFormat="1" applyFont="1" applyFill="1" applyBorder="1"/>
    <xf numFmtId="181" fontId="116" fillId="10" borderId="90" xfId="3" applyNumberFormat="1" applyFont="1" applyFill="1" applyBorder="1"/>
    <xf numFmtId="181" fontId="116" fillId="10" borderId="91" xfId="3" applyNumberFormat="1" applyFont="1" applyFill="1" applyBorder="1"/>
    <xf numFmtId="0" fontId="130" fillId="0" borderId="0" xfId="0" applyFont="1"/>
    <xf numFmtId="181" fontId="116" fillId="4" borderId="0" xfId="3" applyNumberFormat="1" applyFont="1" applyFill="1" applyBorder="1"/>
    <xf numFmtId="1" fontId="131" fillId="0" borderId="1" xfId="4" applyNumberFormat="1" applyFont="1" applyBorder="1"/>
    <xf numFmtId="174" fontId="119" fillId="4" borderId="1" xfId="16" applyNumberFormat="1" applyFont="1" applyFill="1" applyBorder="1" applyAlignment="1">
      <alignment horizontal="right"/>
    </xf>
    <xf numFmtId="1" fontId="131" fillId="0" borderId="0" xfId="4" applyNumberFormat="1" applyFont="1"/>
    <xf numFmtId="174" fontId="119" fillId="0" borderId="0" xfId="16" applyNumberFormat="1" applyFont="1" applyFill="1" applyBorder="1" applyAlignment="1">
      <alignment horizontal="right"/>
    </xf>
    <xf numFmtId="0" fontId="132" fillId="0" borderId="0" xfId="0" applyFont="1"/>
    <xf numFmtId="181" fontId="133" fillId="0" borderId="0" xfId="3" applyNumberFormat="1" applyFont="1" applyFill="1" applyAlignment="1">
      <alignment horizontal="right"/>
    </xf>
    <xf numFmtId="175" fontId="119" fillId="0" borderId="1" xfId="1" applyNumberFormat="1" applyFont="1" applyBorder="1"/>
    <xf numFmtId="175" fontId="119" fillId="0" borderId="0" xfId="1" applyNumberFormat="1" applyFont="1" applyBorder="1"/>
    <xf numFmtId="175" fontId="119" fillId="0" borderId="0" xfId="1" applyNumberFormat="1" applyFont="1" applyFill="1" applyBorder="1"/>
    <xf numFmtId="9" fontId="134" fillId="0" borderId="0" xfId="3" applyFont="1"/>
    <xf numFmtId="0" fontId="116" fillId="9" borderId="0" xfId="11" applyFont="1" applyFill="1"/>
    <xf numFmtId="181" fontId="133" fillId="0" borderId="0" xfId="10" applyNumberFormat="1" applyFont="1" applyFill="1" applyBorder="1" applyAlignment="1">
      <alignment horizontal="right"/>
    </xf>
    <xf numFmtId="0" fontId="116" fillId="0" borderId="0" xfId="11" applyFont="1"/>
    <xf numFmtId="181" fontId="133" fillId="0" borderId="0" xfId="12" applyNumberFormat="1" applyFont="1" applyFill="1" applyBorder="1" applyAlignment="1">
      <alignment horizontal="right"/>
    </xf>
    <xf numFmtId="0" fontId="116" fillId="0" borderId="6" xfId="11" applyFont="1" applyBorder="1"/>
    <xf numFmtId="181" fontId="133" fillId="0" borderId="6" xfId="12" applyNumberFormat="1" applyFont="1" applyFill="1" applyBorder="1" applyAlignment="1">
      <alignment horizontal="right"/>
    </xf>
    <xf numFmtId="0" fontId="116" fillId="9" borderId="1" xfId="11" applyFont="1" applyFill="1" applyBorder="1"/>
    <xf numFmtId="174" fontId="116" fillId="4" borderId="1" xfId="16" applyNumberFormat="1" applyFont="1" applyFill="1" applyBorder="1" applyAlignment="1">
      <alignment horizontal="right"/>
    </xf>
    <xf numFmtId="174" fontId="116" fillId="4" borderId="0" xfId="16" applyNumberFormat="1" applyFont="1" applyFill="1" applyAlignment="1">
      <alignment horizontal="right"/>
    </xf>
    <xf numFmtId="0" fontId="116" fillId="0" borderId="1" xfId="4" applyFont="1" applyBorder="1" applyAlignment="1">
      <alignment horizontal="left" indent="1"/>
    </xf>
    <xf numFmtId="0" fontId="116" fillId="0" borderId="1" xfId="11" applyFont="1" applyBorder="1"/>
    <xf numFmtId="187" fontId="116" fillId="0" borderId="1" xfId="4" applyNumberFormat="1" applyFont="1" applyBorder="1"/>
    <xf numFmtId="0" fontId="116" fillId="0" borderId="0" xfId="4" applyFont="1" applyAlignment="1">
      <alignment horizontal="left" indent="1"/>
    </xf>
    <xf numFmtId="174" fontId="118" fillId="0" borderId="0" xfId="4" applyNumberFormat="1" applyFont="1"/>
    <xf numFmtId="179" fontId="118" fillId="0" borderId="1" xfId="4" applyNumberFormat="1" applyFont="1" applyBorder="1"/>
    <xf numFmtId="174" fontId="116" fillId="24" borderId="1" xfId="4" applyNumberFormat="1" applyFont="1" applyFill="1" applyBorder="1"/>
    <xf numFmtId="179" fontId="118" fillId="0" borderId="0" xfId="4" applyNumberFormat="1" applyFont="1"/>
    <xf numFmtId="174" fontId="116" fillId="24" borderId="0" xfId="4" applyNumberFormat="1" applyFont="1" applyFill="1"/>
    <xf numFmtId="174" fontId="116" fillId="0" borderId="1" xfId="4" applyNumberFormat="1" applyFont="1" applyBorder="1"/>
    <xf numFmtId="174" fontId="116" fillId="4" borderId="1" xfId="4" applyNumberFormat="1" applyFont="1" applyFill="1" applyBorder="1"/>
    <xf numFmtId="0" fontId="119" fillId="0" borderId="0" xfId="4" applyFont="1" applyAlignment="1">
      <alignment horizontal="left" indent="1"/>
    </xf>
    <xf numFmtId="174" fontId="116" fillId="4" borderId="0" xfId="4" applyNumberFormat="1" applyFont="1" applyFill="1"/>
    <xf numFmtId="0" fontId="119" fillId="0" borderId="1" xfId="4" applyFont="1" applyBorder="1" applyAlignment="1">
      <alignment horizontal="left" indent="1"/>
    </xf>
    <xf numFmtId="174" fontId="119" fillId="0" borderId="1" xfId="4" applyNumberFormat="1" applyFont="1" applyBorder="1"/>
    <xf numFmtId="174" fontId="119" fillId="24" borderId="1" xfId="4" applyNumberFormat="1" applyFont="1" applyFill="1" applyBorder="1"/>
    <xf numFmtId="174" fontId="119" fillId="0" borderId="0" xfId="4" applyNumberFormat="1" applyFont="1"/>
    <xf numFmtId="174" fontId="119" fillId="24" borderId="0" xfId="4" applyNumberFormat="1" applyFont="1" applyFill="1"/>
    <xf numFmtId="188" fontId="133" fillId="0" borderId="0" xfId="10" applyNumberFormat="1" applyFont="1" applyFill="1" applyAlignment="1">
      <alignment horizontal="right"/>
    </xf>
    <xf numFmtId="188" fontId="118" fillId="0" borderId="0" xfId="10" applyNumberFormat="1" applyFont="1" applyAlignment="1">
      <alignment horizontal="right"/>
    </xf>
    <xf numFmtId="0" fontId="135" fillId="0" borderId="0" xfId="0" applyFont="1"/>
    <xf numFmtId="188" fontId="133" fillId="0" borderId="0" xfId="10" applyNumberFormat="1" applyFont="1" applyAlignment="1">
      <alignment horizontal="right"/>
    </xf>
    <xf numFmtId="188" fontId="133" fillId="0" borderId="1" xfId="10" applyNumberFormat="1" applyFont="1" applyFill="1" applyBorder="1" applyAlignment="1">
      <alignment horizontal="right"/>
    </xf>
    <xf numFmtId="188" fontId="133" fillId="0" borderId="0" xfId="10" applyNumberFormat="1" applyFont="1" applyFill="1" applyBorder="1" applyAlignment="1">
      <alignment horizontal="right"/>
    </xf>
    <xf numFmtId="10" fontId="118" fillId="2" borderId="1" xfId="3" applyNumberFormat="1" applyFont="1" applyFill="1" applyBorder="1"/>
    <xf numFmtId="194" fontId="116" fillId="0" borderId="0" xfId="4" applyNumberFormat="1" applyFont="1"/>
    <xf numFmtId="170" fontId="116" fillId="4" borderId="0" xfId="1" applyFont="1" applyFill="1" applyBorder="1"/>
    <xf numFmtId="187" fontId="116" fillId="0" borderId="0" xfId="4" applyNumberFormat="1" applyFont="1"/>
    <xf numFmtId="187" fontId="126" fillId="0" borderId="0" xfId="4" applyNumberFormat="1" applyFont="1"/>
    <xf numFmtId="187" fontId="118" fillId="0" borderId="0" xfId="4" applyNumberFormat="1" applyFont="1"/>
    <xf numFmtId="187" fontId="116" fillId="8" borderId="0" xfId="4" applyNumberFormat="1" applyFont="1" applyFill="1"/>
    <xf numFmtId="187" fontId="119" fillId="0" borderId="1" xfId="4" applyNumberFormat="1" applyFont="1" applyBorder="1"/>
    <xf numFmtId="187" fontId="119" fillId="8" borderId="1" xfId="4" applyNumberFormat="1" applyFont="1" applyFill="1" applyBorder="1"/>
    <xf numFmtId="0" fontId="134" fillId="0" borderId="7" xfId="4" applyFont="1" applyBorder="1"/>
    <xf numFmtId="221" fontId="116" fillId="0" borderId="0" xfId="4" applyNumberFormat="1" applyFont="1"/>
    <xf numFmtId="221" fontId="116" fillId="2" borderId="0" xfId="4" applyNumberFormat="1" applyFont="1" applyFill="1"/>
    <xf numFmtId="165" fontId="118" fillId="2" borderId="0" xfId="4" applyNumberFormat="1" applyFont="1" applyFill="1"/>
    <xf numFmtId="171" fontId="116" fillId="0" borderId="0" xfId="3" applyNumberFormat="1" applyFont="1"/>
    <xf numFmtId="171" fontId="118" fillId="2" borderId="0" xfId="3" applyNumberFormat="1" applyFont="1" applyFill="1"/>
    <xf numFmtId="221" fontId="118" fillId="2" borderId="0" xfId="4" applyNumberFormat="1" applyFont="1" applyFill="1"/>
    <xf numFmtId="221" fontId="118" fillId="0" borderId="0" xfId="4" applyNumberFormat="1" applyFont="1"/>
    <xf numFmtId="187" fontId="116" fillId="24" borderId="0" xfId="4" applyNumberFormat="1" applyFont="1" applyFill="1"/>
    <xf numFmtId="221" fontId="116" fillId="0" borderId="1" xfId="4" applyNumberFormat="1" applyFont="1" applyBorder="1"/>
    <xf numFmtId="221" fontId="116" fillId="24" borderId="1" xfId="4" applyNumberFormat="1" applyFont="1" applyFill="1" applyBorder="1"/>
    <xf numFmtId="187" fontId="118" fillId="0" borderId="73" xfId="4" applyNumberFormat="1" applyFont="1" applyBorder="1"/>
    <xf numFmtId="187" fontId="116" fillId="24" borderId="73" xfId="4" applyNumberFormat="1" applyFont="1" applyFill="1" applyBorder="1"/>
    <xf numFmtId="0" fontId="116" fillId="0" borderId="4" xfId="11" applyFont="1" applyBorder="1"/>
    <xf numFmtId="174" fontId="116" fillId="0" borderId="3" xfId="4" applyNumberFormat="1" applyFont="1" applyBorder="1"/>
    <xf numFmtId="174" fontId="116" fillId="4" borderId="3" xfId="4" applyNumberFormat="1" applyFont="1" applyFill="1" applyBorder="1"/>
    <xf numFmtId="9" fontId="116" fillId="0" borderId="0" xfId="10" applyFont="1" applyFill="1" applyBorder="1" applyAlignment="1">
      <alignment horizontal="right"/>
    </xf>
    <xf numFmtId="164" fontId="116" fillId="0" borderId="0" xfId="2" applyFont="1" applyFill="1" applyBorder="1" applyAlignment="1">
      <alignment horizontal="right"/>
    </xf>
    <xf numFmtId="186" fontId="126" fillId="0" borderId="0" xfId="4" applyNumberFormat="1" applyFont="1"/>
    <xf numFmtId="0" fontId="125" fillId="0" borderId="0" xfId="4" quotePrefix="1" applyFont="1"/>
    <xf numFmtId="186" fontId="116" fillId="0" borderId="0" xfId="4" applyNumberFormat="1" applyFont="1"/>
    <xf numFmtId="3" fontId="116" fillId="4" borderId="89" xfId="16" applyNumberFormat="1" applyFont="1" applyFill="1" applyBorder="1" applyAlignment="1">
      <alignment horizontal="right"/>
    </xf>
    <xf numFmtId="231" fontId="118" fillId="0" borderId="0" xfId="16" applyNumberFormat="1" applyFont="1" applyAlignment="1">
      <alignment horizontal="right"/>
    </xf>
    <xf numFmtId="231" fontId="116" fillId="4" borderId="89" xfId="16" applyNumberFormat="1" applyFont="1" applyFill="1" applyBorder="1" applyAlignment="1">
      <alignment horizontal="right"/>
    </xf>
    <xf numFmtId="10" fontId="116" fillId="0" borderId="0" xfId="4" applyNumberFormat="1" applyFont="1"/>
    <xf numFmtId="9" fontId="11" fillId="32" borderId="0" xfId="4" applyNumberFormat="1" applyFont="1" applyFill="1"/>
    <xf numFmtId="165" fontId="116" fillId="0" borderId="1" xfId="4" applyNumberFormat="1" applyFont="1" applyBorder="1"/>
    <xf numFmtId="0" fontId="137" fillId="0" borderId="1" xfId="0" applyFont="1" applyBorder="1"/>
    <xf numFmtId="0" fontId="136" fillId="0" borderId="1" xfId="0" applyFont="1" applyBorder="1"/>
    <xf numFmtId="181" fontId="118" fillId="2" borderId="9" xfId="4" applyNumberFormat="1" applyFont="1" applyFill="1" applyBorder="1"/>
    <xf numFmtId="10" fontId="118" fillId="37" borderId="1" xfId="0" applyNumberFormat="1" applyFont="1" applyFill="1" applyBorder="1" applyAlignment="1">
      <alignment horizontal="right"/>
    </xf>
    <xf numFmtId="0" fontId="0" fillId="0" borderId="38" xfId="0" applyBorder="1"/>
    <xf numFmtId="0" fontId="139" fillId="0" borderId="0" xfId="0" applyFont="1"/>
    <xf numFmtId="0" fontId="98" fillId="0" borderId="0" xfId="0" applyFont="1"/>
    <xf numFmtId="0" fontId="140" fillId="38" borderId="116" xfId="0" applyFont="1" applyFill="1" applyBorder="1" applyAlignment="1">
      <alignment horizontal="left"/>
    </xf>
    <xf numFmtId="0" fontId="140" fillId="38" borderId="97" xfId="0" applyFont="1" applyFill="1" applyBorder="1" applyAlignment="1">
      <alignment horizontal="left"/>
    </xf>
    <xf numFmtId="0" fontId="5" fillId="0" borderId="117" xfId="0" applyFont="1" applyBorder="1"/>
    <xf numFmtId="0" fontId="5" fillId="38" borderId="12" xfId="0" applyFont="1" applyFill="1" applyBorder="1"/>
    <xf numFmtId="0" fontId="67" fillId="0" borderId="0" xfId="0" applyFont="1"/>
    <xf numFmtId="0" fontId="5" fillId="0" borderId="13" xfId="0" applyFont="1" applyBorder="1"/>
    <xf numFmtId="0" fontId="5" fillId="38" borderId="93" xfId="0" applyFont="1" applyFill="1" applyBorder="1"/>
    <xf numFmtId="0" fontId="141" fillId="0" borderId="0" xfId="0" applyFont="1"/>
    <xf numFmtId="0" fontId="5" fillId="0" borderId="13" xfId="0" applyFont="1" applyBorder="1" applyAlignment="1">
      <alignment horizontal="center"/>
    </xf>
    <xf numFmtId="0" fontId="5" fillId="38" borderId="12" xfId="0" applyFont="1" applyFill="1" applyBorder="1" applyAlignment="1">
      <alignment horizontal="left"/>
    </xf>
    <xf numFmtId="0" fontId="5" fillId="0" borderId="118" xfId="0" applyFont="1" applyBorder="1"/>
    <xf numFmtId="0" fontId="5" fillId="38" borderId="11" xfId="0" applyFont="1" applyFill="1" applyBorder="1"/>
    <xf numFmtId="0" fontId="5" fillId="38" borderId="95" xfId="0" applyFont="1" applyFill="1" applyBorder="1"/>
    <xf numFmtId="0" fontId="5" fillId="0" borderId="109" xfId="0" applyFont="1" applyBorder="1" applyAlignment="1">
      <alignment horizontal="center"/>
    </xf>
    <xf numFmtId="0" fontId="5" fillId="38" borderId="0" xfId="0" applyFont="1" applyFill="1" applyAlignment="1">
      <alignment horizontal="left"/>
    </xf>
    <xf numFmtId="0" fontId="5" fillId="0" borderId="118" xfId="0" applyFont="1" applyBorder="1" applyAlignment="1">
      <alignment horizontal="left"/>
    </xf>
    <xf numFmtId="0" fontId="5" fillId="38" borderId="11" xfId="0" applyFont="1" applyFill="1" applyBorder="1" applyAlignment="1">
      <alignment horizontal="left"/>
    </xf>
    <xf numFmtId="0" fontId="98" fillId="0" borderId="119" xfId="0" applyFont="1" applyBorder="1"/>
    <xf numFmtId="0" fontId="98" fillId="38" borderId="8" xfId="0" applyFont="1" applyFill="1" applyBorder="1"/>
    <xf numFmtId="0" fontId="98" fillId="0" borderId="10" xfId="0" applyFont="1" applyBorder="1"/>
    <xf numFmtId="0" fontId="98" fillId="38" borderId="97" xfId="0" applyFont="1" applyFill="1" applyBorder="1"/>
    <xf numFmtId="0" fontId="5" fillId="0" borderId="10" xfId="0" applyFont="1" applyBorder="1" applyAlignment="1">
      <alignment horizontal="left"/>
    </xf>
    <xf numFmtId="0" fontId="5" fillId="38" borderId="0" xfId="0" applyFont="1" applyFill="1" applyAlignment="1">
      <alignment horizontal="left" wrapText="1"/>
    </xf>
    <xf numFmtId="10" fontId="61" fillId="0" borderId="0" xfId="0" applyNumberFormat="1" applyFont="1"/>
    <xf numFmtId="10" fontId="2" fillId="0" borderId="0" xfId="4" applyNumberFormat="1"/>
    <xf numFmtId="10" fontId="5" fillId="0" borderId="0" xfId="4" applyNumberFormat="1" applyFont="1"/>
    <xf numFmtId="0" fontId="40" fillId="0" borderId="0" xfId="0" applyFont="1" applyAlignment="1">
      <alignment wrapText="1"/>
    </xf>
    <xf numFmtId="197" fontId="39" fillId="8" borderId="21" xfId="0" applyNumberFormat="1" applyFont="1" applyFill="1" applyBorder="1" applyAlignment="1">
      <alignment horizontal="left" vertical="center" wrapText="1"/>
    </xf>
    <xf numFmtId="0" fontId="143" fillId="0" borderId="0" xfId="0" applyFont="1" applyAlignment="1">
      <alignment wrapText="1"/>
    </xf>
    <xf numFmtId="0" fontId="143" fillId="0" borderId="0" xfId="0" applyFont="1" applyAlignment="1">
      <alignment horizontal="left" wrapText="1"/>
    </xf>
    <xf numFmtId="0" fontId="143" fillId="0" borderId="0" xfId="0" applyFont="1" applyAlignment="1">
      <alignment horizontal="left" vertical="center" wrapText="1"/>
    </xf>
    <xf numFmtId="181" fontId="115" fillId="0" borderId="0" xfId="4" applyNumberFormat="1" applyFont="1" applyAlignment="1">
      <alignment horizontal="right"/>
    </xf>
    <xf numFmtId="171" fontId="114" fillId="0" borderId="0" xfId="3" applyNumberFormat="1" applyFont="1" applyFill="1" applyBorder="1"/>
    <xf numFmtId="171" fontId="115" fillId="0" borderId="0" xfId="3" applyNumberFormat="1" applyFont="1" applyFill="1" applyBorder="1"/>
    <xf numFmtId="10" fontId="115" fillId="0" borderId="0" xfId="4" applyNumberFormat="1" applyFont="1"/>
    <xf numFmtId="231" fontId="115" fillId="37" borderId="1" xfId="0" applyNumberFormat="1" applyFont="1" applyFill="1" applyBorder="1" applyAlignment="1">
      <alignment horizontal="right"/>
    </xf>
    <xf numFmtId="231" fontId="115" fillId="0" borderId="1" xfId="4" applyNumberFormat="1" applyFont="1" applyBorder="1"/>
    <xf numFmtId="9" fontId="2" fillId="0" borderId="0" xfId="4" applyNumberFormat="1"/>
    <xf numFmtId="0" fontId="143" fillId="0" borderId="0" xfId="0" applyFont="1"/>
    <xf numFmtId="0" fontId="5" fillId="0" borderId="0" xfId="4" applyFont="1" applyAlignment="1">
      <alignment horizontal="left" vertical="top" wrapText="1"/>
    </xf>
    <xf numFmtId="0" fontId="34" fillId="0" borderId="39" xfId="0" applyFont="1" applyBorder="1" applyAlignment="1">
      <alignment horizontal="left" vertical="center" wrapText="1"/>
    </xf>
    <xf numFmtId="0" fontId="34" fillId="0" borderId="0" xfId="0" applyFont="1" applyAlignment="1">
      <alignment horizontal="left" vertical="center" wrapText="1"/>
    </xf>
    <xf numFmtId="0" fontId="34" fillId="0" borderId="38" xfId="0" applyFont="1" applyBorder="1" applyAlignment="1">
      <alignment horizontal="left" vertical="center" wrapText="1"/>
    </xf>
    <xf numFmtId="0" fontId="34" fillId="0" borderId="87" xfId="0" applyFont="1" applyBorder="1" applyAlignment="1">
      <alignment horizontal="left" vertical="center" wrapText="1"/>
    </xf>
    <xf numFmtId="0" fontId="34" fillId="0" borderId="73" xfId="0" applyFont="1" applyBorder="1" applyAlignment="1">
      <alignment horizontal="left" vertical="center" wrapText="1"/>
    </xf>
    <xf numFmtId="0" fontId="34" fillId="0" borderId="88" xfId="0" applyFont="1" applyBorder="1" applyAlignment="1">
      <alignment horizontal="left" vertical="center" wrapText="1"/>
    </xf>
    <xf numFmtId="0" fontId="62" fillId="32" borderId="49" xfId="4" applyFont="1" applyFill="1" applyBorder="1" applyAlignment="1">
      <alignment horizontal="center"/>
    </xf>
    <xf numFmtId="0" fontId="62" fillId="32" borderId="48" xfId="4" applyFont="1" applyFill="1" applyBorder="1" applyAlignment="1">
      <alignment horizontal="center"/>
    </xf>
    <xf numFmtId="0" fontId="63" fillId="32" borderId="0" xfId="4" applyFont="1" applyFill="1" applyAlignment="1">
      <alignment horizontal="center"/>
    </xf>
    <xf numFmtId="0" fontId="63" fillId="32" borderId="74" xfId="4" applyFont="1" applyFill="1" applyBorder="1" applyAlignment="1">
      <alignment horizontal="center"/>
    </xf>
    <xf numFmtId="0" fontId="98" fillId="0" borderId="10" xfId="0" applyFont="1" applyBorder="1"/>
    <xf numFmtId="0" fontId="98" fillId="0" borderId="8" xfId="0" applyFont="1" applyBorder="1"/>
  </cellXfs>
  <cellStyles count="58">
    <cellStyle name="blp_column_header" xfId="46" xr:uid="{00000000-0005-0000-0000-000000000000}"/>
    <cellStyle name="blp_title_header_row_left" xfId="45" xr:uid="{00000000-0005-0000-0000-000001000000}"/>
    <cellStyle name="Border Thin" xfId="12" xr:uid="{00000000-0005-0000-0000-000002000000}"/>
    <cellStyle name="Border Thin 2" xfId="14" xr:uid="{00000000-0005-0000-0000-000003000000}"/>
    <cellStyle name="Comma" xfId="1" builtinId="3"/>
    <cellStyle name="Comma 2" xfId="16" xr:uid="{00000000-0005-0000-0000-000005000000}"/>
    <cellStyle name="Comma 2 2" xfId="24" xr:uid="{00000000-0005-0000-0000-000006000000}"/>
    <cellStyle name="Comma 3" xfId="27" xr:uid="{00000000-0005-0000-0000-000007000000}"/>
    <cellStyle name="Comma 4" xfId="19" xr:uid="{00000000-0005-0000-0000-000008000000}"/>
    <cellStyle name="Currency" xfId="2" builtinId="4"/>
    <cellStyle name="Currency 2" xfId="13" xr:uid="{00000000-0005-0000-0000-00000A000000}"/>
    <cellStyle name="Currency 2 2" xfId="25" xr:uid="{00000000-0005-0000-0000-00000B000000}"/>
    <cellStyle name="Currency 4 2" xfId="22" xr:uid="{00000000-0005-0000-0000-00000C000000}"/>
    <cellStyle name="fa_column_header_bottom" xfId="47" xr:uid="{00000000-0005-0000-0000-00000D000000}"/>
    <cellStyle name="fa_column_header_bottom 2" xfId="40" xr:uid="{00000000-0005-0000-0000-00000E000000}"/>
    <cellStyle name="fa_column_header_bottom 2 2" xfId="49" xr:uid="{00000000-0005-0000-0000-00000F000000}"/>
    <cellStyle name="fa_column_header_bottom_left" xfId="48" xr:uid="{00000000-0005-0000-0000-000010000000}"/>
    <cellStyle name="fa_column_header_bottom_left 2" xfId="41" xr:uid="{00000000-0005-0000-0000-000011000000}"/>
    <cellStyle name="fa_column_header_bottom_left 2 2" xfId="50" xr:uid="{00000000-0005-0000-0000-000012000000}"/>
    <cellStyle name="fa_column_header_empty" xfId="44" xr:uid="{00000000-0005-0000-0000-000013000000}"/>
    <cellStyle name="fa_column_header_top 2" xfId="42" xr:uid="{00000000-0005-0000-0000-000014000000}"/>
    <cellStyle name="fa_column_header_top_left 2" xfId="43" xr:uid="{00000000-0005-0000-0000-000015000000}"/>
    <cellStyle name="fa_data_bold_0_grouped" xfId="39" xr:uid="{00000000-0005-0000-0000-000016000000}"/>
    <cellStyle name="fa_data_bold_1_grouped" xfId="32" xr:uid="{00000000-0005-0000-0000-000017000000}"/>
    <cellStyle name="fa_data_current_bold_0_grouped" xfId="53" xr:uid="{00000000-0005-0000-0000-000018000000}"/>
    <cellStyle name="fa_data_current_bold_1_grouped" xfId="54" xr:uid="{00000000-0005-0000-0000-000019000000}"/>
    <cellStyle name="fa_data_current_italic_1_grouped" xfId="55" xr:uid="{00000000-0005-0000-0000-00001A000000}"/>
    <cellStyle name="fa_data_current_standard_1_grouped" xfId="52" xr:uid="{00000000-0005-0000-0000-00001B000000}"/>
    <cellStyle name="fa_data_current_standard_2_grouped" xfId="51" xr:uid="{00000000-0005-0000-0000-00001C000000}"/>
    <cellStyle name="fa_data_italic_1_grouped" xfId="56" xr:uid="{00000000-0005-0000-0000-00001D000000}"/>
    <cellStyle name="fa_data_standard_0_grouped" xfId="37" xr:uid="{00000000-0005-0000-0000-00001E000000}"/>
    <cellStyle name="fa_data_standard_1_grouped" xfId="33" xr:uid="{00000000-0005-0000-0000-00001F000000}"/>
    <cellStyle name="fa_data_standard_2_grouped" xfId="35" xr:uid="{00000000-0005-0000-0000-000020000000}"/>
    <cellStyle name="fa_footer_italic" xfId="34" xr:uid="{00000000-0005-0000-0000-000021000000}"/>
    <cellStyle name="fa_row_header_bold 2" xfId="38" xr:uid="{00000000-0005-0000-0000-000022000000}"/>
    <cellStyle name="fa_row_header_italic" xfId="57" xr:uid="{00000000-0005-0000-0000-000023000000}"/>
    <cellStyle name="fa_row_header_standard 2" xfId="36" xr:uid="{00000000-0005-0000-0000-000024000000}"/>
    <cellStyle name="Hyperlink" xfId="28" builtinId="8"/>
    <cellStyle name="Hyperlink 2" xfId="26" xr:uid="{00000000-0005-0000-0000-000026000000}"/>
    <cellStyle name="Input 2" xfId="6" xr:uid="{00000000-0005-0000-0000-000027000000}"/>
    <cellStyle name="Normal" xfId="0" builtinId="0"/>
    <cellStyle name="Normal 10" xfId="4" xr:uid="{00000000-0005-0000-0000-000029000000}"/>
    <cellStyle name="Normal 10 2" xfId="20" xr:uid="{00000000-0005-0000-0000-00002A000000}"/>
    <cellStyle name="Normal 11" xfId="23" xr:uid="{00000000-0005-0000-0000-00002B000000}"/>
    <cellStyle name="Normal 19" xfId="29" xr:uid="{00000000-0005-0000-0000-00002C000000}"/>
    <cellStyle name="Normal 2" xfId="21" xr:uid="{00000000-0005-0000-0000-00002D000000}"/>
    <cellStyle name="Normal 3 3 2" xfId="17" xr:uid="{00000000-0005-0000-0000-00002E000000}"/>
    <cellStyle name="Normal 4" xfId="31" xr:uid="{00000000-0005-0000-0000-00002F000000}"/>
    <cellStyle name="Normal 9" xfId="30" xr:uid="{00000000-0005-0000-0000-000030000000}"/>
    <cellStyle name="Normal_Ahold3-backup" xfId="8" xr:uid="{00000000-0005-0000-0000-000031000000}"/>
    <cellStyle name="Normal_BasicFCFModel" xfId="9" xr:uid="{00000000-0005-0000-0000-000032000000}"/>
    <cellStyle name="Normal_Copy of GAPValuationModelFullForecast2008" xfId="7" xr:uid="{00000000-0005-0000-0000-000033000000}"/>
    <cellStyle name="Normal_Sheet" xfId="5" xr:uid="{00000000-0005-0000-0000-000034000000}"/>
    <cellStyle name="Normal_Sheet2" xfId="11" xr:uid="{00000000-0005-0000-0000-000035000000}"/>
    <cellStyle name="Percent" xfId="3" builtinId="5"/>
    <cellStyle name="Percent 2" xfId="10" xr:uid="{00000000-0005-0000-0000-000037000000}"/>
    <cellStyle name="Percent 2 2" xfId="18" xr:uid="{00000000-0005-0000-0000-000038000000}"/>
    <cellStyle name="Table Sub Head" xfId="15" xr:uid="{00000000-0005-0000-0000-000039000000}"/>
  </cellStyles>
  <dxfs count="75">
    <dxf>
      <font>
        <b/>
        <i val="0"/>
        <color theme="0"/>
      </font>
      <fill>
        <patternFill>
          <bgColor rgb="FFFF0000"/>
        </patternFill>
      </fill>
    </dxf>
    <dxf>
      <font>
        <b/>
        <i val="0"/>
        <color theme="0"/>
      </font>
      <fill>
        <patternFill>
          <bgColor rgb="FFFF0000"/>
        </patternFill>
      </fill>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lor theme="0"/>
      </font>
      <fill>
        <patternFill>
          <bgColor rgb="FFFF0000"/>
        </patternFill>
      </fill>
    </dxf>
    <dxf>
      <font>
        <b/>
        <i val="0"/>
        <color theme="0"/>
      </font>
      <fill>
        <patternFill>
          <bgColor rgb="FFFF0000"/>
        </patternFill>
      </fill>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ndense val="0"/>
        <extend val="0"/>
        <color indexed="12"/>
      </font>
      <border>
        <top style="thin">
          <color indexed="64"/>
        </top>
      </border>
    </dxf>
    <dxf>
      <font>
        <b/>
        <i val="0"/>
        <color theme="0"/>
      </font>
      <fill>
        <patternFill>
          <bgColor rgb="FFFF0000"/>
        </patternFill>
      </fill>
    </dxf>
    <dxf>
      <font>
        <color theme="0" tint="-0.499984740745262"/>
      </font>
      <numFmt numFmtId="178" formatCode="0.0\x"/>
    </dxf>
    <dxf>
      <font>
        <color theme="0" tint="-0.499984740745262"/>
      </font>
      <numFmt numFmtId="2" formatCode="0.00"/>
    </dxf>
    <dxf>
      <font>
        <color theme="0" tint="-0.499984740745262"/>
      </font>
      <numFmt numFmtId="2" formatCode="0.00"/>
    </dxf>
    <dxf>
      <font>
        <color theme="0" tint="-0.499984740745262"/>
      </font>
      <numFmt numFmtId="178" formatCode="0.0\x"/>
    </dxf>
    <dxf>
      <font>
        <color theme="0" tint="-0.499984740745262"/>
      </font>
      <numFmt numFmtId="2" formatCode="0.00"/>
    </dxf>
    <dxf>
      <font>
        <color theme="0" tint="-0.499984740745262"/>
      </font>
      <numFmt numFmtId="178" formatCode="0.0\x"/>
    </dxf>
    <dxf>
      <font>
        <color theme="0" tint="-0.499984740745262"/>
      </font>
      <numFmt numFmtId="2" formatCode="0.00"/>
    </dxf>
    <dxf>
      <font>
        <color theme="0" tint="-0.499984740745262"/>
      </font>
    </dxf>
    <dxf>
      <font>
        <condense val="0"/>
        <extend val="0"/>
        <color indexed="12"/>
      </font>
    </dxf>
    <dxf>
      <font>
        <color theme="0" tint="-0.499984740745262"/>
      </font>
    </dxf>
    <dxf>
      <font>
        <color theme="0" tint="-0.499984740745262"/>
      </font>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ndense val="0"/>
        <extend val="0"/>
        <color indexed="9"/>
      </font>
      <fill>
        <patternFill>
          <bgColor indexed="10"/>
        </patternFill>
      </fill>
    </dxf>
    <dxf>
      <font>
        <b/>
        <i val="0"/>
        <condense val="0"/>
        <extend val="0"/>
        <color indexed="9"/>
      </font>
      <fill>
        <patternFill>
          <bgColor indexed="10"/>
        </patternFill>
      </fill>
    </dxf>
    <dxf>
      <font>
        <b/>
        <i val="0"/>
        <condense val="0"/>
        <extend val="0"/>
        <color indexed="12"/>
      </font>
      <border>
        <top style="thin">
          <color indexed="64"/>
        </top>
      </border>
    </dxf>
    <dxf>
      <font>
        <b/>
        <i val="0"/>
        <condense val="0"/>
        <extend val="0"/>
        <color indexed="12"/>
      </font>
      <border>
        <top style="thin">
          <color indexed="64"/>
        </top>
      </border>
    </dxf>
    <dxf>
      <font>
        <condense val="0"/>
        <extend val="0"/>
        <color indexed="12"/>
      </font>
    </dxf>
    <dxf>
      <font>
        <condense val="0"/>
        <extend val="0"/>
        <color indexed="12"/>
      </font>
    </dxf>
    <dxf>
      <font>
        <condense val="0"/>
        <extend val="0"/>
        <color indexed="12"/>
      </font>
    </dxf>
    <dxf>
      <font>
        <b/>
        <i val="0"/>
        <color theme="0"/>
      </font>
      <fill>
        <patternFill>
          <bgColor rgb="FFFF0000"/>
        </patternFill>
      </fill>
    </dxf>
    <dxf>
      <font>
        <b/>
        <i val="0"/>
        <condense val="0"/>
        <extend val="0"/>
        <color indexed="12"/>
      </font>
      <border>
        <top style="thin">
          <color indexed="64"/>
        </top>
      </border>
    </dxf>
    <dxf>
      <font>
        <b/>
        <i val="0"/>
        <color theme="0"/>
      </font>
      <fill>
        <patternFill>
          <bgColor rgb="FFFF0000"/>
        </patternFill>
      </fill>
    </dxf>
    <dxf>
      <font>
        <condense val="0"/>
        <extend val="0"/>
        <color indexed="12"/>
      </font>
    </dxf>
    <dxf>
      <font>
        <condense val="0"/>
        <extend val="0"/>
        <color indexed="12"/>
      </font>
    </dxf>
    <dxf>
      <font>
        <b/>
        <i val="0"/>
        <condense val="0"/>
        <extend val="0"/>
        <color indexed="12"/>
      </font>
      <border>
        <top style="thin">
          <color indexed="64"/>
        </top>
      </border>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b/>
        <i val="0"/>
        <color theme="0"/>
      </font>
      <fill>
        <patternFill>
          <bgColor rgb="FFFF0000"/>
        </patternFill>
      </fill>
    </dxf>
    <dxf>
      <font>
        <condense val="0"/>
        <extend val="0"/>
        <color indexed="12"/>
      </font>
    </dxf>
    <dxf>
      <font>
        <condense val="0"/>
        <extend val="0"/>
        <color indexed="12"/>
      </font>
    </dxf>
    <dxf>
      <font>
        <b/>
        <i val="0"/>
        <color theme="0"/>
      </font>
      <fill>
        <patternFill>
          <bgColor rgb="FFFF0000"/>
        </patternFill>
      </fill>
    </dxf>
    <dxf>
      <font>
        <condense val="0"/>
        <extend val="0"/>
        <color indexed="12"/>
      </font>
    </dxf>
    <dxf>
      <font>
        <b/>
        <i val="0"/>
        <condense val="0"/>
        <extend val="0"/>
        <color indexed="9"/>
      </font>
      <fill>
        <patternFill>
          <bgColor indexed="10"/>
        </patternFill>
      </fill>
    </dxf>
    <dxf>
      <font>
        <b/>
        <i val="0"/>
        <color theme="0"/>
      </font>
      <fill>
        <patternFill>
          <bgColor rgb="FFFF0000"/>
        </patternFill>
      </fill>
    </dxf>
    <dxf>
      <font>
        <condense val="0"/>
        <extend val="0"/>
        <color indexed="12"/>
      </font>
    </dxf>
    <dxf>
      <font>
        <condense val="0"/>
        <extend val="0"/>
        <color indexed="12"/>
      </font>
    </dxf>
    <dxf>
      <font>
        <b/>
        <i val="0"/>
        <color theme="0"/>
      </font>
      <fill>
        <patternFill>
          <bgColor rgb="FFFF0000"/>
        </patternFill>
      </fill>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b/>
        <i val="0"/>
        <condense val="0"/>
        <extend val="0"/>
        <color indexed="12"/>
      </font>
      <border>
        <top style="thin">
          <color indexed="64"/>
        </top>
      </border>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12"/>
      </font>
    </dxf>
    <dxf>
      <font>
        <condense val="0"/>
        <extend val="0"/>
        <color indexed="9"/>
      </font>
      <fill>
        <patternFill>
          <bgColor indexed="10"/>
        </patternFill>
      </fill>
    </dxf>
  </dxfs>
  <tableStyles count="0" defaultTableStyle="TableStyleMedium2" defaultPivotStyle="PivotStyleLight16"/>
  <colors>
    <mruColors>
      <color rgb="FF0000FF"/>
      <color rgb="FF800000"/>
      <color rgb="FFD9D9D9"/>
      <color rgb="FFF2F2F2"/>
      <color rgb="FF2E576A"/>
      <color rgb="FF86654A"/>
      <color rgb="FF452727"/>
      <color rgb="FF736985"/>
      <color rgb="FF887F99"/>
      <color rgb="FF5C7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5.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4.xml"/><Relationship Id="rId30" Type="http://schemas.openxmlformats.org/officeDocument/2006/relationships/externalLink" Target="externalLinks/externalLink7.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273395</xdr:colOff>
      <xdr:row>0</xdr:row>
      <xdr:rowOff>76200</xdr:rowOff>
    </xdr:from>
    <xdr:to>
      <xdr:col>7</xdr:col>
      <xdr:colOff>358141</xdr:colOff>
      <xdr:row>3</xdr:row>
      <xdr:rowOff>57150</xdr:rowOff>
    </xdr:to>
    <xdr:pic>
      <xdr:nvPicPr>
        <xdr:cNvPr id="30" name="Picture 29" descr="NIBC Logo Full (White).png">
          <a:extLst>
            <a:ext uri="{FF2B5EF4-FFF2-40B4-BE49-F238E27FC236}">
              <a16:creationId xmlns:a16="http://schemas.microsoft.com/office/drawing/2014/main" id="{F8C8ADC0-07D8-43DD-8DEE-72F33E8E14B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2580"/>
        <a:stretch/>
      </xdr:blipFill>
      <xdr:spPr>
        <a:xfrm>
          <a:off x="4830155" y="76200"/>
          <a:ext cx="1768766" cy="358140"/>
        </a:xfrm>
        <a:prstGeom prst="rect">
          <a:avLst/>
        </a:prstGeom>
      </xdr:spPr>
    </xdr:pic>
    <xdr:clientData/>
  </xdr:twoCellAnchor>
  <xdr:twoCellAnchor editAs="oneCell">
    <xdr:from>
      <xdr:col>0</xdr:col>
      <xdr:colOff>0</xdr:colOff>
      <xdr:row>4</xdr:row>
      <xdr:rowOff>7144</xdr:rowOff>
    </xdr:from>
    <xdr:to>
      <xdr:col>7</xdr:col>
      <xdr:colOff>351221</xdr:colOff>
      <xdr:row>17</xdr:row>
      <xdr:rowOff>13000</xdr:rowOff>
    </xdr:to>
    <xdr:pic>
      <xdr:nvPicPr>
        <xdr:cNvPr id="23" name="Picture 3" descr="Strategy Study: How Bumble Revolutionized Online Dating">
          <a:extLst>
            <a:ext uri="{FF2B5EF4-FFF2-40B4-BE49-F238E27FC236}">
              <a16:creationId xmlns:a16="http://schemas.microsoft.com/office/drawing/2014/main" id="{803FB368-DF05-48F6-BB83-CC7C0DE883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66972"/>
          <a:ext cx="6726621" cy="3432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ZKFIOYA/AppData/Local/Microsoft/Windows/Temporary%20Internet%20Files/Content.Outlook/VPKHRR0B/NIBC%202014%20-%20Lions%20Gate%20DCF%20v19%20-%2011%20Oct%202013.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Users/HP/AppData/Local/Temp/NIBC%202013%20-%20Wynn%20DCF%20Solution%20-%2030%20Sep%202012%20-%20v3.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ibcglobal-my.sharepoint.com/Users/Karsten/AppData/Local/Microsoft/Windows/INetCache/Content.Outlook/1L3OERPN/Current%20NIBC/NIBC%202015%20-%20Comps%20PPT%20Output%20-%2007%20Sep%202014.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rsten/AppData/Local/Microsoft/Windows/INetCache/Content.Outlook/1L3OERPN/Current%20NIBC/NIBC%202015%20-%20Comps%20PPT%20Output%20-%2007%20Sep%202014.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lam6/AppData/Local/Temp/tmp006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nibcglobal-my.sharepoint.com/Users/dlam6/AppData/Local/Temp/tmp006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E/Users/pchua1/AppData/Roaming/Microsoft/Excel/NIBC%202013%20-%20Wynn%20-%20LBO%20Build%20-%2011%20Nov%202012%20-%20015am%20(PC%20Edit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nibcglobal-my.sharepoint.com/E/Users/pchua1/AppData/Roaming/Microsoft/Excel/NIBC%202013%20-%20Wynn%20-%20LBO%20Build%20-%2011%20Nov%202012%20-%20015am%20(PC%20Edi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GF Assumptions"/>
      <sheetName val="LGF Financial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O Assumptions"/>
      <sheetName val="Wynn Assumptions"/>
      <sheetName val="Wynn Financials"/>
      <sheetName val="DCF Solution"/>
      <sheetName val="&gt;&gt;&gt; Original Data"/>
      <sheetName val="Cashflow Statement"/>
      <sheetName val="Income Statement"/>
      <sheetName val="Balance Sheet"/>
    </sheetNames>
    <sheetDataSet>
      <sheetData sheetId="0" refreshError="1"/>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__FDSCACHE__"/>
      <sheetName val="PPT (Output)"/>
      <sheetName val="Bar Chart"/>
      <sheetName val="Comps (Manual)"/>
      <sheetName val="Comps - Data Pull (BB)"/>
      <sheetName val="Comps - Pasted (BB)"/>
      <sheetName val="CAGRs - Data Pull (BB)"/>
      <sheetName val="CAGRs - Pasted (BB)"/>
    </sheetNames>
    <sheetDataSet>
      <sheetData sheetId="0" refreshError="1"/>
      <sheetData sheetId="1"/>
      <sheetData sheetId="2" refreshError="1"/>
      <sheetData sheetId="3"/>
      <sheetData sheetId="4" refreshError="1"/>
      <sheetData sheetId="5"/>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__FDSCACHE__"/>
      <sheetName val="PPT (Output)"/>
      <sheetName val="Bar Chart"/>
      <sheetName val="Comps (Manual)"/>
      <sheetName val="Comps - Data Pull (BB)"/>
      <sheetName val="Comps - Pasted (BB)"/>
      <sheetName val="CAGRs - Data Pull (BB)"/>
      <sheetName val="CAGRs - Pasted (BB)"/>
    </sheetNames>
    <sheetDataSet>
      <sheetData sheetId="0" refreshError="1"/>
      <sheetData sheetId="1"/>
      <sheetData sheetId="2" refreshError="1"/>
      <sheetData sheetId="3"/>
      <sheetData sheetId="4"/>
      <sheetData sheetId="5"/>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FI Company Debt with Ownership"/>
      <sheetName val="Sheet1 (2)"/>
      <sheetName val="__FDSCACHE__"/>
      <sheetName val="Company at a Glance"/>
    </sheetNames>
    <sheetDataSet>
      <sheetData sheetId="0"/>
      <sheetData sheetId="1" refreshError="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1 (2)"/>
      <sheetName val="__FDSCACHE__"/>
      <sheetName val="Company at a Glance"/>
      <sheetName val="FI Company Debt with Ownership"/>
    </sheetNames>
    <sheetDataSet>
      <sheetData sheetId="0"/>
      <sheetData sheetId="1"/>
      <sheetData sheetId="2"/>
      <sheetData sheetId="3"/>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ynn DCF Assumptions (LBO)"/>
      <sheetName val="Wynn Financials (LBO)"/>
      <sheetName val="Wynn LBO Assumptions"/>
      <sheetName val="LBO_Summary"/>
      <sheetName val="Wynn LBO Calcs"/>
      <sheetName val="Unused Sheets ---&gt;"/>
      <sheetName val="LBO Analysis - MBA Only"/>
      <sheetName val="LBO_Summary (2)"/>
      <sheetName val="LBO_Summary (prelim)"/>
      <sheetName val="DCF Solution"/>
      <sheetName val="&gt;&gt;&gt; Original Data"/>
      <sheetName val="Cashflow Statement"/>
      <sheetName val="Income Statement"/>
      <sheetName val="Balance 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ynn DCF Assumptions (LBO)"/>
      <sheetName val="Wynn Financials (LBO)"/>
      <sheetName val="Wynn LBO Assumptions"/>
      <sheetName val="LBO_Summary"/>
      <sheetName val="Wynn LBO Calcs"/>
      <sheetName val="Unused Sheets ---&gt;"/>
      <sheetName val="LBO Analysis - MBA Only"/>
      <sheetName val="LBO_Summary (2)"/>
      <sheetName val="LBO_Summary (prelim)"/>
      <sheetName val="DCF Solution"/>
      <sheetName val="&gt;&gt;&gt; Original Data"/>
      <sheetName val="Cashflow Statement"/>
      <sheetName val="Income Statement"/>
      <sheetName val="Balance 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ibcliv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opLeftCell="A20" workbookViewId="0">
      <selection activeCell="A48" sqref="A48"/>
    </sheetView>
  </sheetViews>
  <sheetFormatPr defaultColWidth="8.88671875" defaultRowHeight="14.4"/>
  <cols>
    <col min="1" max="1" width="35.109375" customWidth="1"/>
    <col min="2" max="2" width="0" hidden="1" customWidth="1"/>
    <col min="3" max="8" width="11.88671875" customWidth="1"/>
  </cols>
  <sheetData>
    <row r="1" spans="1:8">
      <c r="A1" s="1070"/>
      <c r="B1" s="1070"/>
      <c r="C1" s="1070"/>
      <c r="D1" s="1070"/>
      <c r="E1" s="1070"/>
      <c r="F1" s="1070"/>
      <c r="G1" s="1070"/>
      <c r="H1" s="1070"/>
    </row>
    <row r="2" spans="1:8" ht="21">
      <c r="A2" s="1069" t="s">
        <v>0</v>
      </c>
      <c r="B2" s="1069"/>
      <c r="C2" s="1069"/>
      <c r="D2" s="1069"/>
      <c r="E2" s="1069"/>
      <c r="F2" s="1069"/>
      <c r="G2" s="1069"/>
      <c r="H2" s="1069"/>
    </row>
    <row r="3" spans="1:8">
      <c r="A3" s="1068"/>
      <c r="B3" s="1068"/>
      <c r="C3" s="1068"/>
      <c r="D3" s="1068"/>
      <c r="E3" s="1068"/>
      <c r="F3" s="1068"/>
      <c r="G3" s="1068"/>
      <c r="H3" s="1068"/>
    </row>
    <row r="4" spans="1:8">
      <c r="A4" s="1067" t="s">
        <v>1</v>
      </c>
      <c r="B4" s="1067"/>
      <c r="C4" s="1066" t="s">
        <v>2</v>
      </c>
      <c r="D4" s="1066" t="s">
        <v>3</v>
      </c>
      <c r="E4" s="1066" t="s">
        <v>4</v>
      </c>
      <c r="F4" s="1066" t="s">
        <v>5</v>
      </c>
      <c r="G4" s="1066" t="s">
        <v>6</v>
      </c>
      <c r="H4" s="1066" t="s">
        <v>7</v>
      </c>
    </row>
    <row r="5" spans="1:8">
      <c r="A5" s="1065" t="s">
        <v>8</v>
      </c>
      <c r="B5" s="1065"/>
      <c r="C5" s="1064" t="s">
        <v>9</v>
      </c>
      <c r="D5" s="1064" t="s">
        <v>10</v>
      </c>
      <c r="E5" s="1064" t="s">
        <v>11</v>
      </c>
      <c r="F5" s="1064" t="s">
        <v>12</v>
      </c>
      <c r="G5" s="1064" t="s">
        <v>13</v>
      </c>
      <c r="H5" s="1064" t="s">
        <v>14</v>
      </c>
    </row>
    <row r="6" spans="1:8">
      <c r="A6" s="1062" t="s">
        <v>15</v>
      </c>
      <c r="B6" s="1063"/>
      <c r="C6" s="1063"/>
      <c r="D6" s="1063"/>
      <c r="E6" s="1063"/>
      <c r="F6" s="1063"/>
      <c r="G6" s="1063"/>
      <c r="H6" s="1063"/>
    </row>
    <row r="7" spans="1:8">
      <c r="A7" s="1058" t="s">
        <v>16</v>
      </c>
      <c r="B7" s="1060"/>
      <c r="C7" s="1060"/>
      <c r="D7" s="1060"/>
      <c r="E7" s="1060"/>
      <c r="F7" s="1060"/>
      <c r="G7" s="1060"/>
      <c r="H7" s="1060"/>
    </row>
    <row r="8" spans="1:8">
      <c r="A8" s="1058" t="s">
        <v>17</v>
      </c>
      <c r="B8" s="1058" t="s">
        <v>18</v>
      </c>
      <c r="C8" s="1059" t="e">
        <f ca="1">BDH("BMBL US Equity","ARD_CASH_AND_EQUIVALENTS","FY 2018","FY 2018","Currency=USD","Period=FY","BEST_FPERIOD_OVERRIDE=FY","FILING_STATUS=MR","SCALING_FORMAT=MLN","Sort=A","Dates=H","DateFormat=P","Fill=—","Direction=H","UseDPDF=Y")</f>
        <v>#NAME?</v>
      </c>
      <c r="D8" s="1059" t="e">
        <f ca="1">BDH("BMBL US Equity","ARD_CASH_AND_EQUIVALENTS","FY 2019","FY 2019","Currency=USD","Period=FY","BEST_FPERIOD_OVERRIDE=FY","FILING_STATUS=MR","SCALING_FORMAT=MLN","Sort=A","Dates=H","DateFormat=P","Fill=—","Direction=H","UseDPDF=Y")</f>
        <v>#NAME?</v>
      </c>
      <c r="E8" s="1059" t="e">
        <f ca="1">BDH("BMBL US Equity","ARD_CASH_AND_EQUIVALENTS","FY 2020","FY 2020","Currency=USD","Period=FY","BEST_FPERIOD_OVERRIDE=FY","FILING_STATUS=MR","SCALING_FORMAT=MLN","Sort=A","Dates=H","DateFormat=P","Fill=—","Direction=H","UseDPDF=Y")</f>
        <v>#NAME?</v>
      </c>
      <c r="F8" s="1059" t="e">
        <f ca="1">BDH("BMBL US Equity","ARD_CASH_AND_EQUIVALENTS","FY 2021","FY 2021","Currency=USD","Period=FY","BEST_FPERIOD_OVERRIDE=FY","FILING_STATUS=MR","SCALING_FORMAT=MLN","Sort=A","Dates=H","DateFormat=P","Fill=—","Direction=H","UseDPDF=Y")</f>
        <v>#NAME?</v>
      </c>
      <c r="G8" s="1059" t="e">
        <f ca="1">BDH("BMBL US Equity","ARD_CASH_AND_EQUIVALENTS","FY 2022","FY 2022","Currency=USD","Period=FY","BEST_FPERIOD_OVERRIDE=FY","FILING_STATUS=MR","SCALING_FORMAT=MLN","Sort=A","Dates=H","DateFormat=P","Fill=—","Direction=H","UseDPDF=Y")</f>
        <v>#NAME?</v>
      </c>
      <c r="H8" s="1059" t="e">
        <f ca="1">BDH("BMBL US Equity","ARD_CASH_AND_EQUIVALENTS","FY 2023","FY 2023","Currency=USD","Period=FY","BEST_FPERIOD_OVERRIDE=FY","FILING_STATUS=MR","SCALING_FORMAT=MLN","Sort=A","Dates=H","DateFormat=P","Fill=—","Direction=H","UseDPDF=Y")</f>
        <v>#NAME?</v>
      </c>
    </row>
    <row r="9" spans="1:8">
      <c r="A9" s="1058" t="s">
        <v>19</v>
      </c>
      <c r="B9" s="1058" t="s">
        <v>20</v>
      </c>
      <c r="C9" s="1059" t="e">
        <f ca="1">BDH("BMBL US Equity","ARD_ACCTS_RECEIVABLE_TRADE","FY 2018","FY 2018","Currency=USD","Period=FY","BEST_FPERIOD_OVERRIDE=FY","FILING_STATUS=MR","SCALING_FORMAT=MLN","Sort=A","Dates=H","DateFormat=P","Fill=—","Direction=H","UseDPDF=Y")</f>
        <v>#NAME?</v>
      </c>
      <c r="D9" s="1059" t="e">
        <f ca="1">BDH("BMBL US Equity","ARD_ACCTS_RECEIVABLE_TRADE","FY 2019","FY 2019","Currency=USD","Period=FY","BEST_FPERIOD_OVERRIDE=FY","FILING_STATUS=MR","SCALING_FORMAT=MLN","Sort=A","Dates=H","DateFormat=P","Fill=—","Direction=H","UseDPDF=Y")</f>
        <v>#NAME?</v>
      </c>
      <c r="E9" s="1059" t="e">
        <f ca="1">BDH("BMBL US Equity","ARD_ACCTS_RECEIVABLE_TRADE","FY 2020","FY 2020","Currency=USD","Period=FY","BEST_FPERIOD_OVERRIDE=FY","FILING_STATUS=MR","SCALING_FORMAT=MLN","Sort=A","Dates=H","DateFormat=P","Fill=—","Direction=H","UseDPDF=Y")</f>
        <v>#NAME?</v>
      </c>
      <c r="F9" s="1059" t="e">
        <f ca="1">BDH("BMBL US Equity","ARD_ACCTS_RECEIVABLE_TRADE","FY 2021","FY 2021","Currency=USD","Period=FY","BEST_FPERIOD_OVERRIDE=FY","FILING_STATUS=MR","SCALING_FORMAT=MLN","Sort=A","Dates=H","DateFormat=P","Fill=—","Direction=H","UseDPDF=Y")</f>
        <v>#NAME?</v>
      </c>
      <c r="G9" s="1059" t="e">
        <f ca="1">BDH("BMBL US Equity","ARD_ACCTS_RECEIVABLE_TRADE","FY 2022","FY 2022","Currency=USD","Period=FY","BEST_FPERIOD_OVERRIDE=FY","FILING_STATUS=MR","SCALING_FORMAT=MLN","Sort=A","Dates=H","DateFormat=P","Fill=—","Direction=H","UseDPDF=Y")</f>
        <v>#NAME?</v>
      </c>
      <c r="H9" s="1059" t="e">
        <f ca="1">BDH("BMBL US Equity","ARD_ACCTS_RECEIVABLE_TRADE","FY 2023","FY 2023","Currency=USD","Period=FY","BEST_FPERIOD_OVERRIDE=FY","FILING_STATUS=MR","SCALING_FORMAT=MLN","Sort=A","Dates=H","DateFormat=P","Fill=—","Direction=H","UseDPDF=Y")</f>
        <v>#NAME?</v>
      </c>
    </row>
    <row r="10" spans="1:8">
      <c r="A10" s="1058" t="s">
        <v>21</v>
      </c>
      <c r="B10" s="1058" t="s">
        <v>22</v>
      </c>
      <c r="C10" s="1059" t="e">
        <f ca="1">BDH("BMBL US Equity","ARD_OTHER_CURRENT_ASSETS","FY 2018","FY 2018","Currency=USD","Period=FY","BEST_FPERIOD_OVERRIDE=FY","FILING_STATUS=MR","SCALING_FORMAT=MLN","Sort=A","Dates=H","DateFormat=P","Fill=—","Direction=H","UseDPDF=Y")</f>
        <v>#NAME?</v>
      </c>
      <c r="D10" s="1059" t="e">
        <f ca="1">BDH("BMBL US Equity","ARD_OTHER_CURRENT_ASSETS","FY 2019","FY 2019","Currency=USD","Period=FY","BEST_FPERIOD_OVERRIDE=FY","FILING_STATUS=MR","SCALING_FORMAT=MLN","Sort=A","Dates=H","DateFormat=P","Fill=—","Direction=H","UseDPDF=Y")</f>
        <v>#NAME?</v>
      </c>
      <c r="E10" s="1059" t="e">
        <f ca="1">BDH("BMBL US Equity","ARD_OTHER_CURRENT_ASSETS","FY 2020","FY 2020","Currency=USD","Period=FY","BEST_FPERIOD_OVERRIDE=FY","FILING_STATUS=MR","SCALING_FORMAT=MLN","Sort=A","Dates=H","DateFormat=P","Fill=—","Direction=H","UseDPDF=Y")</f>
        <v>#NAME?</v>
      </c>
      <c r="F10" s="1059" t="e">
        <f ca="1">BDH("BMBL US Equity","ARD_OTHER_CURRENT_ASSETS","FY 2021","FY 2021","Currency=USD","Period=FY","BEST_FPERIOD_OVERRIDE=FY","FILING_STATUS=MR","SCALING_FORMAT=MLN","Sort=A","Dates=H","DateFormat=P","Fill=—","Direction=H","UseDPDF=Y")</f>
        <v>#NAME?</v>
      </c>
      <c r="G10" s="1059" t="e">
        <f ca="1">BDH("BMBL US Equity","ARD_OTHER_CURRENT_ASSETS","FY 2022","FY 2022","Currency=USD","Period=FY","BEST_FPERIOD_OVERRIDE=FY","FILING_STATUS=MR","SCALING_FORMAT=MLN","Sort=A","Dates=H","DateFormat=P","Fill=—","Direction=H","UseDPDF=Y")</f>
        <v>#NAME?</v>
      </c>
      <c r="H10" s="1059" t="e">
        <f ca="1">BDH("BMBL US Equity","ARD_OTHER_CURRENT_ASSETS","FY 2023","FY 2023","Currency=USD","Period=FY","BEST_FPERIOD_OVERRIDE=FY","FILING_STATUS=MR","SCALING_FORMAT=MLN","Sort=A","Dates=H","DateFormat=P","Fill=—","Direction=H","UseDPDF=Y")</f>
        <v>#NAME?</v>
      </c>
    </row>
    <row r="11" spans="1:8">
      <c r="A11" s="1058" t="s">
        <v>23</v>
      </c>
      <c r="B11" s="1058" t="s">
        <v>24</v>
      </c>
      <c r="C11" s="1059" t="e">
        <f ca="1">BDH("BMBL US Equity","ARD_DUE_FROM_PARTIES_AFF_ST","FY 2018","FY 2018","Currency=USD","Period=FY","BEST_FPERIOD_OVERRIDE=FY","FILING_STATUS=MR","SCALING_FORMAT=MLN","Sort=A","Dates=H","DateFormat=P","Fill=—","Direction=H","UseDPDF=Y")</f>
        <v>#NAME?</v>
      </c>
      <c r="D11" s="1059" t="e">
        <f ca="1">BDH("BMBL US Equity","ARD_DUE_FROM_PARTIES_AFF_ST","FY 2019","FY 2019","Currency=USD","Period=FY","BEST_FPERIOD_OVERRIDE=FY","FILING_STATUS=MR","SCALING_FORMAT=MLN","Sort=A","Dates=H","DateFormat=P","Fill=—","Direction=H","UseDPDF=Y")</f>
        <v>#NAME?</v>
      </c>
      <c r="E11" s="1059" t="e">
        <f ca="1">BDH("BMBL US Equity","ARD_DUE_FROM_PARTIES_AFF_ST","FY 2020","FY 2020","Currency=USD","Period=FY","BEST_FPERIOD_OVERRIDE=FY","FILING_STATUS=MR","SCALING_FORMAT=MLN","Sort=A","Dates=H","DateFormat=P","Fill=—","Direction=H","UseDPDF=Y")</f>
        <v>#NAME?</v>
      </c>
      <c r="F11" s="1059" t="e">
        <f ca="1">BDH("BMBL US Equity","ARD_DUE_FROM_PARTIES_AFF_ST","FY 2021","FY 2021","Currency=USD","Period=FY","BEST_FPERIOD_OVERRIDE=FY","FILING_STATUS=MR","SCALING_FORMAT=MLN","Sort=A","Dates=H","DateFormat=P","Fill=—","Direction=H","UseDPDF=Y")</f>
        <v>#NAME?</v>
      </c>
      <c r="G11" s="1059" t="e">
        <f ca="1">BDH("BMBL US Equity","ARD_DUE_FROM_PARTIES_AFF_ST","FY 2022","FY 2022","Currency=USD","Period=FY","BEST_FPERIOD_OVERRIDE=FY","FILING_STATUS=MR","SCALING_FORMAT=MLN","Sort=A","Dates=H","DateFormat=P","Fill=—","Direction=H","UseDPDF=Y")</f>
        <v>#NAME?</v>
      </c>
      <c r="H11" s="1059" t="e">
        <f ca="1">BDH("BMBL US Equity","ARD_DUE_FROM_PARTIES_AFF_ST","FY 2023","FY 2023","Currency=USD","Period=FY","BEST_FPERIOD_OVERRIDE=FY","FILING_STATUS=MR","SCALING_FORMAT=MLN","Sort=A","Dates=H","DateFormat=P","Fill=—","Direction=H","UseDPDF=Y")</f>
        <v>#NAME?</v>
      </c>
    </row>
    <row r="12" spans="1:8">
      <c r="A12" s="1062" t="s">
        <v>25</v>
      </c>
      <c r="B12" s="1062" t="s">
        <v>26</v>
      </c>
      <c r="C12" s="1061" t="e">
        <f ca="1">BDH("BMBL US Equity","ARD_TOTAL_CUR_ASSETS","FY 2018","FY 2018","Currency=USD","Period=FY","BEST_FPERIOD_OVERRIDE=FY","FILING_STATUS=MR","SCALING_FORMAT=MLN","Sort=A","Dates=H","DateFormat=P","Fill=—","Direction=H","UseDPDF=Y")</f>
        <v>#NAME?</v>
      </c>
      <c r="D12" s="1061" t="e">
        <f ca="1">BDH("BMBL US Equity","ARD_TOTAL_CUR_ASSETS","FY 2019","FY 2019","Currency=USD","Period=FY","BEST_FPERIOD_OVERRIDE=FY","FILING_STATUS=MR","SCALING_FORMAT=MLN","Sort=A","Dates=H","DateFormat=P","Fill=—","Direction=H","UseDPDF=Y")</f>
        <v>#NAME?</v>
      </c>
      <c r="E12" s="1061" t="e">
        <f ca="1">BDH("BMBL US Equity","ARD_TOTAL_CUR_ASSETS","FY 2020","FY 2020","Currency=USD","Period=FY","BEST_FPERIOD_OVERRIDE=FY","FILING_STATUS=MR","SCALING_FORMAT=MLN","Sort=A","Dates=H","DateFormat=P","Fill=—","Direction=H","UseDPDF=Y")</f>
        <v>#NAME?</v>
      </c>
      <c r="F12" s="1061" t="e">
        <f ca="1">BDH("BMBL US Equity","ARD_TOTAL_CUR_ASSETS","FY 2021","FY 2021","Currency=USD","Period=FY","BEST_FPERIOD_OVERRIDE=FY","FILING_STATUS=MR","SCALING_FORMAT=MLN","Sort=A","Dates=H","DateFormat=P","Fill=—","Direction=H","UseDPDF=Y")</f>
        <v>#NAME?</v>
      </c>
      <c r="G12" s="1061" t="e">
        <f ca="1">BDH("BMBL US Equity","ARD_TOTAL_CUR_ASSETS","FY 2022","FY 2022","Currency=USD","Period=FY","BEST_FPERIOD_OVERRIDE=FY","FILING_STATUS=MR","SCALING_FORMAT=MLN","Sort=A","Dates=H","DateFormat=P","Fill=—","Direction=H","UseDPDF=Y")</f>
        <v>#NAME?</v>
      </c>
      <c r="H12" s="1061" t="e">
        <f ca="1">BDH("BMBL US Equity","ARD_TOTAL_CUR_ASSETS","FY 2023","FY 2023","Currency=USD","Period=FY","BEST_FPERIOD_OVERRIDE=FY","FILING_STATUS=MR","SCALING_FORMAT=MLN","Sort=A","Dates=H","DateFormat=P","Fill=—","Direction=H","UseDPDF=Y")</f>
        <v>#NAME?</v>
      </c>
    </row>
    <row r="13" spans="1:8">
      <c r="A13" s="1062"/>
      <c r="B13" s="1062"/>
      <c r="C13" s="1061"/>
      <c r="D13" s="1061"/>
      <c r="E13" s="1061"/>
      <c r="F13" s="1061"/>
      <c r="G13" s="1061"/>
      <c r="H13" s="1061"/>
    </row>
    <row r="14" spans="1:8">
      <c r="A14" s="1058" t="s">
        <v>27</v>
      </c>
      <c r="B14" s="1060"/>
      <c r="C14" s="1060"/>
      <c r="D14" s="1060"/>
      <c r="E14" s="1060"/>
      <c r="F14" s="1060"/>
      <c r="G14" s="1060"/>
      <c r="H14" s="1060"/>
    </row>
    <row r="15" spans="1:8">
      <c r="A15" s="1058" t="s">
        <v>28</v>
      </c>
      <c r="B15" s="1058" t="s">
        <v>29</v>
      </c>
      <c r="C15" s="1059" t="e">
        <f ca="1">BDH("BMBL US Equity","ARD_PROPERTY_PLANT_EQUIP_NET","FY 2018","FY 2018","Currency=USD","Period=FY","BEST_FPERIOD_OVERRIDE=FY","FILING_STATUS=MR","SCALING_FORMAT=MLN","Sort=A","Dates=H","DateFormat=P","Fill=—","Direction=H","UseDPDF=Y")</f>
        <v>#NAME?</v>
      </c>
      <c r="D15" s="1059" t="e">
        <f ca="1">BDH("BMBL US Equity","ARD_PROPERTY_PLANT_EQUIP_NET","FY 2019","FY 2019","Currency=USD","Period=FY","BEST_FPERIOD_OVERRIDE=FY","FILING_STATUS=MR","SCALING_FORMAT=MLN","Sort=A","Dates=H","DateFormat=P","Fill=—","Direction=H","UseDPDF=Y")</f>
        <v>#NAME?</v>
      </c>
      <c r="E15" s="1059" t="e">
        <f ca="1">BDH("BMBL US Equity","ARD_PROPERTY_PLANT_EQUIP_NET","FY 2020","FY 2020","Currency=USD","Period=FY","BEST_FPERIOD_OVERRIDE=FY","FILING_STATUS=MR","SCALING_FORMAT=MLN","Sort=A","Dates=H","DateFormat=P","Fill=—","Direction=H","UseDPDF=Y")</f>
        <v>#NAME?</v>
      </c>
      <c r="F15" s="1059" t="e">
        <f ca="1">BDH("BMBL US Equity","ARD_PROPERTY_PLANT_EQUIP_NET","FY 2021","FY 2021","Currency=USD","Period=FY","BEST_FPERIOD_OVERRIDE=FY","FILING_STATUS=MR","SCALING_FORMAT=MLN","Sort=A","Dates=H","DateFormat=P","Fill=—","Direction=H","UseDPDF=Y")</f>
        <v>#NAME?</v>
      </c>
      <c r="G15" s="1059" t="e">
        <f ca="1">BDH("BMBL US Equity","ARD_PROPERTY_PLANT_EQUIP_NET","FY 2022","FY 2022","Currency=USD","Period=FY","BEST_FPERIOD_OVERRIDE=FY","FILING_STATUS=MR","SCALING_FORMAT=MLN","Sort=A","Dates=H","DateFormat=P","Fill=—","Direction=H","UseDPDF=Y")</f>
        <v>#NAME?</v>
      </c>
      <c r="H15" s="1059" t="e">
        <f ca="1">BDH("BMBL US Equity","ARD_PROPERTY_PLANT_EQUIP_NET","FY 2023","FY 2023","Currency=USD","Period=FY","BEST_FPERIOD_OVERRIDE=FY","FILING_STATUS=MR","SCALING_FORMAT=MLN","Sort=A","Dates=H","DateFormat=P","Fill=—","Direction=H","UseDPDF=Y")</f>
        <v>#NAME?</v>
      </c>
    </row>
    <row r="16" spans="1:8">
      <c r="A16" s="1058" t="s">
        <v>30</v>
      </c>
      <c r="B16" s="1058" t="s">
        <v>31</v>
      </c>
      <c r="C16" s="1059" t="e">
        <f ca="1">BDH("BMBL US Equity","ARD_DEFERRED_INC_TAX_ASSET_LT","FY 2018","FY 2018","Currency=USD","Period=FY","BEST_FPERIOD_OVERRIDE=FY","FILING_STATUS=MR","SCALING_FORMAT=MLN","Sort=A","Dates=H","DateFormat=P","Fill=—","Direction=H","UseDPDF=Y")</f>
        <v>#NAME?</v>
      </c>
      <c r="D16" s="1059" t="e">
        <f ca="1">BDH("BMBL US Equity","ARD_DEFERRED_INC_TAX_ASSET_LT","FY 2019","FY 2019","Currency=USD","Period=FY","BEST_FPERIOD_OVERRIDE=FY","FILING_STATUS=MR","SCALING_FORMAT=MLN","Sort=A","Dates=H","DateFormat=P","Fill=—","Direction=H","UseDPDF=Y")</f>
        <v>#NAME?</v>
      </c>
      <c r="E16" s="1059" t="e">
        <f ca="1">BDH("BMBL US Equity","ARD_DEFERRED_INC_TAX_ASSET_LT","FY 2020","FY 2020","Currency=USD","Period=FY","BEST_FPERIOD_OVERRIDE=FY","FILING_STATUS=MR","SCALING_FORMAT=MLN","Sort=A","Dates=H","DateFormat=P","Fill=—","Direction=H","UseDPDF=Y")</f>
        <v>#NAME?</v>
      </c>
      <c r="F16" s="1059" t="e">
        <f ca="1">BDH("BMBL US Equity","ARD_DEFERRED_INC_TAX_ASSET_LT","FY 2021","FY 2021","Currency=USD","Period=FY","BEST_FPERIOD_OVERRIDE=FY","FILING_STATUS=MR","SCALING_FORMAT=MLN","Sort=A","Dates=H","DateFormat=P","Fill=—","Direction=H","UseDPDF=Y")</f>
        <v>#NAME?</v>
      </c>
      <c r="G16" s="1059" t="e">
        <f ca="1">BDH("BMBL US Equity","ARD_DEFERRED_INC_TAX_ASSET_LT","FY 2022","FY 2022","Currency=USD","Period=FY","BEST_FPERIOD_OVERRIDE=FY","FILING_STATUS=MR","SCALING_FORMAT=MLN","Sort=A","Dates=H","DateFormat=P","Fill=—","Direction=H","UseDPDF=Y")</f>
        <v>#NAME?</v>
      </c>
      <c r="H16" s="1059" t="e">
        <f ca="1">BDH("BMBL US Equity","ARD_DEFERRED_INC_TAX_ASSET_LT","FY 2023","FY 2023","Currency=USD","Period=FY","BEST_FPERIOD_OVERRIDE=FY","FILING_STATUS=MR","SCALING_FORMAT=MLN","Sort=A","Dates=H","DateFormat=P","Fill=—","Direction=H","UseDPDF=Y")</f>
        <v>#NAME?</v>
      </c>
    </row>
    <row r="17" spans="1:8">
      <c r="A17" s="1058" t="s">
        <v>32</v>
      </c>
      <c r="B17" s="1058" t="s">
        <v>33</v>
      </c>
      <c r="C17" s="1059" t="e">
        <f ca="1">BDH("BMBL US Equity","ARD_TOTAL_INTANGIBLE_ASSET_NET","FY 2018","FY 2018","Currency=USD","Period=FY","BEST_FPERIOD_OVERRIDE=FY","FILING_STATUS=MR","SCALING_FORMAT=MLN","Sort=A","Dates=H","DateFormat=P","Fill=—","Direction=H","UseDPDF=Y")</f>
        <v>#NAME?</v>
      </c>
      <c r="D17" s="1059" t="e">
        <f ca="1">BDH("BMBL US Equity","ARD_TOTAL_INTANGIBLE_ASSET_NET","FY 2019","FY 2019","Currency=USD","Period=FY","BEST_FPERIOD_OVERRIDE=FY","FILING_STATUS=MR","SCALING_FORMAT=MLN","Sort=A","Dates=H","DateFormat=P","Fill=—","Direction=H","UseDPDF=Y")</f>
        <v>#NAME?</v>
      </c>
      <c r="E17" s="1059" t="e">
        <f ca="1">BDH("BMBL US Equity","ARD_TOTAL_INTANGIBLE_ASSET_NET","FY 2020","FY 2020","Currency=USD","Period=FY","BEST_FPERIOD_OVERRIDE=FY","FILING_STATUS=MR","SCALING_FORMAT=MLN","Sort=A","Dates=H","DateFormat=P","Fill=—","Direction=H","UseDPDF=Y")</f>
        <v>#NAME?</v>
      </c>
      <c r="F17" s="1059" t="e">
        <f ca="1">BDH("BMBL US Equity","ARD_TOTAL_INTANGIBLE_ASSET_NET","FY 2021","FY 2021","Currency=USD","Period=FY","BEST_FPERIOD_OVERRIDE=FY","FILING_STATUS=MR","SCALING_FORMAT=MLN","Sort=A","Dates=H","DateFormat=P","Fill=—","Direction=H","UseDPDF=Y")</f>
        <v>#NAME?</v>
      </c>
      <c r="G17" s="1059" t="e">
        <f ca="1">BDH("BMBL US Equity","ARD_TOTAL_INTANGIBLE_ASSET_NET","FY 2022","FY 2022","Currency=USD","Period=FY","BEST_FPERIOD_OVERRIDE=FY","FILING_STATUS=MR","SCALING_FORMAT=MLN","Sort=A","Dates=H","DateFormat=P","Fill=—","Direction=H","UseDPDF=Y")</f>
        <v>#NAME?</v>
      </c>
      <c r="H17" s="1059" t="e">
        <f ca="1">BDH("BMBL US Equity","ARD_TOTAL_INTANGIBLE_ASSET_NET","FY 2023","FY 2023","Currency=USD","Period=FY","BEST_FPERIOD_OVERRIDE=FY","FILING_STATUS=MR","SCALING_FORMAT=MLN","Sort=A","Dates=H","DateFormat=P","Fill=—","Direction=H","UseDPDF=Y")</f>
        <v>#NAME?</v>
      </c>
    </row>
    <row r="18" spans="1:8">
      <c r="A18" s="1058" t="s">
        <v>34</v>
      </c>
      <c r="B18" s="1058" t="s">
        <v>35</v>
      </c>
      <c r="C18" s="1059" t="e">
        <f ca="1">BDH("BMBL US Equity","ARD_OTHER_INTANGIBLE_ASSET","FY 2018","FY 2018","Currency=USD","Period=FY","BEST_FPERIOD_OVERRIDE=FY","FILING_STATUS=MR","SCALING_FORMAT=MLN","Sort=A","Dates=H","DateFormat=P","Fill=—","Direction=H","UseDPDF=Y")</f>
        <v>#NAME?</v>
      </c>
      <c r="D18" s="1059" t="e">
        <f ca="1">BDH("BMBL US Equity","ARD_OTHER_INTANGIBLE_ASSET","FY 2019","FY 2019","Currency=USD","Period=FY","BEST_FPERIOD_OVERRIDE=FY","FILING_STATUS=MR","SCALING_FORMAT=MLN","Sort=A","Dates=H","DateFormat=P","Fill=—","Direction=H","UseDPDF=Y")</f>
        <v>#NAME?</v>
      </c>
      <c r="E18" s="1059" t="e">
        <f ca="1">BDH("BMBL US Equity","ARD_OTHER_INTANGIBLE_ASSET","FY 2020","FY 2020","Currency=USD","Period=FY","BEST_FPERIOD_OVERRIDE=FY","FILING_STATUS=MR","SCALING_FORMAT=MLN","Sort=A","Dates=H","DateFormat=P","Fill=—","Direction=H","UseDPDF=Y")</f>
        <v>#NAME?</v>
      </c>
      <c r="F18" s="1059" t="e">
        <f ca="1">BDH("BMBL US Equity","ARD_OTHER_INTANGIBLE_ASSET","FY 2021","FY 2021","Currency=USD","Period=FY","BEST_FPERIOD_OVERRIDE=FY","FILING_STATUS=MR","SCALING_FORMAT=MLN","Sort=A","Dates=H","DateFormat=P","Fill=—","Direction=H","UseDPDF=Y")</f>
        <v>#NAME?</v>
      </c>
      <c r="G18" s="1059" t="e">
        <f ca="1">BDH("BMBL US Equity","ARD_OTHER_INTANGIBLE_ASSET","FY 2022","FY 2022","Currency=USD","Period=FY","BEST_FPERIOD_OVERRIDE=FY","FILING_STATUS=MR","SCALING_FORMAT=MLN","Sort=A","Dates=H","DateFormat=P","Fill=—","Direction=H","UseDPDF=Y")</f>
        <v>#NAME?</v>
      </c>
      <c r="H18" s="1059" t="e">
        <f ca="1">BDH("BMBL US Equity","ARD_OTHER_INTANGIBLE_ASSET","FY 2023","FY 2023","Currency=USD","Period=FY","BEST_FPERIOD_OVERRIDE=FY","FILING_STATUS=MR","SCALING_FORMAT=MLN","Sort=A","Dates=H","DateFormat=P","Fill=—","Direction=H","UseDPDF=Y")</f>
        <v>#NAME?</v>
      </c>
    </row>
    <row r="19" spans="1:8">
      <c r="A19" s="1058" t="s">
        <v>36</v>
      </c>
      <c r="B19" s="1058" t="s">
        <v>37</v>
      </c>
      <c r="C19" s="1059" t="e">
        <f ca="1">BDH("BMBL US Equity","ARD_GOODWLL","FY 2018","FY 2018","Currency=USD","Period=FY","BEST_FPERIOD_OVERRIDE=FY","FILING_STATUS=MR","SCALING_FORMAT=MLN","Sort=A","Dates=H","DateFormat=P","Fill=—","Direction=H","UseDPDF=Y")</f>
        <v>#NAME?</v>
      </c>
      <c r="D19" s="1059" t="e">
        <f ca="1">BDH("BMBL US Equity","ARD_GOODWLL","FY 2019","FY 2019","Currency=USD","Period=FY","BEST_FPERIOD_OVERRIDE=FY","FILING_STATUS=MR","SCALING_FORMAT=MLN","Sort=A","Dates=H","DateFormat=P","Fill=—","Direction=H","UseDPDF=Y")</f>
        <v>#NAME?</v>
      </c>
      <c r="E19" s="1059" t="e">
        <f ca="1">BDH("BMBL US Equity","ARD_GOODWLL","FY 2020","FY 2020","Currency=USD","Period=FY","BEST_FPERIOD_OVERRIDE=FY","FILING_STATUS=MR","SCALING_FORMAT=MLN","Sort=A","Dates=H","DateFormat=P","Fill=—","Direction=H","UseDPDF=Y")</f>
        <v>#NAME?</v>
      </c>
      <c r="F19" s="1059" t="e">
        <f ca="1">BDH("BMBL US Equity","ARD_GOODWLL","FY 2021","FY 2021","Currency=USD","Period=FY","BEST_FPERIOD_OVERRIDE=FY","FILING_STATUS=MR","SCALING_FORMAT=MLN","Sort=A","Dates=H","DateFormat=P","Fill=—","Direction=H","UseDPDF=Y")</f>
        <v>#NAME?</v>
      </c>
      <c r="G19" s="1059" t="e">
        <f ca="1">BDH("BMBL US Equity","ARD_GOODWLL","FY 2022","FY 2022","Currency=USD","Period=FY","BEST_FPERIOD_OVERRIDE=FY","FILING_STATUS=MR","SCALING_FORMAT=MLN","Sort=A","Dates=H","DateFormat=P","Fill=—","Direction=H","UseDPDF=Y")</f>
        <v>#NAME?</v>
      </c>
      <c r="H19" s="1059" t="e">
        <f ca="1">BDH("BMBL US Equity","ARD_GOODWLL","FY 2023","FY 2023","Currency=USD","Period=FY","BEST_FPERIOD_OVERRIDE=FY","FILING_STATUS=MR","SCALING_FORMAT=MLN","Sort=A","Dates=H","DateFormat=P","Fill=—","Direction=H","UseDPDF=Y")</f>
        <v>#NAME?</v>
      </c>
    </row>
    <row r="20" spans="1:8">
      <c r="A20" s="1058" t="s">
        <v>38</v>
      </c>
      <c r="B20" s="1058" t="s">
        <v>39</v>
      </c>
      <c r="C20" s="1059" t="e">
        <f ca="1">BDH("BMBL US Equity","ARD_OTHER_NONCURRENT_ASSET","FY 2018","FY 2018","Currency=USD","Period=FY","BEST_FPERIOD_OVERRIDE=FY","FILING_STATUS=MR","SCALING_FORMAT=MLN","Sort=A","Dates=H","DateFormat=P","Fill=—","Direction=H","UseDPDF=Y")</f>
        <v>#NAME?</v>
      </c>
      <c r="D20" s="1059" t="e">
        <f ca="1">BDH("BMBL US Equity","ARD_OTHER_NONCURRENT_ASSET","FY 2019","FY 2019","Currency=USD","Period=FY","BEST_FPERIOD_OVERRIDE=FY","FILING_STATUS=MR","SCALING_FORMAT=MLN","Sort=A","Dates=H","DateFormat=P","Fill=—","Direction=H","UseDPDF=Y")</f>
        <v>#NAME?</v>
      </c>
      <c r="E20" s="1059" t="e">
        <f ca="1">BDH("BMBL US Equity","ARD_OTHER_NONCURRENT_ASSET","FY 2020","FY 2020","Currency=USD","Period=FY","BEST_FPERIOD_OVERRIDE=FY","FILING_STATUS=MR","SCALING_FORMAT=MLN","Sort=A","Dates=H","DateFormat=P","Fill=—","Direction=H","UseDPDF=Y")</f>
        <v>#NAME?</v>
      </c>
      <c r="F20" s="1059" t="e">
        <f ca="1">BDH("BMBL US Equity","ARD_OTHER_NONCURRENT_ASSET","FY 2021","FY 2021","Currency=USD","Period=FY","BEST_FPERIOD_OVERRIDE=FY","FILING_STATUS=MR","SCALING_FORMAT=MLN","Sort=A","Dates=H","DateFormat=P","Fill=—","Direction=H","UseDPDF=Y")</f>
        <v>#NAME?</v>
      </c>
      <c r="G20" s="1059" t="e">
        <f ca="1">BDH("BMBL US Equity","ARD_OTHER_NONCURRENT_ASSET","FY 2022","FY 2022","Currency=USD","Period=FY","BEST_FPERIOD_OVERRIDE=FY","FILING_STATUS=MR","SCALING_FORMAT=MLN","Sort=A","Dates=H","DateFormat=P","Fill=—","Direction=H","UseDPDF=Y")</f>
        <v>#NAME?</v>
      </c>
      <c r="H20" s="1059" t="e">
        <f ca="1">BDH("BMBL US Equity","ARD_OTHER_NONCURRENT_ASSET","FY 2023","FY 2023","Currency=USD","Period=FY","BEST_FPERIOD_OVERRIDE=FY","FILING_STATUS=MR","SCALING_FORMAT=MLN","Sort=A","Dates=H","DateFormat=P","Fill=—","Direction=H","UseDPDF=Y")</f>
        <v>#NAME?</v>
      </c>
    </row>
    <row r="21" spans="1:8">
      <c r="A21" s="1058" t="s">
        <v>40</v>
      </c>
      <c r="B21" s="1058" t="s">
        <v>41</v>
      </c>
      <c r="C21" s="1059" t="e">
        <f ca="1">BDH("BMBL US Equity","ARD_OTHER_RECEIVABLES_LT","FY 2018","FY 2018","Currency=USD","Period=FY","BEST_FPERIOD_OVERRIDE=FY","FILING_STATUS=MR","SCALING_FORMAT=MLN","Sort=A","Dates=H","DateFormat=P","Fill=—","Direction=H","UseDPDF=Y")</f>
        <v>#NAME?</v>
      </c>
      <c r="D21" s="1059" t="e">
        <f ca="1">BDH("BMBL US Equity","ARD_OTHER_RECEIVABLES_LT","FY 2019","FY 2019","Currency=USD","Period=FY","BEST_FPERIOD_OVERRIDE=FY","FILING_STATUS=MR","SCALING_FORMAT=MLN","Sort=A","Dates=H","DateFormat=P","Fill=—","Direction=H","UseDPDF=Y")</f>
        <v>#NAME?</v>
      </c>
      <c r="E21" s="1059" t="e">
        <f ca="1">BDH("BMBL US Equity","ARD_OTHER_RECEIVABLES_LT","FY 2020","FY 2020","Currency=USD","Period=FY","BEST_FPERIOD_OVERRIDE=FY","FILING_STATUS=MR","SCALING_FORMAT=MLN","Sort=A","Dates=H","DateFormat=P","Fill=—","Direction=H","UseDPDF=Y")</f>
        <v>#NAME?</v>
      </c>
      <c r="F21" s="1059" t="e">
        <f ca="1">BDH("BMBL US Equity","ARD_OTHER_RECEIVABLES_LT","FY 2021","FY 2021","Currency=USD","Period=FY","BEST_FPERIOD_OVERRIDE=FY","FILING_STATUS=MR","SCALING_FORMAT=MLN","Sort=A","Dates=H","DateFormat=P","Fill=—","Direction=H","UseDPDF=Y")</f>
        <v>#NAME?</v>
      </c>
      <c r="G21" s="1059" t="e">
        <f ca="1">BDH("BMBL US Equity","ARD_OTHER_RECEIVABLES_LT","FY 2022","FY 2022","Currency=USD","Period=FY","BEST_FPERIOD_OVERRIDE=FY","FILING_STATUS=MR","SCALING_FORMAT=MLN","Sort=A","Dates=H","DateFormat=P","Fill=—","Direction=H","UseDPDF=Y")</f>
        <v>#NAME?</v>
      </c>
      <c r="H21" s="1059" t="e">
        <f ca="1">BDH("BMBL US Equity","ARD_OTHER_RECEIVABLES_LT","FY 2023","FY 2023","Currency=USD","Period=FY","BEST_FPERIOD_OVERRIDE=FY","FILING_STATUS=MR","SCALING_FORMAT=MLN","Sort=A","Dates=H","DateFormat=P","Fill=—","Direction=H","UseDPDF=Y")</f>
        <v>#NAME?</v>
      </c>
    </row>
    <row r="22" spans="1:8">
      <c r="A22" s="1058" t="s">
        <v>42</v>
      </c>
      <c r="B22" s="1058" t="s">
        <v>43</v>
      </c>
      <c r="C22" s="1059" t="e">
        <f ca="1">BDH("BMBL US Equity","ARD_TOTAL_NONCURRENT_ASSETS","FY 2018","FY 2018","Currency=USD","Period=FY","BEST_FPERIOD_OVERRIDE=FY","FILING_STATUS=MR","SCALING_FORMAT=MLN","Sort=A","Dates=H","DateFormat=P","Fill=—","Direction=H","UseDPDF=Y")</f>
        <v>#NAME?</v>
      </c>
      <c r="D22" s="1059" t="e">
        <f ca="1">BDH("BMBL US Equity","ARD_TOTAL_NONCURRENT_ASSETS","FY 2019","FY 2019","Currency=USD","Period=FY","BEST_FPERIOD_OVERRIDE=FY","FILING_STATUS=MR","SCALING_FORMAT=MLN","Sort=A","Dates=H","DateFormat=P","Fill=—","Direction=H","UseDPDF=Y")</f>
        <v>#NAME?</v>
      </c>
      <c r="E22" s="1059" t="e">
        <f ca="1">BDH("BMBL US Equity","ARD_TOTAL_NONCURRENT_ASSETS","FY 2020","FY 2020","Currency=USD","Period=FY","BEST_FPERIOD_OVERRIDE=FY","FILING_STATUS=MR","SCALING_FORMAT=MLN","Sort=A","Dates=H","DateFormat=P","Fill=—","Direction=H","UseDPDF=Y")</f>
        <v>#NAME?</v>
      </c>
      <c r="F22" s="1059" t="e">
        <f ca="1">BDH("BMBL US Equity","ARD_TOTAL_NONCURRENT_ASSETS","FY 2021","FY 2021","Currency=USD","Period=FY","BEST_FPERIOD_OVERRIDE=FY","FILING_STATUS=MR","SCALING_FORMAT=MLN","Sort=A","Dates=H","DateFormat=P","Fill=—","Direction=H","UseDPDF=Y")</f>
        <v>#NAME?</v>
      </c>
      <c r="G22" s="1059" t="e">
        <f ca="1">BDH("BMBL US Equity","ARD_TOTAL_NONCURRENT_ASSETS","FY 2022","FY 2022","Currency=USD","Period=FY","BEST_FPERIOD_OVERRIDE=FY","FILING_STATUS=MR","SCALING_FORMAT=MLN","Sort=A","Dates=H","DateFormat=P","Fill=—","Direction=H","UseDPDF=Y")</f>
        <v>#NAME?</v>
      </c>
      <c r="H22" s="1059" t="e">
        <f ca="1">BDH("BMBL US Equity","ARD_TOTAL_NONCURRENT_ASSETS","FY 2023","FY 2023","Currency=USD","Period=FY","BEST_FPERIOD_OVERRIDE=FY","FILING_STATUS=MR","SCALING_FORMAT=MLN","Sort=A","Dates=H","DateFormat=P","Fill=—","Direction=H","UseDPDF=Y")</f>
        <v>#NAME?</v>
      </c>
    </row>
    <row r="23" spans="1:8">
      <c r="A23" s="1062" t="s">
        <v>44</v>
      </c>
      <c r="B23" s="1062" t="s">
        <v>45</v>
      </c>
      <c r="C23" s="1061" t="e">
        <f ca="1">BDH("BMBL US Equity","ARD_TOT_ASSETS","FY 2018","FY 2018","Currency=USD","Period=FY","BEST_FPERIOD_OVERRIDE=FY","FILING_STATUS=MR","SCALING_FORMAT=MLN","Sort=A","Dates=H","DateFormat=P","Fill=—","Direction=H","UseDPDF=Y")</f>
        <v>#NAME?</v>
      </c>
      <c r="D23" s="1061" t="e">
        <f ca="1">BDH("BMBL US Equity","ARD_TOT_ASSETS","FY 2019","FY 2019","Currency=USD","Period=FY","BEST_FPERIOD_OVERRIDE=FY","FILING_STATUS=MR","SCALING_FORMAT=MLN","Sort=A","Dates=H","DateFormat=P","Fill=—","Direction=H","UseDPDF=Y")</f>
        <v>#NAME?</v>
      </c>
      <c r="E23" s="1061" t="e">
        <f ca="1">BDH("BMBL US Equity","ARD_TOT_ASSETS","FY 2020","FY 2020","Currency=USD","Period=FY","BEST_FPERIOD_OVERRIDE=FY","FILING_STATUS=MR","SCALING_FORMAT=MLN","Sort=A","Dates=H","DateFormat=P","Fill=—","Direction=H","UseDPDF=Y")</f>
        <v>#NAME?</v>
      </c>
      <c r="F23" s="1061" t="e">
        <f ca="1">BDH("BMBL US Equity","ARD_TOT_ASSETS","FY 2021","FY 2021","Currency=USD","Period=FY","BEST_FPERIOD_OVERRIDE=FY","FILING_STATUS=MR","SCALING_FORMAT=MLN","Sort=A","Dates=H","DateFormat=P","Fill=—","Direction=H","UseDPDF=Y")</f>
        <v>#NAME?</v>
      </c>
      <c r="G23" s="1061" t="e">
        <f ca="1">BDH("BMBL US Equity","ARD_TOT_ASSETS","FY 2022","FY 2022","Currency=USD","Period=FY","BEST_FPERIOD_OVERRIDE=FY","FILING_STATUS=MR","SCALING_FORMAT=MLN","Sort=A","Dates=H","DateFormat=P","Fill=—","Direction=H","UseDPDF=Y")</f>
        <v>#NAME?</v>
      </c>
      <c r="H23" s="1061" t="e">
        <f ca="1">BDH("BMBL US Equity","ARD_TOT_ASSETS","FY 2023","FY 2023","Currency=USD","Period=FY","BEST_FPERIOD_OVERRIDE=FY","FILING_STATUS=MR","SCALING_FORMAT=MLN","Sort=A","Dates=H","DateFormat=P","Fill=—","Direction=H","UseDPDF=Y")</f>
        <v>#NAME?</v>
      </c>
    </row>
    <row r="24" spans="1:8">
      <c r="A24" s="1062"/>
      <c r="B24" s="1062"/>
      <c r="C24" s="1061"/>
      <c r="D24" s="1061"/>
      <c r="E24" s="1061"/>
      <c r="F24" s="1061"/>
      <c r="G24" s="1061"/>
      <c r="H24" s="1061"/>
    </row>
    <row r="25" spans="1:8">
      <c r="A25" s="1058" t="s">
        <v>46</v>
      </c>
      <c r="B25" s="1060"/>
      <c r="C25" s="1060"/>
      <c r="D25" s="1060"/>
      <c r="E25" s="1060"/>
      <c r="F25" s="1060"/>
      <c r="G25" s="1060"/>
      <c r="H25" s="1060"/>
    </row>
    <row r="26" spans="1:8">
      <c r="A26" s="1058" t="s">
        <v>47</v>
      </c>
      <c r="B26" s="1058" t="s">
        <v>48</v>
      </c>
      <c r="C26" s="1059" t="e">
        <f ca="1">BDH("BMBL US Equity","ARD_ACCOUNTS_PAYABLE_TRADE","FY 2018","FY 2018","Currency=USD","Period=FY","BEST_FPERIOD_OVERRIDE=FY","FILING_STATUS=MR","SCALING_FORMAT=MLN","Sort=A","Dates=H","DateFormat=P","Fill=—","Direction=H","UseDPDF=Y")</f>
        <v>#NAME?</v>
      </c>
      <c r="D26" s="1059" t="e">
        <f ca="1">BDH("BMBL US Equity","ARD_ACCOUNTS_PAYABLE_TRADE","FY 2019","FY 2019","Currency=USD","Period=FY","BEST_FPERIOD_OVERRIDE=FY","FILING_STATUS=MR","SCALING_FORMAT=MLN","Sort=A","Dates=H","DateFormat=P","Fill=—","Direction=H","UseDPDF=Y")</f>
        <v>#NAME?</v>
      </c>
      <c r="E26" s="1059" t="e">
        <f ca="1">BDH("BMBL US Equity","ARD_ACCOUNTS_PAYABLE_TRADE","FY 2020","FY 2020","Currency=USD","Period=FY","BEST_FPERIOD_OVERRIDE=FY","FILING_STATUS=MR","SCALING_FORMAT=MLN","Sort=A","Dates=H","DateFormat=P","Fill=—","Direction=H","UseDPDF=Y")</f>
        <v>#NAME?</v>
      </c>
      <c r="F26" s="1059" t="e">
        <f ca="1">BDH("BMBL US Equity","ARD_ACCOUNTS_PAYABLE_TRADE","FY 2021","FY 2021","Currency=USD","Period=FY","BEST_FPERIOD_OVERRIDE=FY","FILING_STATUS=MR","SCALING_FORMAT=MLN","Sort=A","Dates=H","DateFormat=P","Fill=—","Direction=H","UseDPDF=Y")</f>
        <v>#NAME?</v>
      </c>
      <c r="G26" s="1059" t="e">
        <f ca="1">BDH("BMBL US Equity","ARD_ACCOUNTS_PAYABLE_TRADE","FY 2022","FY 2022","Currency=USD","Period=FY","BEST_FPERIOD_OVERRIDE=FY","FILING_STATUS=MR","SCALING_FORMAT=MLN","Sort=A","Dates=H","DateFormat=P","Fill=—","Direction=H","UseDPDF=Y")</f>
        <v>#NAME?</v>
      </c>
      <c r="H26" s="1059" t="e">
        <f ca="1">BDH("BMBL US Equity","ARD_ACCOUNTS_PAYABLE_TRADE","FY 2023","FY 2023","Currency=USD","Period=FY","BEST_FPERIOD_OVERRIDE=FY","FILING_STATUS=MR","SCALING_FORMAT=MLN","Sort=A","Dates=H","DateFormat=P","Fill=—","Direction=H","UseDPDF=Y")</f>
        <v>#NAME?</v>
      </c>
    </row>
    <row r="27" spans="1:8">
      <c r="A27" s="1058" t="s">
        <v>49</v>
      </c>
      <c r="B27" s="1058" t="s">
        <v>50</v>
      </c>
      <c r="C27" s="1059" t="e">
        <f ca="1">BDH("BMBL US Equity","ARD_CURRENT_PORTION_OF_LT_DEBT","FY 2018","FY 2018","Currency=USD","Period=FY","BEST_FPERIOD_OVERRIDE=FY","FILING_STATUS=MR","SCALING_FORMAT=MLN","Sort=A","Dates=H","DateFormat=P","Fill=—","Direction=H","UseDPDF=Y")</f>
        <v>#NAME?</v>
      </c>
      <c r="D27" s="1059" t="e">
        <f ca="1">BDH("BMBL US Equity","ARD_CURRENT_PORTION_OF_LT_DEBT","FY 2019","FY 2019","Currency=USD","Period=FY","BEST_FPERIOD_OVERRIDE=FY","FILING_STATUS=MR","SCALING_FORMAT=MLN","Sort=A","Dates=H","DateFormat=P","Fill=—","Direction=H","UseDPDF=Y")</f>
        <v>#NAME?</v>
      </c>
      <c r="E27" s="1059" t="e">
        <f ca="1">BDH("BMBL US Equity","ARD_CURRENT_PORTION_OF_LT_DEBT","FY 2020","FY 2020","Currency=USD","Period=FY","BEST_FPERIOD_OVERRIDE=FY","FILING_STATUS=MR","SCALING_FORMAT=MLN","Sort=A","Dates=H","DateFormat=P","Fill=—","Direction=H","UseDPDF=Y")</f>
        <v>#NAME?</v>
      </c>
      <c r="F27" s="1059" t="e">
        <f ca="1">BDH("BMBL US Equity","ARD_CURRENT_PORTION_OF_LT_DEBT","FY 2021","FY 2021","Currency=USD","Period=FY","BEST_FPERIOD_OVERRIDE=FY","FILING_STATUS=MR","SCALING_FORMAT=MLN","Sort=A","Dates=H","DateFormat=P","Fill=—","Direction=H","UseDPDF=Y")</f>
        <v>#NAME?</v>
      </c>
      <c r="G27" s="1059" t="e">
        <f ca="1">BDH("BMBL US Equity","ARD_CURRENT_PORTION_OF_LT_DEBT","FY 2022","FY 2022","Currency=USD","Period=FY","BEST_FPERIOD_OVERRIDE=FY","FILING_STATUS=MR","SCALING_FORMAT=MLN","Sort=A","Dates=H","DateFormat=P","Fill=—","Direction=H","UseDPDF=Y")</f>
        <v>#NAME?</v>
      </c>
      <c r="H27" s="1059" t="e">
        <f ca="1">BDH("BMBL US Equity","ARD_CURRENT_PORTION_OF_LT_DEBT","FY 2023","FY 2023","Currency=USD","Period=FY","BEST_FPERIOD_OVERRIDE=FY","FILING_STATUS=MR","SCALING_FORMAT=MLN","Sort=A","Dates=H","DateFormat=P","Fill=—","Direction=H","UseDPDF=Y")</f>
        <v>#NAME?</v>
      </c>
    </row>
    <row r="28" spans="1:8">
      <c r="A28" s="1058" t="s">
        <v>51</v>
      </c>
      <c r="B28" s="1058" t="s">
        <v>52</v>
      </c>
      <c r="C28" s="1059" t="e">
        <f ca="1">BDH("BMBL US Equity","ARD_ACCRUED_EXP_AND_OTHER","FY 2018","FY 2018","Currency=USD","Period=FY","BEST_FPERIOD_OVERRIDE=FY","FILING_STATUS=MR","SCALING_FORMAT=MLN","Sort=A","Dates=H","DateFormat=P","Fill=—","Direction=H","UseDPDF=Y")</f>
        <v>#NAME?</v>
      </c>
      <c r="D28" s="1059" t="e">
        <f ca="1">BDH("BMBL US Equity","ARD_ACCRUED_EXP_AND_OTHER","FY 2019","FY 2019","Currency=USD","Period=FY","BEST_FPERIOD_OVERRIDE=FY","FILING_STATUS=MR","SCALING_FORMAT=MLN","Sort=A","Dates=H","DateFormat=P","Fill=—","Direction=H","UseDPDF=Y")</f>
        <v>#NAME?</v>
      </c>
      <c r="E28" s="1059" t="e">
        <f ca="1">BDH("BMBL US Equity","ARD_ACCRUED_EXP_AND_OTHER","FY 2020","FY 2020","Currency=USD","Period=FY","BEST_FPERIOD_OVERRIDE=FY","FILING_STATUS=MR","SCALING_FORMAT=MLN","Sort=A","Dates=H","DateFormat=P","Fill=—","Direction=H","UseDPDF=Y")</f>
        <v>#NAME?</v>
      </c>
      <c r="F28" s="1059" t="e">
        <f ca="1">BDH("BMBL US Equity","ARD_ACCRUED_EXP_AND_OTHER","FY 2021","FY 2021","Currency=USD","Period=FY","BEST_FPERIOD_OVERRIDE=FY","FILING_STATUS=MR","SCALING_FORMAT=MLN","Sort=A","Dates=H","DateFormat=P","Fill=—","Direction=H","UseDPDF=Y")</f>
        <v>#NAME?</v>
      </c>
      <c r="G28" s="1059" t="e">
        <f ca="1">BDH("BMBL US Equity","ARD_ACCRUED_EXP_AND_OTHER","FY 2022","FY 2022","Currency=USD","Period=FY","BEST_FPERIOD_OVERRIDE=FY","FILING_STATUS=MR","SCALING_FORMAT=MLN","Sort=A","Dates=H","DateFormat=P","Fill=—","Direction=H","UseDPDF=Y")</f>
        <v>#NAME?</v>
      </c>
      <c r="H28" s="1059" t="e">
        <f ca="1">BDH("BMBL US Equity","ARD_ACCRUED_EXP_AND_OTHER","FY 2023","FY 2023","Currency=USD","Period=FY","BEST_FPERIOD_OVERRIDE=FY","FILING_STATUS=MR","SCALING_FORMAT=MLN","Sort=A","Dates=H","DateFormat=P","Fill=—","Direction=H","UseDPDF=Y")</f>
        <v>#NAME?</v>
      </c>
    </row>
    <row r="29" spans="1:8">
      <c r="A29" s="1058" t="s">
        <v>53</v>
      </c>
      <c r="B29" s="1058" t="s">
        <v>54</v>
      </c>
      <c r="C29" s="1059" t="e">
        <f ca="1">BDH("BMBL US Equity","ARD_DEFERRED_UNEARNED_REV_ST","FY 2018","FY 2018","Currency=USD","Period=FY","BEST_FPERIOD_OVERRIDE=FY","FILING_STATUS=MR","SCALING_FORMAT=MLN","Sort=A","Dates=H","DateFormat=P","Fill=—","Direction=H","UseDPDF=Y")</f>
        <v>#NAME?</v>
      </c>
      <c r="D29" s="1059" t="e">
        <f ca="1">BDH("BMBL US Equity","ARD_DEFERRED_UNEARNED_REV_ST","FY 2019","FY 2019","Currency=USD","Period=FY","BEST_FPERIOD_OVERRIDE=FY","FILING_STATUS=MR","SCALING_FORMAT=MLN","Sort=A","Dates=H","DateFormat=P","Fill=—","Direction=H","UseDPDF=Y")</f>
        <v>#NAME?</v>
      </c>
      <c r="E29" s="1059" t="e">
        <f ca="1">BDH("BMBL US Equity","ARD_DEFERRED_UNEARNED_REV_ST","FY 2020","FY 2020","Currency=USD","Period=FY","BEST_FPERIOD_OVERRIDE=FY","FILING_STATUS=MR","SCALING_FORMAT=MLN","Sort=A","Dates=H","DateFormat=P","Fill=—","Direction=H","UseDPDF=Y")</f>
        <v>#NAME?</v>
      </c>
      <c r="F29" s="1059" t="e">
        <f ca="1">BDH("BMBL US Equity","ARD_DEFERRED_UNEARNED_REV_ST","FY 2021","FY 2021","Currency=USD","Period=FY","BEST_FPERIOD_OVERRIDE=FY","FILING_STATUS=MR","SCALING_FORMAT=MLN","Sort=A","Dates=H","DateFormat=P","Fill=—","Direction=H","UseDPDF=Y")</f>
        <v>#NAME?</v>
      </c>
      <c r="G29" s="1059" t="e">
        <f ca="1">BDH("BMBL US Equity","ARD_DEFERRED_UNEARNED_REV_ST","FY 2022","FY 2022","Currency=USD","Period=FY","BEST_FPERIOD_OVERRIDE=FY","FILING_STATUS=MR","SCALING_FORMAT=MLN","Sort=A","Dates=H","DateFormat=P","Fill=—","Direction=H","UseDPDF=Y")</f>
        <v>#NAME?</v>
      </c>
      <c r="H29" s="1059" t="e">
        <f ca="1">BDH("BMBL US Equity","ARD_DEFERRED_UNEARNED_REV_ST","FY 2023","FY 2023","Currency=USD","Period=FY","BEST_FPERIOD_OVERRIDE=FY","FILING_STATUS=MR","SCALING_FORMAT=MLN","Sort=A","Dates=H","DateFormat=P","Fill=—","Direction=H","UseDPDF=Y")</f>
        <v>#NAME?</v>
      </c>
    </row>
    <row r="30" spans="1:8">
      <c r="A30" s="1062" t="s">
        <v>55</v>
      </c>
      <c r="B30" s="1062" t="s">
        <v>56</v>
      </c>
      <c r="C30" s="1061" t="e">
        <f ca="1">BDH("BMBL US Equity","ARD_TOTAL_CURRENT_LIABILITIES","FY 2018","FY 2018","Currency=USD","Period=FY","BEST_FPERIOD_OVERRIDE=FY","FILING_STATUS=MR","SCALING_FORMAT=MLN","Sort=A","Dates=H","DateFormat=P","Fill=—","Direction=H","UseDPDF=Y")</f>
        <v>#NAME?</v>
      </c>
      <c r="D30" s="1061" t="e">
        <f ca="1">BDH("BMBL US Equity","ARD_TOTAL_CURRENT_LIABILITIES","FY 2019","FY 2019","Currency=USD","Period=FY","BEST_FPERIOD_OVERRIDE=FY","FILING_STATUS=MR","SCALING_FORMAT=MLN","Sort=A","Dates=H","DateFormat=P","Fill=—","Direction=H","UseDPDF=Y")</f>
        <v>#NAME?</v>
      </c>
      <c r="E30" s="1061" t="e">
        <f ca="1">BDH("BMBL US Equity","ARD_TOTAL_CURRENT_LIABILITIES","FY 2020","FY 2020","Currency=USD","Period=FY","BEST_FPERIOD_OVERRIDE=FY","FILING_STATUS=MR","SCALING_FORMAT=MLN","Sort=A","Dates=H","DateFormat=P","Fill=—","Direction=H","UseDPDF=Y")</f>
        <v>#NAME?</v>
      </c>
      <c r="F30" s="1061" t="e">
        <f ca="1">BDH("BMBL US Equity","ARD_TOTAL_CURRENT_LIABILITIES","FY 2021","FY 2021","Currency=USD","Period=FY","BEST_FPERIOD_OVERRIDE=FY","FILING_STATUS=MR","SCALING_FORMAT=MLN","Sort=A","Dates=H","DateFormat=P","Fill=—","Direction=H","UseDPDF=Y")</f>
        <v>#NAME?</v>
      </c>
      <c r="G30" s="1061" t="e">
        <f ca="1">BDH("BMBL US Equity","ARD_TOTAL_CURRENT_LIABILITIES","FY 2022","FY 2022","Currency=USD","Period=FY","BEST_FPERIOD_OVERRIDE=FY","FILING_STATUS=MR","SCALING_FORMAT=MLN","Sort=A","Dates=H","DateFormat=P","Fill=—","Direction=H","UseDPDF=Y")</f>
        <v>#NAME?</v>
      </c>
      <c r="H30" s="1061" t="e">
        <f ca="1">BDH("BMBL US Equity","ARD_TOTAL_CURRENT_LIABILITIES","FY 2023","FY 2023","Currency=USD","Period=FY","BEST_FPERIOD_OVERRIDE=FY","FILING_STATUS=MR","SCALING_FORMAT=MLN","Sort=A","Dates=H","DateFormat=P","Fill=—","Direction=H","UseDPDF=Y")</f>
        <v>#NAME?</v>
      </c>
    </row>
    <row r="31" spans="1:8">
      <c r="A31" s="1062"/>
      <c r="B31" s="1062"/>
      <c r="C31" s="1061"/>
      <c r="D31" s="1061"/>
      <c r="E31" s="1061"/>
      <c r="F31" s="1061"/>
      <c r="G31" s="1061"/>
      <c r="H31" s="1061"/>
    </row>
    <row r="32" spans="1:8">
      <c r="A32" s="1058" t="s">
        <v>57</v>
      </c>
      <c r="B32" s="1060"/>
      <c r="C32" s="1060"/>
      <c r="D32" s="1060"/>
      <c r="E32" s="1060"/>
      <c r="F32" s="1060"/>
      <c r="G32" s="1060"/>
      <c r="H32" s="1060"/>
    </row>
    <row r="33" spans="1:8">
      <c r="A33" s="1058" t="s">
        <v>58</v>
      </c>
      <c r="B33" s="1058" t="s">
        <v>59</v>
      </c>
      <c r="C33" s="1059" t="e">
        <f ca="1">BDH("BMBL US Equity","ARD_TOT_NONCURRENT_LIABILITIES","FY 2018","FY 2018","Currency=USD","Period=FY","BEST_FPERIOD_OVERRIDE=FY","FILING_STATUS=MR","SCALING_FORMAT=MLN","Sort=A","Dates=H","DateFormat=P","Fill=—","Direction=H","UseDPDF=Y")</f>
        <v>#NAME?</v>
      </c>
      <c r="D33" s="1059" t="e">
        <f ca="1">BDH("BMBL US Equity","ARD_TOT_NONCURRENT_LIABILITIES","FY 2019","FY 2019","Currency=USD","Period=FY","BEST_FPERIOD_OVERRIDE=FY","FILING_STATUS=MR","SCALING_FORMAT=MLN","Sort=A","Dates=H","DateFormat=P","Fill=—","Direction=H","UseDPDF=Y")</f>
        <v>#NAME?</v>
      </c>
      <c r="E33" s="1059" t="e">
        <f ca="1">BDH("BMBL US Equity","ARD_TOT_NONCURRENT_LIABILITIES","FY 2020","FY 2020","Currency=USD","Period=FY","BEST_FPERIOD_OVERRIDE=FY","FILING_STATUS=MR","SCALING_FORMAT=MLN","Sort=A","Dates=H","DateFormat=P","Fill=—","Direction=H","UseDPDF=Y")</f>
        <v>#NAME?</v>
      </c>
      <c r="F33" s="1059" t="e">
        <f ca="1">BDH("BMBL US Equity","ARD_TOT_NONCURRENT_LIABILITIES","FY 2021","FY 2021","Currency=USD","Period=FY","BEST_FPERIOD_OVERRIDE=FY","FILING_STATUS=MR","SCALING_FORMAT=MLN","Sort=A","Dates=H","DateFormat=P","Fill=—","Direction=H","UseDPDF=Y")</f>
        <v>#NAME?</v>
      </c>
      <c r="G33" s="1059" t="e">
        <f ca="1">BDH("BMBL US Equity","ARD_TOT_NONCURRENT_LIABILITIES","FY 2022","FY 2022","Currency=USD","Period=FY","BEST_FPERIOD_OVERRIDE=FY","FILING_STATUS=MR","SCALING_FORMAT=MLN","Sort=A","Dates=H","DateFormat=P","Fill=—","Direction=H","UseDPDF=Y")</f>
        <v>#NAME?</v>
      </c>
      <c r="H33" s="1059" t="e">
        <f ca="1">BDH("BMBL US Equity","ARD_TOT_NONCURRENT_LIABILITIES","FY 2023","FY 2023","Currency=USD","Period=FY","BEST_FPERIOD_OVERRIDE=FY","FILING_STATUS=MR","SCALING_FORMAT=MLN","Sort=A","Dates=H","DateFormat=P","Fill=—","Direction=H","UseDPDF=Y")</f>
        <v>#NAME?</v>
      </c>
    </row>
    <row r="34" spans="1:8">
      <c r="A34" s="1058" t="s">
        <v>60</v>
      </c>
      <c r="B34" s="1058" t="s">
        <v>61</v>
      </c>
      <c r="C34" s="1059" t="e">
        <f ca="1">BDH("BMBL US Equity","ARD_LT_DEBT","FY 2018","FY 2018","Currency=USD","Period=FY","BEST_FPERIOD_OVERRIDE=FY","FILING_STATUS=MR","SCALING_FORMAT=MLN","Sort=A","Dates=H","DateFormat=P","Fill=—","Direction=H","UseDPDF=Y")</f>
        <v>#NAME?</v>
      </c>
      <c r="D34" s="1059" t="e">
        <f ca="1">BDH("BMBL US Equity","ARD_LT_DEBT","FY 2019","FY 2019","Currency=USD","Period=FY","BEST_FPERIOD_OVERRIDE=FY","FILING_STATUS=MR","SCALING_FORMAT=MLN","Sort=A","Dates=H","DateFormat=P","Fill=—","Direction=H","UseDPDF=Y")</f>
        <v>#NAME?</v>
      </c>
      <c r="E34" s="1059" t="e">
        <f ca="1">BDH("BMBL US Equity","ARD_LT_DEBT","FY 2020","FY 2020","Currency=USD","Period=FY","BEST_FPERIOD_OVERRIDE=FY","FILING_STATUS=MR","SCALING_FORMAT=MLN","Sort=A","Dates=H","DateFormat=P","Fill=—","Direction=H","UseDPDF=Y")</f>
        <v>#NAME?</v>
      </c>
      <c r="F34" s="1059" t="e">
        <f ca="1">BDH("BMBL US Equity","ARD_LT_DEBT","FY 2021","FY 2021","Currency=USD","Period=FY","BEST_FPERIOD_OVERRIDE=FY","FILING_STATUS=MR","SCALING_FORMAT=MLN","Sort=A","Dates=H","DateFormat=P","Fill=—","Direction=H","UseDPDF=Y")</f>
        <v>#NAME?</v>
      </c>
      <c r="G34" s="1059" t="e">
        <f ca="1">BDH("BMBL US Equity","ARD_LT_DEBT","FY 2022","FY 2022","Currency=USD","Period=FY","BEST_FPERIOD_OVERRIDE=FY","FILING_STATUS=MR","SCALING_FORMAT=MLN","Sort=A","Dates=H","DateFormat=P","Fill=—","Direction=H","UseDPDF=Y")</f>
        <v>#NAME?</v>
      </c>
      <c r="H34" s="1059" t="e">
        <f ca="1">BDH("BMBL US Equity","ARD_LT_DEBT","FY 2023","FY 2023","Currency=USD","Period=FY","BEST_FPERIOD_OVERRIDE=FY","FILING_STATUS=MR","SCALING_FORMAT=MLN","Sort=A","Dates=H","DateFormat=P","Fill=—","Direction=H","UseDPDF=Y")</f>
        <v>#NAME?</v>
      </c>
    </row>
    <row r="35" spans="1:8">
      <c r="A35" s="1058" t="s">
        <v>62</v>
      </c>
      <c r="B35" s="1058" t="s">
        <v>63</v>
      </c>
      <c r="C35" s="1059" t="e">
        <f ca="1">BDH("BMBL US Equity","ARD_DEFERRED_INCOME_TAXES_LIAB","FY 2018","FY 2018","Currency=USD","Period=FY","BEST_FPERIOD_OVERRIDE=FY","FILING_STATUS=MR","SCALING_FORMAT=MLN","Sort=A","Dates=H","DateFormat=P","Fill=—","Direction=H","UseDPDF=Y")</f>
        <v>#NAME?</v>
      </c>
      <c r="D35" s="1059" t="e">
        <f ca="1">BDH("BMBL US Equity","ARD_DEFERRED_INCOME_TAXES_LIAB","FY 2019","FY 2019","Currency=USD","Period=FY","BEST_FPERIOD_OVERRIDE=FY","FILING_STATUS=MR","SCALING_FORMAT=MLN","Sort=A","Dates=H","DateFormat=P","Fill=—","Direction=H","UseDPDF=Y")</f>
        <v>#NAME?</v>
      </c>
      <c r="E35" s="1059" t="e">
        <f ca="1">BDH("BMBL US Equity","ARD_DEFERRED_INCOME_TAXES_LIAB","FY 2020","FY 2020","Currency=USD","Period=FY","BEST_FPERIOD_OVERRIDE=FY","FILING_STATUS=MR","SCALING_FORMAT=MLN","Sort=A","Dates=H","DateFormat=P","Fill=—","Direction=H","UseDPDF=Y")</f>
        <v>#NAME?</v>
      </c>
      <c r="F35" s="1059" t="e">
        <f ca="1">BDH("BMBL US Equity","ARD_DEFERRED_INCOME_TAXES_LIAB","FY 2021","FY 2021","Currency=USD","Period=FY","BEST_FPERIOD_OVERRIDE=FY","FILING_STATUS=MR","SCALING_FORMAT=MLN","Sort=A","Dates=H","DateFormat=P","Fill=—","Direction=H","UseDPDF=Y")</f>
        <v>#NAME?</v>
      </c>
      <c r="G35" s="1059" t="e">
        <f ca="1">BDH("BMBL US Equity","ARD_DEFERRED_INCOME_TAXES_LIAB","FY 2022","FY 2022","Currency=USD","Period=FY","BEST_FPERIOD_OVERRIDE=FY","FILING_STATUS=MR","SCALING_FORMAT=MLN","Sort=A","Dates=H","DateFormat=P","Fill=—","Direction=H","UseDPDF=Y")</f>
        <v>#NAME?</v>
      </c>
      <c r="H35" s="1059" t="e">
        <f ca="1">BDH("BMBL US Equity","ARD_DEFERRED_INCOME_TAXES_LIAB","FY 2023","FY 2023","Currency=USD","Period=FY","BEST_FPERIOD_OVERRIDE=FY","FILING_STATUS=MR","SCALING_FORMAT=MLN","Sort=A","Dates=H","DateFormat=P","Fill=—","Direction=H","UseDPDF=Y")</f>
        <v>#NAME?</v>
      </c>
    </row>
    <row r="36" spans="1:8">
      <c r="A36" s="1058" t="s">
        <v>64</v>
      </c>
      <c r="B36" s="1058" t="s">
        <v>65</v>
      </c>
      <c r="C36" s="1059" t="e">
        <f ca="1">BDH("BMBL US Equity","ARD_OTH_NONCURRENT_LIABILITIES","FY 2018","FY 2018","Currency=USD","Period=FY","BEST_FPERIOD_OVERRIDE=FY","FILING_STATUS=MR","SCALING_FORMAT=MLN","Sort=A","Dates=H","DateFormat=P","Fill=—","Direction=H","UseDPDF=Y")</f>
        <v>#NAME?</v>
      </c>
      <c r="D36" s="1059" t="e">
        <f ca="1">BDH("BMBL US Equity","ARD_OTH_NONCURRENT_LIABILITIES","FY 2019","FY 2019","Currency=USD","Period=FY","BEST_FPERIOD_OVERRIDE=FY","FILING_STATUS=MR","SCALING_FORMAT=MLN","Sort=A","Dates=H","DateFormat=P","Fill=—","Direction=H","UseDPDF=Y")</f>
        <v>#NAME?</v>
      </c>
      <c r="E36" s="1059" t="e">
        <f ca="1">BDH("BMBL US Equity","ARD_OTH_NONCURRENT_LIABILITIES","FY 2020","FY 2020","Currency=USD","Period=FY","BEST_FPERIOD_OVERRIDE=FY","FILING_STATUS=MR","SCALING_FORMAT=MLN","Sort=A","Dates=H","DateFormat=P","Fill=—","Direction=H","UseDPDF=Y")</f>
        <v>#NAME?</v>
      </c>
      <c r="F36" s="1059" t="e">
        <f ca="1">BDH("BMBL US Equity","ARD_OTH_NONCURRENT_LIABILITIES","FY 2021","FY 2021","Currency=USD","Period=FY","BEST_FPERIOD_OVERRIDE=FY","FILING_STATUS=MR","SCALING_FORMAT=MLN","Sort=A","Dates=H","DateFormat=P","Fill=—","Direction=H","UseDPDF=Y")</f>
        <v>#NAME?</v>
      </c>
      <c r="G36" s="1059" t="e">
        <f ca="1">BDH("BMBL US Equity","ARD_OTH_NONCURRENT_LIABILITIES","FY 2022","FY 2022","Currency=USD","Period=FY","BEST_FPERIOD_OVERRIDE=FY","FILING_STATUS=MR","SCALING_FORMAT=MLN","Sort=A","Dates=H","DateFormat=P","Fill=—","Direction=H","UseDPDF=Y")</f>
        <v>#NAME?</v>
      </c>
      <c r="H36" s="1059" t="e">
        <f ca="1">BDH("BMBL US Equity","ARD_OTH_NONCURRENT_LIABILITIES","FY 2023","FY 2023","Currency=USD","Period=FY","BEST_FPERIOD_OVERRIDE=FY","FILING_STATUS=MR","SCALING_FORMAT=MLN","Sort=A","Dates=H","DateFormat=P","Fill=—","Direction=H","UseDPDF=Y")</f>
        <v>#NAME?</v>
      </c>
    </row>
    <row r="37" spans="1:8">
      <c r="A37" s="1058" t="s">
        <v>66</v>
      </c>
      <c r="B37" s="1058" t="s">
        <v>67</v>
      </c>
      <c r="C37" s="1059" t="e">
        <f ca="1">BDH("BMBL US Equity","ARD_PROVISION_FOR_TAXATION","FY 2018","FY 2018","Currency=USD","Period=FY","BEST_FPERIOD_OVERRIDE=FY","FILING_STATUS=MR","SCALING_FORMAT=MLN","Sort=A","Dates=H","DateFormat=P","Fill=—","Direction=H","UseDPDF=Y")</f>
        <v>#NAME?</v>
      </c>
      <c r="D37" s="1059" t="e">
        <f ca="1">BDH("BMBL US Equity","ARD_PROVISION_FOR_TAXATION","FY 2019","FY 2019","Currency=USD","Period=FY","BEST_FPERIOD_OVERRIDE=FY","FILING_STATUS=MR","SCALING_FORMAT=MLN","Sort=A","Dates=H","DateFormat=P","Fill=—","Direction=H","UseDPDF=Y")</f>
        <v>#NAME?</v>
      </c>
      <c r="E37" s="1059" t="e">
        <f ca="1">BDH("BMBL US Equity","ARD_PROVISION_FOR_TAXATION","FY 2020","FY 2020","Currency=USD","Period=FY","BEST_FPERIOD_OVERRIDE=FY","FILING_STATUS=MR","SCALING_FORMAT=MLN","Sort=A","Dates=H","DateFormat=P","Fill=—","Direction=H","UseDPDF=Y")</f>
        <v>#NAME?</v>
      </c>
      <c r="F37" s="1059" t="e">
        <f ca="1">BDH("BMBL US Equity","ARD_PROVISION_FOR_TAXATION","FY 2021","FY 2021","Currency=USD","Period=FY","BEST_FPERIOD_OVERRIDE=FY","FILING_STATUS=MR","SCALING_FORMAT=MLN","Sort=A","Dates=H","DateFormat=P","Fill=—","Direction=H","UseDPDF=Y")</f>
        <v>#NAME?</v>
      </c>
      <c r="G37" s="1059" t="e">
        <f ca="1">BDH("BMBL US Equity","ARD_PROVISION_FOR_TAXATION","FY 2022","FY 2022","Currency=USD","Period=FY","BEST_FPERIOD_OVERRIDE=FY","FILING_STATUS=MR","SCALING_FORMAT=MLN","Sort=A","Dates=H","DateFormat=P","Fill=—","Direction=H","UseDPDF=Y")</f>
        <v>#NAME?</v>
      </c>
      <c r="H37" s="1059" t="e">
        <f ca="1">BDH("BMBL US Equity","ARD_PROVISION_FOR_TAXATION","FY 2023","FY 2023","Currency=USD","Period=FY","BEST_FPERIOD_OVERRIDE=FY","FILING_STATUS=MR","SCALING_FORMAT=MLN","Sort=A","Dates=H","DateFormat=P","Fill=—","Direction=H","UseDPDF=Y")</f>
        <v>#NAME?</v>
      </c>
    </row>
    <row r="38" spans="1:8">
      <c r="A38" s="1062" t="s">
        <v>68</v>
      </c>
      <c r="B38" s="1062" t="s">
        <v>69</v>
      </c>
      <c r="C38" s="1061" t="e">
        <f ca="1">BDH("BMBL US Equity","ARD_TOT_LIABILITIES","FY 2018","FY 2018","Currency=USD","Period=FY","BEST_FPERIOD_OVERRIDE=FY","FILING_STATUS=MR","SCALING_FORMAT=MLN","Sort=A","Dates=H","DateFormat=P","Fill=—","Direction=H","UseDPDF=Y")</f>
        <v>#NAME?</v>
      </c>
      <c r="D38" s="1061" t="e">
        <f ca="1">BDH("BMBL US Equity","ARD_TOT_LIABILITIES","FY 2019","FY 2019","Currency=USD","Period=FY","BEST_FPERIOD_OVERRIDE=FY","FILING_STATUS=MR","SCALING_FORMAT=MLN","Sort=A","Dates=H","DateFormat=P","Fill=—","Direction=H","UseDPDF=Y")</f>
        <v>#NAME?</v>
      </c>
      <c r="E38" s="1061" t="e">
        <f ca="1">BDH("BMBL US Equity","ARD_TOT_LIABILITIES","FY 2020","FY 2020","Currency=USD","Period=FY","BEST_FPERIOD_OVERRIDE=FY","FILING_STATUS=MR","SCALING_FORMAT=MLN","Sort=A","Dates=H","DateFormat=P","Fill=—","Direction=H","UseDPDF=Y")</f>
        <v>#NAME?</v>
      </c>
      <c r="F38" s="1061" t="e">
        <f ca="1">BDH("BMBL US Equity","ARD_TOT_LIABILITIES","FY 2021","FY 2021","Currency=USD","Period=FY","BEST_FPERIOD_OVERRIDE=FY","FILING_STATUS=MR","SCALING_FORMAT=MLN","Sort=A","Dates=H","DateFormat=P","Fill=—","Direction=H","UseDPDF=Y")</f>
        <v>#NAME?</v>
      </c>
      <c r="G38" s="1061" t="e">
        <f ca="1">BDH("BMBL US Equity","ARD_TOT_LIABILITIES","FY 2022","FY 2022","Currency=USD","Period=FY","BEST_FPERIOD_OVERRIDE=FY","FILING_STATUS=MR","SCALING_FORMAT=MLN","Sort=A","Dates=H","DateFormat=P","Fill=—","Direction=H","UseDPDF=Y")</f>
        <v>#NAME?</v>
      </c>
      <c r="H38" s="1061" t="e">
        <f ca="1">BDH("BMBL US Equity","ARD_TOT_LIABILITIES","FY 2023","FY 2023","Currency=USD","Period=FY","BEST_FPERIOD_OVERRIDE=FY","FILING_STATUS=MR","SCALING_FORMAT=MLN","Sort=A","Dates=H","DateFormat=P","Fill=—","Direction=H","UseDPDF=Y")</f>
        <v>#NAME?</v>
      </c>
    </row>
    <row r="39" spans="1:8">
      <c r="A39" s="1062"/>
      <c r="B39" s="1062"/>
      <c r="C39" s="1061"/>
      <c r="D39" s="1061"/>
      <c r="E39" s="1061"/>
      <c r="F39" s="1061"/>
      <c r="G39" s="1061"/>
      <c r="H39" s="1061"/>
    </row>
    <row r="40" spans="1:8">
      <c r="A40" s="1058" t="s">
        <v>70</v>
      </c>
      <c r="B40" s="1060"/>
      <c r="C40" s="1060"/>
      <c r="D40" s="1060"/>
      <c r="E40" s="1060"/>
      <c r="F40" s="1060"/>
      <c r="G40" s="1060"/>
      <c r="H40" s="1060"/>
    </row>
    <row r="41" spans="1:8">
      <c r="A41" s="1058" t="s">
        <v>71</v>
      </c>
      <c r="B41" s="1058" t="s">
        <v>72</v>
      </c>
      <c r="C41" s="1059" t="e">
        <f ca="1">BDH("BMBL US Equity","ARD_PREFERRED_STOCK","FY 2018","FY 2018","Currency=USD","Period=FY","BEST_FPERIOD_OVERRIDE=FY","FILING_STATUS=MR","SCALING_FORMAT=MLN","Sort=A","Dates=H","DateFormat=P","Fill=—","Direction=H","UseDPDF=Y")</f>
        <v>#NAME?</v>
      </c>
      <c r="D41" s="1059" t="e">
        <f ca="1">BDH("BMBL US Equity","ARD_PREFERRED_STOCK","FY 2019","FY 2019","Currency=USD","Period=FY","BEST_FPERIOD_OVERRIDE=FY","FILING_STATUS=MR","SCALING_FORMAT=MLN","Sort=A","Dates=H","DateFormat=P","Fill=—","Direction=H","UseDPDF=Y")</f>
        <v>#NAME?</v>
      </c>
      <c r="E41" s="1059" t="e">
        <f ca="1">BDH("BMBL US Equity","ARD_PREFERRED_STOCK","FY 2020","FY 2020","Currency=USD","Period=FY","BEST_FPERIOD_OVERRIDE=FY","FILING_STATUS=MR","SCALING_FORMAT=MLN","Sort=A","Dates=H","DateFormat=P","Fill=—","Direction=H","UseDPDF=Y")</f>
        <v>#NAME?</v>
      </c>
      <c r="F41" s="1059" t="e">
        <f ca="1">BDH("BMBL US Equity","ARD_PREFERRED_STOCK","FY 2021","FY 2021","Currency=USD","Period=FY","BEST_FPERIOD_OVERRIDE=FY","FILING_STATUS=MR","SCALING_FORMAT=MLN","Sort=A","Dates=H","DateFormat=P","Fill=—","Direction=H","UseDPDF=Y")</f>
        <v>#NAME?</v>
      </c>
      <c r="G41" s="1059" t="e">
        <f ca="1">BDH("BMBL US Equity","ARD_PREFERRED_STOCK","FY 2022","FY 2022","Currency=USD","Period=FY","BEST_FPERIOD_OVERRIDE=FY","FILING_STATUS=MR","SCALING_FORMAT=MLN","Sort=A","Dates=H","DateFormat=P","Fill=—","Direction=H","UseDPDF=Y")</f>
        <v>#NAME?</v>
      </c>
      <c r="H41" s="1059" t="e">
        <f ca="1">BDH("BMBL US Equity","ARD_PREFERRED_STOCK","FY 2023","FY 2023","Currency=USD","Period=FY","BEST_FPERIOD_OVERRIDE=FY","FILING_STATUS=MR","SCALING_FORMAT=MLN","Sort=A","Dates=H","DateFormat=P","Fill=—","Direction=H","UseDPDF=Y")</f>
        <v>#NAME?</v>
      </c>
    </row>
    <row r="42" spans="1:8">
      <c r="A42" s="1058" t="s">
        <v>73</v>
      </c>
      <c r="B42" s="1058" t="s">
        <v>74</v>
      </c>
      <c r="C42" s="1059" t="e">
        <f ca="1">BDH("BMBL US Equity","ARD_MIN_NONCONTROL_INT_SE","FY 2018","FY 2018","Currency=USD","Period=FY","BEST_FPERIOD_OVERRIDE=FY","FILING_STATUS=MR","SCALING_FORMAT=MLN","Sort=A","Dates=H","DateFormat=P","Fill=—","Direction=H","UseDPDF=Y")</f>
        <v>#NAME?</v>
      </c>
      <c r="D42" s="1059" t="e">
        <f ca="1">BDH("BMBL US Equity","ARD_MIN_NONCONTROL_INT_SE","FY 2019","FY 2019","Currency=USD","Period=FY","BEST_FPERIOD_OVERRIDE=FY","FILING_STATUS=MR","SCALING_FORMAT=MLN","Sort=A","Dates=H","DateFormat=P","Fill=—","Direction=H","UseDPDF=Y")</f>
        <v>#NAME?</v>
      </c>
      <c r="E42" s="1059" t="e">
        <f ca="1">BDH("BMBL US Equity","ARD_MIN_NONCONTROL_INT_SE","FY 2020","FY 2020","Currency=USD","Period=FY","BEST_FPERIOD_OVERRIDE=FY","FILING_STATUS=MR","SCALING_FORMAT=MLN","Sort=A","Dates=H","DateFormat=P","Fill=—","Direction=H","UseDPDF=Y")</f>
        <v>#NAME?</v>
      </c>
      <c r="F42" s="1059" t="e">
        <f ca="1">BDH("BMBL US Equity","ARD_MIN_NONCONTROL_INT_SE","FY 2021","FY 2021","Currency=USD","Period=FY","BEST_FPERIOD_OVERRIDE=FY","FILING_STATUS=MR","SCALING_FORMAT=MLN","Sort=A","Dates=H","DateFormat=P","Fill=—","Direction=H","UseDPDF=Y")</f>
        <v>#NAME?</v>
      </c>
      <c r="G42" s="1059" t="e">
        <f ca="1">BDH("BMBL US Equity","ARD_MIN_NONCONTROL_INT_SE","FY 2022","FY 2022","Currency=USD","Period=FY","BEST_FPERIOD_OVERRIDE=FY","FILING_STATUS=MR","SCALING_FORMAT=MLN","Sort=A","Dates=H","DateFormat=P","Fill=—","Direction=H","UseDPDF=Y")</f>
        <v>#NAME?</v>
      </c>
      <c r="H42" s="1059" t="e">
        <f ca="1">BDH("BMBL US Equity","ARD_MIN_NONCONTROL_INT_SE","FY 2023","FY 2023","Currency=USD","Period=FY","BEST_FPERIOD_OVERRIDE=FY","FILING_STATUS=MR","SCALING_FORMAT=MLN","Sort=A","Dates=H","DateFormat=P","Fill=—","Direction=H","UseDPDF=Y")</f>
        <v>#NAME?</v>
      </c>
    </row>
    <row r="43" spans="1:8">
      <c r="A43" s="1058" t="s">
        <v>75</v>
      </c>
      <c r="B43" s="1058" t="s">
        <v>76</v>
      </c>
      <c r="C43" s="1059" t="e">
        <f ca="1">BDH("BMBL US Equity","ARD_COMMON_STOCK","FY 2018","FY 2018","Currency=USD","Period=FY","BEST_FPERIOD_OVERRIDE=FY","FILING_STATUS=MR","SCALING_FORMAT=MLN","Sort=A","Dates=H","DateFormat=P","Fill=—","Direction=H","UseDPDF=Y")</f>
        <v>#NAME?</v>
      </c>
      <c r="D43" s="1059" t="e">
        <f ca="1">BDH("BMBL US Equity","ARD_COMMON_STOCK","FY 2019","FY 2019","Currency=USD","Period=FY","BEST_FPERIOD_OVERRIDE=FY","FILING_STATUS=MR","SCALING_FORMAT=MLN","Sort=A","Dates=H","DateFormat=P","Fill=—","Direction=H","UseDPDF=Y")</f>
        <v>#NAME?</v>
      </c>
      <c r="E43" s="1059" t="e">
        <f ca="1">BDH("BMBL US Equity","ARD_COMMON_STOCK","FY 2020","FY 2020","Currency=USD","Period=FY","BEST_FPERIOD_OVERRIDE=FY","FILING_STATUS=MR","SCALING_FORMAT=MLN","Sort=A","Dates=H","DateFormat=P","Fill=—","Direction=H","UseDPDF=Y")</f>
        <v>#NAME?</v>
      </c>
      <c r="F43" s="1059" t="e">
        <f ca="1">BDH("BMBL US Equity","ARD_COMMON_STOCK","FY 2021","FY 2021","Currency=USD","Period=FY","BEST_FPERIOD_OVERRIDE=FY","FILING_STATUS=MR","SCALING_FORMAT=MLN","Sort=A","Dates=H","DateFormat=P","Fill=—","Direction=H","UseDPDF=Y")</f>
        <v>#NAME?</v>
      </c>
      <c r="G43" s="1059" t="e">
        <f ca="1">BDH("BMBL US Equity","ARD_COMMON_STOCK","FY 2022","FY 2022","Currency=USD","Period=FY","BEST_FPERIOD_OVERRIDE=FY","FILING_STATUS=MR","SCALING_FORMAT=MLN","Sort=A","Dates=H","DateFormat=P","Fill=—","Direction=H","UseDPDF=Y")</f>
        <v>#NAME?</v>
      </c>
      <c r="H43" s="1059" t="e">
        <f ca="1">BDH("BMBL US Equity","ARD_COMMON_STOCK","FY 2023","FY 2023","Currency=USD","Period=FY","BEST_FPERIOD_OVERRIDE=FY","FILING_STATUS=MR","SCALING_FORMAT=MLN","Sort=A","Dates=H","DateFormat=P","Fill=—","Direction=H","UseDPDF=Y")</f>
        <v>#NAME?</v>
      </c>
    </row>
    <row r="44" spans="1:8">
      <c r="A44" s="1058" t="s">
        <v>77</v>
      </c>
      <c r="B44" s="1058" t="s">
        <v>78</v>
      </c>
      <c r="C44" s="1059" t="e">
        <f ca="1">BDH("BMBL US Equity","ARD_ADDITIONAL_PAID_IN_CAPITAL","FY 2018","FY 2018","Currency=USD","Period=FY","BEST_FPERIOD_OVERRIDE=FY","FILING_STATUS=MR","SCALING_FORMAT=MLN","Sort=A","Dates=H","DateFormat=P","Fill=—","Direction=H","UseDPDF=Y")</f>
        <v>#NAME?</v>
      </c>
      <c r="D44" s="1059" t="e">
        <f ca="1">BDH("BMBL US Equity","ARD_ADDITIONAL_PAID_IN_CAPITAL","FY 2019","FY 2019","Currency=USD","Period=FY","BEST_FPERIOD_OVERRIDE=FY","FILING_STATUS=MR","SCALING_FORMAT=MLN","Sort=A","Dates=H","DateFormat=P","Fill=—","Direction=H","UseDPDF=Y")</f>
        <v>#NAME?</v>
      </c>
      <c r="E44" s="1059" t="e">
        <f ca="1">BDH("BMBL US Equity","ARD_ADDITIONAL_PAID_IN_CAPITAL","FY 2020","FY 2020","Currency=USD","Period=FY","BEST_FPERIOD_OVERRIDE=FY","FILING_STATUS=MR","SCALING_FORMAT=MLN","Sort=A","Dates=H","DateFormat=P","Fill=—","Direction=H","UseDPDF=Y")</f>
        <v>#NAME?</v>
      </c>
      <c r="F44" s="1059" t="e">
        <f ca="1">BDH("BMBL US Equity","ARD_ADDITIONAL_PAID_IN_CAPITAL","FY 2021","FY 2021","Currency=USD","Period=FY","BEST_FPERIOD_OVERRIDE=FY","FILING_STATUS=MR","SCALING_FORMAT=MLN","Sort=A","Dates=H","DateFormat=P","Fill=—","Direction=H","UseDPDF=Y")</f>
        <v>#NAME?</v>
      </c>
      <c r="G44" s="1059" t="e">
        <f ca="1">BDH("BMBL US Equity","ARD_ADDITIONAL_PAID_IN_CAPITAL","FY 2022","FY 2022","Currency=USD","Period=FY","BEST_FPERIOD_OVERRIDE=FY","FILING_STATUS=MR","SCALING_FORMAT=MLN","Sort=A","Dates=H","DateFormat=P","Fill=—","Direction=H","UseDPDF=Y")</f>
        <v>#NAME?</v>
      </c>
      <c r="H44" s="1059" t="e">
        <f ca="1">BDH("BMBL US Equity","ARD_ADDITIONAL_PAID_IN_CAPITAL","FY 2023","FY 2023","Currency=USD","Period=FY","BEST_FPERIOD_OVERRIDE=FY","FILING_STATUS=MR","SCALING_FORMAT=MLN","Sort=A","Dates=H","DateFormat=P","Fill=—","Direction=H","UseDPDF=Y")</f>
        <v>#NAME?</v>
      </c>
    </row>
    <row r="45" spans="1:8">
      <c r="A45" s="1058" t="s">
        <v>79</v>
      </c>
      <c r="B45" s="1058" t="s">
        <v>80</v>
      </c>
      <c r="C45" s="1059" t="e">
        <f ca="1">BDH("BMBL US Equity","ARD_TREASURY_STOCK_AMOUNT","FY 2018","FY 2018","Currency=USD","Period=FY","BEST_FPERIOD_OVERRIDE=FY","FILING_STATUS=MR","SCALING_FORMAT=MLN","Sort=A","Dates=H","DateFormat=P","Fill=—","Direction=H","UseDPDF=Y")</f>
        <v>#NAME?</v>
      </c>
      <c r="D45" s="1059" t="e">
        <f ca="1">BDH("BMBL US Equity","ARD_TREASURY_STOCK_AMOUNT","FY 2019","FY 2019","Currency=USD","Period=FY","BEST_FPERIOD_OVERRIDE=FY","FILING_STATUS=MR","SCALING_FORMAT=MLN","Sort=A","Dates=H","DateFormat=P","Fill=—","Direction=H","UseDPDF=Y")</f>
        <v>#NAME?</v>
      </c>
      <c r="E45" s="1059" t="e">
        <f ca="1">BDH("BMBL US Equity","ARD_TREASURY_STOCK_AMOUNT","FY 2020","FY 2020","Currency=USD","Period=FY","BEST_FPERIOD_OVERRIDE=FY","FILING_STATUS=MR","SCALING_FORMAT=MLN","Sort=A","Dates=H","DateFormat=P","Fill=—","Direction=H","UseDPDF=Y")</f>
        <v>#NAME?</v>
      </c>
      <c r="F45" s="1059" t="e">
        <f ca="1">BDH("BMBL US Equity","ARD_TREASURY_STOCK_AMOUNT","FY 2021","FY 2021","Currency=USD","Period=FY","BEST_FPERIOD_OVERRIDE=FY","FILING_STATUS=MR","SCALING_FORMAT=MLN","Sort=A","Dates=H","DateFormat=P","Fill=—","Direction=H","UseDPDF=Y")</f>
        <v>#NAME?</v>
      </c>
      <c r="G45" s="1059" t="e">
        <f ca="1">BDH("BMBL US Equity","ARD_TREASURY_STOCK_AMOUNT","FY 2022","FY 2022","Currency=USD","Period=FY","BEST_FPERIOD_OVERRIDE=FY","FILING_STATUS=MR","SCALING_FORMAT=MLN","Sort=A","Dates=H","DateFormat=P","Fill=—","Direction=H","UseDPDF=Y")</f>
        <v>#NAME?</v>
      </c>
      <c r="H45" s="1059" t="e">
        <f ca="1">BDH("BMBL US Equity","ARD_TREASURY_STOCK_AMOUNT","FY 2023","FY 2023","Currency=USD","Period=FY","BEST_FPERIOD_OVERRIDE=FY","FILING_STATUS=MR","SCALING_FORMAT=MLN","Sort=A","Dates=H","DateFormat=P","Fill=—","Direction=H","UseDPDF=Y")</f>
        <v>#NAME?</v>
      </c>
    </row>
    <row r="46" spans="1:8">
      <c r="A46" s="1058" t="s">
        <v>81</v>
      </c>
      <c r="B46" s="1058" t="s">
        <v>82</v>
      </c>
      <c r="C46" s="1059" t="e">
        <f ca="1">BDH("BMBL US Equity","ARD_ACC_OTH_COMPREHENSIVE_INC","FY 2018","FY 2018","Currency=USD","Period=FY","BEST_FPERIOD_OVERRIDE=FY","FILING_STATUS=MR","SCALING_FORMAT=MLN","Sort=A","Dates=H","DateFormat=P","Fill=—","Direction=H","UseDPDF=Y")</f>
        <v>#NAME?</v>
      </c>
      <c r="D46" s="1059" t="e">
        <f ca="1">BDH("BMBL US Equity","ARD_ACC_OTH_COMPREHENSIVE_INC","FY 2019","FY 2019","Currency=USD","Period=FY","BEST_FPERIOD_OVERRIDE=FY","FILING_STATUS=MR","SCALING_FORMAT=MLN","Sort=A","Dates=H","DateFormat=P","Fill=—","Direction=H","UseDPDF=Y")</f>
        <v>#NAME?</v>
      </c>
      <c r="E46" s="1059" t="e">
        <f ca="1">BDH("BMBL US Equity","ARD_ACC_OTH_COMPREHENSIVE_INC","FY 2020","FY 2020","Currency=USD","Period=FY","BEST_FPERIOD_OVERRIDE=FY","FILING_STATUS=MR","SCALING_FORMAT=MLN","Sort=A","Dates=H","DateFormat=P","Fill=—","Direction=H","UseDPDF=Y")</f>
        <v>#NAME?</v>
      </c>
      <c r="F46" s="1059" t="e">
        <f ca="1">BDH("BMBL US Equity","ARD_ACC_OTH_COMPREHENSIVE_INC","FY 2021","FY 2021","Currency=USD","Period=FY","BEST_FPERIOD_OVERRIDE=FY","FILING_STATUS=MR","SCALING_FORMAT=MLN","Sort=A","Dates=H","DateFormat=P","Fill=—","Direction=H","UseDPDF=Y")</f>
        <v>#NAME?</v>
      </c>
      <c r="G46" s="1059" t="e">
        <f ca="1">BDH("BMBL US Equity","ARD_ACC_OTH_COMPREHENSIVE_INC","FY 2022","FY 2022","Currency=USD","Period=FY","BEST_FPERIOD_OVERRIDE=FY","FILING_STATUS=MR","SCALING_FORMAT=MLN","Sort=A","Dates=H","DateFormat=P","Fill=—","Direction=H","UseDPDF=Y")</f>
        <v>#NAME?</v>
      </c>
      <c r="H46" s="1059" t="e">
        <f ca="1">BDH("BMBL US Equity","ARD_ACC_OTH_COMPREHENSIVE_INC","FY 2023","FY 2023","Currency=USD","Period=FY","BEST_FPERIOD_OVERRIDE=FY","FILING_STATUS=MR","SCALING_FORMAT=MLN","Sort=A","Dates=H","DateFormat=P","Fill=—","Direction=H","UseDPDF=Y")</f>
        <v>#NAME?</v>
      </c>
    </row>
    <row r="47" spans="1:8">
      <c r="A47" s="1058" t="s">
        <v>83</v>
      </c>
      <c r="B47" s="1058" t="s">
        <v>84</v>
      </c>
      <c r="C47" s="1059" t="e">
        <f ca="1">BDH("BMBL US Equity","ARD_RETAINED_EARN_ACC_DEFICIT","FY 2018","FY 2018","Currency=USD","Period=FY","BEST_FPERIOD_OVERRIDE=FY","FILING_STATUS=MR","SCALING_FORMAT=MLN","Sort=A","Dates=H","DateFormat=P","Fill=—","Direction=H","UseDPDF=Y")</f>
        <v>#NAME?</v>
      </c>
      <c r="D47" s="1059" t="e">
        <f ca="1">BDH("BMBL US Equity","ARD_RETAINED_EARN_ACC_DEFICIT","FY 2019","FY 2019","Currency=USD","Period=FY","BEST_FPERIOD_OVERRIDE=FY","FILING_STATUS=MR","SCALING_FORMAT=MLN","Sort=A","Dates=H","DateFormat=P","Fill=—","Direction=H","UseDPDF=Y")</f>
        <v>#NAME?</v>
      </c>
      <c r="E47" s="1059" t="e">
        <f ca="1">BDH("BMBL US Equity","ARD_RETAINED_EARN_ACC_DEFICIT","FY 2020","FY 2020","Currency=USD","Period=FY","BEST_FPERIOD_OVERRIDE=FY","FILING_STATUS=MR","SCALING_FORMAT=MLN","Sort=A","Dates=H","DateFormat=P","Fill=—","Direction=H","UseDPDF=Y")</f>
        <v>#NAME?</v>
      </c>
      <c r="F47" s="1059" t="e">
        <f ca="1">BDH("BMBL US Equity","ARD_RETAINED_EARN_ACC_DEFICIT","FY 2021","FY 2021","Currency=USD","Period=FY","BEST_FPERIOD_OVERRIDE=FY","FILING_STATUS=MR","SCALING_FORMAT=MLN","Sort=A","Dates=H","DateFormat=P","Fill=—","Direction=H","UseDPDF=Y")</f>
        <v>#NAME?</v>
      </c>
      <c r="G47" s="1059" t="e">
        <f ca="1">BDH("BMBL US Equity","ARD_RETAINED_EARN_ACC_DEFICIT","FY 2022","FY 2022","Currency=USD","Period=FY","BEST_FPERIOD_OVERRIDE=FY","FILING_STATUS=MR","SCALING_FORMAT=MLN","Sort=A","Dates=H","DateFormat=P","Fill=—","Direction=H","UseDPDF=Y")</f>
        <v>#NAME?</v>
      </c>
      <c r="H47" s="1059" t="e">
        <f ca="1">BDH("BMBL US Equity","ARD_RETAINED_EARN_ACC_DEFICIT","FY 2023","FY 2023","Currency=USD","Period=FY","BEST_FPERIOD_OVERRIDE=FY","FILING_STATUS=MR","SCALING_FORMAT=MLN","Sort=A","Dates=H","DateFormat=P","Fill=—","Direction=H","UseDPDF=Y")</f>
        <v>#NAME?</v>
      </c>
    </row>
    <row r="48" spans="1:8">
      <c r="A48" s="1058" t="s">
        <v>85</v>
      </c>
      <c r="B48" s="1058" t="s">
        <v>86</v>
      </c>
      <c r="C48" s="1059" t="e">
        <f ca="1">BDH("BMBL US Equity","ARD_SHARES_OUTSTANDING","FY 2018","FY 2018","Currency=USD","Period=FY","BEST_FPERIOD_OVERRIDE=FY","FILING_STATUS=MR","Sort=A","Dates=H","DateFormat=P","Fill=—","Direction=H","UseDPDF=Y")</f>
        <v>#NAME?</v>
      </c>
      <c r="D48" s="1059" t="e">
        <f ca="1">BDH("BMBL US Equity","ARD_SHARES_OUTSTANDING","FY 2019","FY 2019","Currency=USD","Period=FY","BEST_FPERIOD_OVERRIDE=FY","FILING_STATUS=MR","Sort=A","Dates=H","DateFormat=P","Fill=—","Direction=H","UseDPDF=Y")</f>
        <v>#NAME?</v>
      </c>
      <c r="E48" s="1059" t="e">
        <f ca="1">BDH("BMBL US Equity","ARD_SHARES_OUTSTANDING","FY 2020","FY 2020","Currency=USD","Period=FY","BEST_FPERIOD_OVERRIDE=FY","FILING_STATUS=MR","Sort=A","Dates=H","DateFormat=P","Fill=—","Direction=H","UseDPDF=Y")</f>
        <v>#NAME?</v>
      </c>
      <c r="F48" s="1059" t="e">
        <f ca="1">BDH("BMBL US Equity","ARD_SHARES_OUTSTANDING","FY 2021","FY 2021","Currency=USD","Period=FY","BEST_FPERIOD_OVERRIDE=FY","FILING_STATUS=MR","Sort=A","Dates=H","DateFormat=P","Fill=—","Direction=H","UseDPDF=Y")</f>
        <v>#NAME?</v>
      </c>
      <c r="G48" s="1059" t="e">
        <f ca="1">BDH("BMBL US Equity","ARD_SHARES_OUTSTANDING","FY 2022","FY 2022","Currency=USD","Period=FY","BEST_FPERIOD_OVERRIDE=FY","FILING_STATUS=MR","Sort=A","Dates=H","DateFormat=P","Fill=—","Direction=H","UseDPDF=Y")</f>
        <v>#NAME?</v>
      </c>
      <c r="H48" s="1059" t="e">
        <f ca="1">BDH("BMBL US Equity","ARD_SHARES_OUTSTANDING","FY 2023","FY 2023","Currency=USD","Period=FY","BEST_FPERIOD_OVERRIDE=FY","FILING_STATUS=MR","Sort=A","Dates=H","DateFormat=P","Fill=—","Direction=H","UseDPDF=Y")</f>
        <v>#NAME?</v>
      </c>
    </row>
    <row r="49" spans="1:8">
      <c r="A49" s="1058" t="s">
        <v>87</v>
      </c>
      <c r="B49" s="1058" t="s">
        <v>88</v>
      </c>
      <c r="C49" s="1057" t="e">
        <f ca="1">BDH("BMBL US Equity","ARD_PAR_VALUE","FY 2018","FY 2018","Currency=USD","Period=FY","BEST_FPERIOD_OVERRIDE=FY","FILING_STATUS=MR","Sort=A","Dates=H","DateFormat=P","Fill=—","Direction=H","UseDPDF=Y")</f>
        <v>#NAME?</v>
      </c>
      <c r="D49" s="1057" t="e">
        <f ca="1">BDH("BMBL US Equity","ARD_PAR_VALUE","FY 2019","FY 2019","Currency=USD","Period=FY","BEST_FPERIOD_OVERRIDE=FY","FILING_STATUS=MR","Sort=A","Dates=H","DateFormat=P","Fill=—","Direction=H","UseDPDF=Y")</f>
        <v>#NAME?</v>
      </c>
      <c r="E49" s="1057" t="e">
        <f ca="1">BDH("BMBL US Equity","ARD_PAR_VALUE","FY 2020","FY 2020","Currency=USD","Period=FY","BEST_FPERIOD_OVERRIDE=FY","FILING_STATUS=MR","Sort=A","Dates=H","DateFormat=P","Fill=—","Direction=H","UseDPDF=Y")</f>
        <v>#NAME?</v>
      </c>
      <c r="F49" s="1057" t="e">
        <f ca="1">BDH("BMBL US Equity","ARD_PAR_VALUE","FY 2021","FY 2021","Currency=USD","Period=FY","BEST_FPERIOD_OVERRIDE=FY","FILING_STATUS=MR","Sort=A","Dates=H","DateFormat=P","Fill=—","Direction=H","UseDPDF=Y")</f>
        <v>#NAME?</v>
      </c>
      <c r="G49" s="1057" t="e">
        <f ca="1">BDH("BMBL US Equity","ARD_PAR_VALUE","FY 2022","FY 2022","Currency=USD","Period=FY","BEST_FPERIOD_OVERRIDE=FY","FILING_STATUS=MR","Sort=A","Dates=H","DateFormat=P","Fill=—","Direction=H","UseDPDF=Y")</f>
        <v>#NAME?</v>
      </c>
      <c r="H49" s="1057" t="e">
        <f ca="1">BDH("BMBL US Equity","ARD_PAR_VALUE","FY 2023","FY 2023","Currency=USD","Period=FY","BEST_FPERIOD_OVERRIDE=FY","FILING_STATUS=MR","Sort=A","Dates=H","DateFormat=P","Fill=—","Direction=H","UseDPDF=Y")</f>
        <v>#NAME?</v>
      </c>
    </row>
    <row r="50" spans="1:8">
      <c r="A50" s="1058" t="s">
        <v>89</v>
      </c>
      <c r="B50" s="1058" t="s">
        <v>90</v>
      </c>
      <c r="C50" s="1059" t="e">
        <f ca="1">BDH("BMBL US Equity","ARD_TREASURY_SHARES_NUM","FY 2018","FY 2018","Currency=USD","Period=FY","BEST_FPERIOD_OVERRIDE=FY","FILING_STATUS=MR","Sort=A","Dates=H","DateFormat=P","Fill=—","Direction=H","UseDPDF=Y")</f>
        <v>#NAME?</v>
      </c>
      <c r="D50" s="1059" t="e">
        <f ca="1">BDH("BMBL US Equity","ARD_TREASURY_SHARES_NUM","FY 2019","FY 2019","Currency=USD","Period=FY","BEST_FPERIOD_OVERRIDE=FY","FILING_STATUS=MR","Sort=A","Dates=H","DateFormat=P","Fill=—","Direction=H","UseDPDF=Y")</f>
        <v>#NAME?</v>
      </c>
      <c r="E50" s="1059" t="e">
        <f ca="1">BDH("BMBL US Equity","ARD_TREASURY_SHARES_NUM","FY 2020","FY 2020","Currency=USD","Period=FY","BEST_FPERIOD_OVERRIDE=FY","FILING_STATUS=MR","Sort=A","Dates=H","DateFormat=P","Fill=—","Direction=H","UseDPDF=Y")</f>
        <v>#NAME?</v>
      </c>
      <c r="F50" s="1059" t="e">
        <f ca="1">BDH("BMBL US Equity","ARD_TREASURY_SHARES_NUM","FY 2021","FY 2021","Currency=USD","Period=FY","BEST_FPERIOD_OVERRIDE=FY","FILING_STATUS=MR","Sort=A","Dates=H","DateFormat=P","Fill=—","Direction=H","UseDPDF=Y")</f>
        <v>#NAME?</v>
      </c>
      <c r="G50" s="1059" t="e">
        <f ca="1">BDH("BMBL US Equity","ARD_TREASURY_SHARES_NUM","FY 2022","FY 2022","Currency=USD","Period=FY","BEST_FPERIOD_OVERRIDE=FY","FILING_STATUS=MR","Sort=A","Dates=H","DateFormat=P","Fill=—","Direction=H","UseDPDF=Y")</f>
        <v>#NAME?</v>
      </c>
      <c r="H50" s="1059" t="e">
        <f ca="1">BDH("BMBL US Equity","ARD_TREASURY_SHARES_NUM","FY 2023","FY 2023","Currency=USD","Period=FY","BEST_FPERIOD_OVERRIDE=FY","FILING_STATUS=MR","Sort=A","Dates=H","DateFormat=P","Fill=—","Direction=H","UseDPDF=Y")</f>
        <v>#NAME?</v>
      </c>
    </row>
    <row r="51" spans="1:8">
      <c r="A51" s="1058" t="s">
        <v>91</v>
      </c>
      <c r="B51" s="1058" t="s">
        <v>92</v>
      </c>
      <c r="C51" s="1059" t="e">
        <f ca="1">BDH("BMBL US Equity","ARD_SHARES_ISSUED","FY 2018","FY 2018","Currency=USD","Period=FY","BEST_FPERIOD_OVERRIDE=FY","FILING_STATUS=MR","Sort=A","Dates=H","DateFormat=P","Fill=—","Direction=H","UseDPDF=Y")</f>
        <v>#NAME?</v>
      </c>
      <c r="D51" s="1059" t="e">
        <f ca="1">BDH("BMBL US Equity","ARD_SHARES_ISSUED","FY 2019","FY 2019","Currency=USD","Period=FY","BEST_FPERIOD_OVERRIDE=FY","FILING_STATUS=MR","Sort=A","Dates=H","DateFormat=P","Fill=—","Direction=H","UseDPDF=Y")</f>
        <v>#NAME?</v>
      </c>
      <c r="E51" s="1059" t="e">
        <f ca="1">BDH("BMBL US Equity","ARD_SHARES_ISSUED","FY 2020","FY 2020","Currency=USD","Period=FY","BEST_FPERIOD_OVERRIDE=FY","FILING_STATUS=MR","Sort=A","Dates=H","DateFormat=P","Fill=—","Direction=H","UseDPDF=Y")</f>
        <v>#NAME?</v>
      </c>
      <c r="F51" s="1059" t="e">
        <f ca="1">BDH("BMBL US Equity","ARD_SHARES_ISSUED","FY 2021","FY 2021","Currency=USD","Period=FY","BEST_FPERIOD_OVERRIDE=FY","FILING_STATUS=MR","Sort=A","Dates=H","DateFormat=P","Fill=—","Direction=H","UseDPDF=Y")</f>
        <v>#NAME?</v>
      </c>
      <c r="G51" s="1059" t="e">
        <f ca="1">BDH("BMBL US Equity","ARD_SHARES_ISSUED","FY 2022","FY 2022","Currency=USD","Period=FY","BEST_FPERIOD_OVERRIDE=FY","FILING_STATUS=MR","Sort=A","Dates=H","DateFormat=P","Fill=—","Direction=H","UseDPDF=Y")</f>
        <v>#NAME?</v>
      </c>
      <c r="H51" s="1059" t="e">
        <f ca="1">BDH("BMBL US Equity","ARD_SHARES_ISSUED","FY 2023","FY 2023","Currency=USD","Period=FY","BEST_FPERIOD_OVERRIDE=FY","FILING_STATUS=MR","Sort=A","Dates=H","DateFormat=P","Fill=—","Direction=H","UseDPDF=Y")</f>
        <v>#NAME?</v>
      </c>
    </row>
    <row r="52" spans="1:8">
      <c r="A52" s="1058" t="s">
        <v>93</v>
      </c>
      <c r="B52" s="1058" t="s">
        <v>94</v>
      </c>
      <c r="C52" s="1059" t="e">
        <f ca="1">BDH("BMBL US Equity","ARD_TOTAL_SHAREHOLDERS_EQUITY","FY 2018","FY 2018","Currency=USD","Period=FY","BEST_FPERIOD_OVERRIDE=FY","FILING_STATUS=MR","SCALING_FORMAT=MLN","Sort=A","Dates=H","DateFormat=P","Fill=—","Direction=H","UseDPDF=Y")</f>
        <v>#NAME?</v>
      </c>
      <c r="D52" s="1059" t="e">
        <f ca="1">BDH("BMBL US Equity","ARD_TOTAL_SHAREHOLDERS_EQUITY","FY 2019","FY 2019","Currency=USD","Period=FY","BEST_FPERIOD_OVERRIDE=FY","FILING_STATUS=MR","SCALING_FORMAT=MLN","Sort=A","Dates=H","DateFormat=P","Fill=—","Direction=H","UseDPDF=Y")</f>
        <v>#NAME?</v>
      </c>
      <c r="E52" s="1059" t="e">
        <f ca="1">BDH("BMBL US Equity","ARD_TOTAL_SHAREHOLDERS_EQUITY","FY 2020","FY 2020","Currency=USD","Period=FY","BEST_FPERIOD_OVERRIDE=FY","FILING_STATUS=MR","SCALING_FORMAT=MLN","Sort=A","Dates=H","DateFormat=P","Fill=—","Direction=H","UseDPDF=Y")</f>
        <v>#NAME?</v>
      </c>
      <c r="F52" s="1059" t="e">
        <f ca="1">BDH("BMBL US Equity","ARD_TOTAL_SHAREHOLDERS_EQUITY","FY 2021","FY 2021","Currency=USD","Period=FY","BEST_FPERIOD_OVERRIDE=FY","FILING_STATUS=MR","SCALING_FORMAT=MLN","Sort=A","Dates=H","DateFormat=P","Fill=—","Direction=H","UseDPDF=Y")</f>
        <v>#NAME?</v>
      </c>
      <c r="G52" s="1059" t="e">
        <f ca="1">BDH("BMBL US Equity","ARD_TOTAL_SHAREHOLDERS_EQUITY","FY 2022","FY 2022","Currency=USD","Period=FY","BEST_FPERIOD_OVERRIDE=FY","FILING_STATUS=MR","SCALING_FORMAT=MLN","Sort=A","Dates=H","DateFormat=P","Fill=—","Direction=H","UseDPDF=Y")</f>
        <v>#NAME?</v>
      </c>
      <c r="H52" s="1059" t="e">
        <f ca="1">BDH("BMBL US Equity","ARD_TOTAL_SHAREHOLDERS_EQUITY","FY 2023","FY 2023","Currency=USD","Period=FY","BEST_FPERIOD_OVERRIDE=FY","FILING_STATUS=MR","SCALING_FORMAT=MLN","Sort=A","Dates=H","DateFormat=P","Fill=—","Direction=H","UseDPDF=Y")</f>
        <v>#NAME?</v>
      </c>
    </row>
    <row r="53" spans="1:8">
      <c r="A53" s="1058" t="s">
        <v>95</v>
      </c>
      <c r="B53" s="1058" t="s">
        <v>96</v>
      </c>
      <c r="C53" s="1059" t="e">
        <f ca="1">BDH("BMBL US Equity","ARD_PFD_STK_LIQUID_PREFERENCE","FY 2018","FY 2018","Currency=USD","Period=FY","BEST_FPERIOD_OVERRIDE=FY","FILING_STATUS=MR","SCALING_FORMAT=MLN","Sort=A","Dates=H","DateFormat=P","Fill=—","Direction=H","UseDPDF=Y")</f>
        <v>#NAME?</v>
      </c>
      <c r="D53" s="1059" t="e">
        <f ca="1">BDH("BMBL US Equity","ARD_PFD_STK_LIQUID_PREFERENCE","FY 2019","FY 2019","Currency=USD","Period=FY","BEST_FPERIOD_OVERRIDE=FY","FILING_STATUS=MR","SCALING_FORMAT=MLN","Sort=A","Dates=H","DateFormat=P","Fill=—","Direction=H","UseDPDF=Y")</f>
        <v>#NAME?</v>
      </c>
      <c r="E53" s="1059" t="e">
        <f ca="1">BDH("BMBL US Equity","ARD_PFD_STK_LIQUID_PREFERENCE","FY 2020","FY 2020","Currency=USD","Period=FY","BEST_FPERIOD_OVERRIDE=FY","FILING_STATUS=MR","SCALING_FORMAT=MLN","Sort=A","Dates=H","DateFormat=P","Fill=—","Direction=H","UseDPDF=Y")</f>
        <v>#NAME?</v>
      </c>
      <c r="F53" s="1059" t="e">
        <f ca="1">BDH("BMBL US Equity","ARD_PFD_STK_LIQUID_PREFERENCE","FY 2021","FY 2021","Currency=USD","Period=FY","BEST_FPERIOD_OVERRIDE=FY","FILING_STATUS=MR","SCALING_FORMAT=MLN","Sort=A","Dates=H","DateFormat=P","Fill=—","Direction=H","UseDPDF=Y")</f>
        <v>#NAME?</v>
      </c>
      <c r="G53" s="1059" t="e">
        <f ca="1">BDH("BMBL US Equity","ARD_PFD_STK_LIQUID_PREFERENCE","FY 2022","FY 2022","Currency=USD","Period=FY","BEST_FPERIOD_OVERRIDE=FY","FILING_STATUS=MR","SCALING_FORMAT=MLN","Sort=A","Dates=H","DateFormat=P","Fill=—","Direction=H","UseDPDF=Y")</f>
        <v>#NAME?</v>
      </c>
      <c r="H53" s="1059" t="e">
        <f ca="1">BDH("BMBL US Equity","ARD_PFD_STK_LIQUID_PREFERENCE","FY 2023","FY 2023","Currency=USD","Period=FY","BEST_FPERIOD_OVERRIDE=FY","FILING_STATUS=MR","SCALING_FORMAT=MLN","Sort=A","Dates=H","DateFormat=P","Fill=—","Direction=H","UseDPDF=Y")</f>
        <v>#NAME?</v>
      </c>
    </row>
    <row r="54" spans="1:8">
      <c r="A54" s="1058" t="s">
        <v>97</v>
      </c>
      <c r="B54" s="1058" t="s">
        <v>98</v>
      </c>
      <c r="C54" s="1059" t="e">
        <f ca="1">BDH("BMBL US Equity","ARD_SHARES_AUTHORIZED","FY 2018","FY 2018","Currency=USD","Period=FY","BEST_FPERIOD_OVERRIDE=FY","FILING_STATUS=MR","SCALING_FORMAT=MLN","Sort=A","Dates=H","DateFormat=P","Fill=—","Direction=H","UseDPDF=Y")</f>
        <v>#NAME?</v>
      </c>
      <c r="D54" s="1059" t="e">
        <f ca="1">BDH("BMBL US Equity","ARD_SHARES_AUTHORIZED","FY 2019","FY 2019","Currency=USD","Period=FY","BEST_FPERIOD_OVERRIDE=FY","FILING_STATUS=MR","SCALING_FORMAT=MLN","Sort=A","Dates=H","DateFormat=P","Fill=—","Direction=H","UseDPDF=Y")</f>
        <v>#NAME?</v>
      </c>
      <c r="E54" s="1059" t="e">
        <f ca="1">BDH("BMBL US Equity","ARD_SHARES_AUTHORIZED","FY 2020","FY 2020","Currency=USD","Period=FY","BEST_FPERIOD_OVERRIDE=FY","FILING_STATUS=MR","SCALING_FORMAT=MLN","Sort=A","Dates=H","DateFormat=P","Fill=—","Direction=H","UseDPDF=Y")</f>
        <v>#NAME?</v>
      </c>
      <c r="F54" s="1059" t="e">
        <f ca="1">BDH("BMBL US Equity","ARD_SHARES_AUTHORIZED","FY 2021","FY 2021","Currency=USD","Period=FY","BEST_FPERIOD_OVERRIDE=FY","FILING_STATUS=MR","SCALING_FORMAT=MLN","Sort=A","Dates=H","DateFormat=P","Fill=—","Direction=H","UseDPDF=Y")</f>
        <v>#NAME?</v>
      </c>
      <c r="G54" s="1059" t="e">
        <f ca="1">BDH("BMBL US Equity","ARD_SHARES_AUTHORIZED","FY 2022","FY 2022","Currency=USD","Period=FY","BEST_FPERIOD_OVERRIDE=FY","FILING_STATUS=MR","SCALING_FORMAT=MLN","Sort=A","Dates=H","DateFormat=P","Fill=—","Direction=H","UseDPDF=Y")</f>
        <v>#NAME?</v>
      </c>
      <c r="H54" s="1059" t="e">
        <f ca="1">BDH("BMBL US Equity","ARD_SHARES_AUTHORIZED","FY 2023","FY 2023","Currency=USD","Period=FY","BEST_FPERIOD_OVERRIDE=FY","FILING_STATUS=MR","SCALING_FORMAT=MLN","Sort=A","Dates=H","DateFormat=P","Fill=—","Direction=H","UseDPDF=Y")</f>
        <v>#NAME?</v>
      </c>
    </row>
    <row r="55" spans="1:8">
      <c r="A55" s="1058" t="s">
        <v>99</v>
      </c>
      <c r="B55" s="1058" t="s">
        <v>100</v>
      </c>
      <c r="C55" s="1059" t="e">
        <f ca="1">BDH("BMBL US Equity","ARD_TOT_SHARE_EQY_EXCL_MINORITY","FY 2018","FY 2018","Currency=USD","Period=FY","BEST_FPERIOD_OVERRIDE=FY","FILING_STATUS=MR","SCALING_FORMAT=MLN","Sort=A","Dates=H","DateFormat=P","Fill=—","Direction=H","UseDPDF=Y")</f>
        <v>#NAME?</v>
      </c>
      <c r="D55" s="1059" t="e">
        <f ca="1">BDH("BMBL US Equity","ARD_TOT_SHARE_EQY_EXCL_MINORITY","FY 2019","FY 2019","Currency=USD","Period=FY","BEST_FPERIOD_OVERRIDE=FY","FILING_STATUS=MR","SCALING_FORMAT=MLN","Sort=A","Dates=H","DateFormat=P","Fill=—","Direction=H","UseDPDF=Y")</f>
        <v>#NAME?</v>
      </c>
      <c r="E55" s="1059" t="e">
        <f ca="1">BDH("BMBL US Equity","ARD_TOT_SHARE_EQY_EXCL_MINORITY","FY 2020","FY 2020","Currency=USD","Period=FY","BEST_FPERIOD_OVERRIDE=FY","FILING_STATUS=MR","SCALING_FORMAT=MLN","Sort=A","Dates=H","DateFormat=P","Fill=—","Direction=H","UseDPDF=Y")</f>
        <v>#NAME?</v>
      </c>
      <c r="F55" s="1059" t="e">
        <f ca="1">BDH("BMBL US Equity","ARD_TOT_SHARE_EQY_EXCL_MINORITY","FY 2021","FY 2021","Currency=USD","Period=FY","BEST_FPERIOD_OVERRIDE=FY","FILING_STATUS=MR","SCALING_FORMAT=MLN","Sort=A","Dates=H","DateFormat=P","Fill=—","Direction=H","UseDPDF=Y")</f>
        <v>#NAME?</v>
      </c>
      <c r="G55" s="1059" t="e">
        <f ca="1">BDH("BMBL US Equity","ARD_TOT_SHARE_EQY_EXCL_MINORITY","FY 2022","FY 2022","Currency=USD","Period=FY","BEST_FPERIOD_OVERRIDE=FY","FILING_STATUS=MR","SCALING_FORMAT=MLN","Sort=A","Dates=H","DateFormat=P","Fill=—","Direction=H","UseDPDF=Y")</f>
        <v>#NAME?</v>
      </c>
      <c r="H55" s="1059" t="e">
        <f ca="1">BDH("BMBL US Equity","ARD_TOT_SHARE_EQY_EXCL_MINORITY","FY 2023","FY 2023","Currency=USD","Period=FY","BEST_FPERIOD_OVERRIDE=FY","FILING_STATUS=MR","SCALING_FORMAT=MLN","Sort=A","Dates=H","DateFormat=P","Fill=—","Direction=H","UseDPDF=Y")</f>
        <v>#NAME?</v>
      </c>
    </row>
    <row r="56" spans="1:8">
      <c r="A56" s="1062" t="s">
        <v>101</v>
      </c>
      <c r="B56" s="1062" t="s">
        <v>102</v>
      </c>
      <c r="C56" s="1061" t="e">
        <f ca="1">BDH("BMBL US Equity","ARD_TOT_LIAB_AND_SHAREHOLDER_EQY","FY 2018","FY 2018","Currency=USD","Period=FY","BEST_FPERIOD_OVERRIDE=FY","FILING_STATUS=MR","SCALING_FORMAT=MLN","Sort=A","Dates=H","DateFormat=P","Fill=—","Direction=H","UseDPDF=Y")</f>
        <v>#NAME?</v>
      </c>
      <c r="D56" s="1061" t="e">
        <f ca="1">BDH("BMBL US Equity","ARD_TOT_LIAB_AND_SHAREHOLDER_EQY","FY 2019","FY 2019","Currency=USD","Period=FY","BEST_FPERIOD_OVERRIDE=FY","FILING_STATUS=MR","SCALING_FORMAT=MLN","Sort=A","Dates=H","DateFormat=P","Fill=—","Direction=H","UseDPDF=Y")</f>
        <v>#NAME?</v>
      </c>
      <c r="E56" s="1061" t="e">
        <f ca="1">BDH("BMBL US Equity","ARD_TOT_LIAB_AND_SHAREHOLDER_EQY","FY 2020","FY 2020","Currency=USD","Period=FY","BEST_FPERIOD_OVERRIDE=FY","FILING_STATUS=MR","SCALING_FORMAT=MLN","Sort=A","Dates=H","DateFormat=P","Fill=—","Direction=H","UseDPDF=Y")</f>
        <v>#NAME?</v>
      </c>
      <c r="F56" s="1061" t="e">
        <f ca="1">BDH("BMBL US Equity","ARD_TOT_LIAB_AND_SHAREHOLDER_EQY","FY 2021","FY 2021","Currency=USD","Period=FY","BEST_FPERIOD_OVERRIDE=FY","FILING_STATUS=MR","SCALING_FORMAT=MLN","Sort=A","Dates=H","DateFormat=P","Fill=—","Direction=H","UseDPDF=Y")</f>
        <v>#NAME?</v>
      </c>
      <c r="G56" s="1061" t="e">
        <f ca="1">BDH("BMBL US Equity","ARD_TOT_LIAB_AND_SHAREHOLDER_EQY","FY 2022","FY 2022","Currency=USD","Period=FY","BEST_FPERIOD_OVERRIDE=FY","FILING_STATUS=MR","SCALING_FORMAT=MLN","Sort=A","Dates=H","DateFormat=P","Fill=—","Direction=H","UseDPDF=Y")</f>
        <v>#NAME?</v>
      </c>
      <c r="H56" s="1061" t="e">
        <f ca="1">BDH("BMBL US Equity","ARD_TOT_LIAB_AND_SHAREHOLDER_EQY","FY 2023","FY 2023","Currency=USD","Period=FY","BEST_FPERIOD_OVERRIDE=FY","FILING_STATUS=MR","SCALING_FORMAT=MLN","Sort=A","Dates=H","DateFormat=P","Fill=—","Direction=H","UseDPDF=Y")</f>
        <v>#NAME?</v>
      </c>
    </row>
    <row r="57" spans="1:8">
      <c r="A57" s="1062"/>
      <c r="B57" s="1062"/>
      <c r="C57" s="1061"/>
      <c r="D57" s="1061"/>
      <c r="E57" s="1061"/>
      <c r="F57" s="1061"/>
      <c r="G57" s="1061"/>
      <c r="H57" s="1061"/>
    </row>
    <row r="58" spans="1:8">
      <c r="A58" s="1058" t="s">
        <v>103</v>
      </c>
      <c r="B58" s="1060"/>
      <c r="C58" s="1060"/>
      <c r="D58" s="1060"/>
      <c r="E58" s="1060"/>
      <c r="F58" s="1060"/>
      <c r="G58" s="1060"/>
      <c r="H58" s="1060"/>
    </row>
    <row r="59" spans="1:8">
      <c r="A59" s="1058" t="s">
        <v>104</v>
      </c>
      <c r="B59" s="1058" t="s">
        <v>105</v>
      </c>
      <c r="C59" s="1059" t="e">
        <f ca="1">BDH("BMBL US Equity","ARDR_NUM_OF_RSU_BEGIN_OF_PER","FY 2018","FY 2018","Currency=USD","Period=FY","BEST_FPERIOD_OVERRIDE=FY","FILING_STATUS=MR","Sort=A","Dates=H","DateFormat=P","Fill=—","Direction=H","UseDPDF=Y")</f>
        <v>#NAME?</v>
      </c>
      <c r="D59" s="1059" t="e">
        <f ca="1">BDH("BMBL US Equity","ARDR_NUM_OF_RSU_BEGIN_OF_PER","FY 2019","FY 2019","Currency=USD","Period=FY","BEST_FPERIOD_OVERRIDE=FY","FILING_STATUS=MR","Sort=A","Dates=H","DateFormat=P","Fill=—","Direction=H","UseDPDF=Y")</f>
        <v>#NAME?</v>
      </c>
      <c r="E59" s="1059" t="e">
        <f ca="1">BDH("BMBL US Equity","ARDR_NUM_OF_RSU_BEGIN_OF_PER","FY 2020","FY 2020","Currency=USD","Period=FY","BEST_FPERIOD_OVERRIDE=FY","FILING_STATUS=MR","Sort=A","Dates=H","DateFormat=P","Fill=—","Direction=H","UseDPDF=Y")</f>
        <v>#NAME?</v>
      </c>
      <c r="F59" s="1059" t="e">
        <f ca="1">BDH("BMBL US Equity","ARDR_NUM_OF_RSU_BEGIN_OF_PER","FY 2021","FY 2021","Currency=USD","Period=FY","BEST_FPERIOD_OVERRIDE=FY","FILING_STATUS=MR","Sort=A","Dates=H","DateFormat=P","Fill=—","Direction=H","UseDPDF=Y")</f>
        <v>#NAME?</v>
      </c>
      <c r="G59" s="1059" t="e">
        <f ca="1">BDH("BMBL US Equity","ARDR_NUM_OF_RSU_BEGIN_OF_PER","FY 2022","FY 2022","Currency=USD","Period=FY","BEST_FPERIOD_OVERRIDE=FY","FILING_STATUS=MR","Sort=A","Dates=H","DateFormat=P","Fill=—","Direction=H","UseDPDF=Y")</f>
        <v>#NAME?</v>
      </c>
      <c r="H59" s="1059" t="e">
        <f ca="1">BDH("BMBL US Equity","ARDR_NUM_OF_RSU_BEGIN_OF_PER","FY 2023","FY 2023","Currency=USD","Period=FY","BEST_FPERIOD_OVERRIDE=FY","FILING_STATUS=MR","Sort=A","Dates=H","DateFormat=P","Fill=—","Direction=H","UseDPDF=Y")</f>
        <v>#NAME?</v>
      </c>
    </row>
    <row r="60" spans="1:8">
      <c r="A60" s="1058" t="s">
        <v>106</v>
      </c>
      <c r="B60" s="1058" t="s">
        <v>107</v>
      </c>
      <c r="C60" s="1059" t="e">
        <f ca="1">BDH("BMBL US Equity","ARDR_NUMBER_OF_RSU_GRANTED","FY 2018","FY 2018","Currency=USD","Period=FY","BEST_FPERIOD_OVERRIDE=FY","FILING_STATUS=MR","Sort=A","Dates=H","DateFormat=P","Fill=—","Direction=H","UseDPDF=Y")</f>
        <v>#NAME?</v>
      </c>
      <c r="D60" s="1059" t="e">
        <f ca="1">BDH("BMBL US Equity","ARDR_NUMBER_OF_RSU_GRANTED","FY 2019","FY 2019","Currency=USD","Period=FY","BEST_FPERIOD_OVERRIDE=FY","FILING_STATUS=MR","Sort=A","Dates=H","DateFormat=P","Fill=—","Direction=H","UseDPDF=Y")</f>
        <v>#NAME?</v>
      </c>
      <c r="E60" s="1059" t="e">
        <f ca="1">BDH("BMBL US Equity","ARDR_NUMBER_OF_RSU_GRANTED","FY 2020","FY 2020","Currency=USD","Period=FY","BEST_FPERIOD_OVERRIDE=FY","FILING_STATUS=MR","Sort=A","Dates=H","DateFormat=P","Fill=—","Direction=H","UseDPDF=Y")</f>
        <v>#NAME?</v>
      </c>
      <c r="F60" s="1059" t="e">
        <f ca="1">BDH("BMBL US Equity","ARDR_NUMBER_OF_RSU_GRANTED","FY 2021","FY 2021","Currency=USD","Period=FY","BEST_FPERIOD_OVERRIDE=FY","FILING_STATUS=MR","Sort=A","Dates=H","DateFormat=P","Fill=—","Direction=H","UseDPDF=Y")</f>
        <v>#NAME?</v>
      </c>
      <c r="G60" s="1059" t="e">
        <f ca="1">BDH("BMBL US Equity","ARDR_NUMBER_OF_RSU_GRANTED","FY 2022","FY 2022","Currency=USD","Period=FY","BEST_FPERIOD_OVERRIDE=FY","FILING_STATUS=MR","Sort=A","Dates=H","DateFormat=P","Fill=—","Direction=H","UseDPDF=Y")</f>
        <v>#NAME?</v>
      </c>
      <c r="H60" s="1059" t="e">
        <f ca="1">BDH("BMBL US Equity","ARDR_NUMBER_OF_RSU_GRANTED","FY 2023","FY 2023","Currency=USD","Period=FY","BEST_FPERIOD_OVERRIDE=FY","FILING_STATUS=MR","Sort=A","Dates=H","DateFormat=P","Fill=—","Direction=H","UseDPDF=Y")</f>
        <v>#NAME?</v>
      </c>
    </row>
    <row r="61" spans="1:8">
      <c r="A61" s="1058" t="s">
        <v>108</v>
      </c>
      <c r="B61" s="1058" t="s">
        <v>109</v>
      </c>
      <c r="C61" s="1059" t="e">
        <f ca="1">BDH("BMBL US Equity","ARDR_NUMBER_OF_RSU_VESTED","FY 2018","FY 2018","Currency=USD","Period=FY","BEST_FPERIOD_OVERRIDE=FY","FILING_STATUS=MR","Sort=A","Dates=H","DateFormat=P","Fill=—","Direction=H","UseDPDF=Y")</f>
        <v>#NAME?</v>
      </c>
      <c r="D61" s="1059" t="e">
        <f ca="1">BDH("BMBL US Equity","ARDR_NUMBER_OF_RSU_VESTED","FY 2019","FY 2019","Currency=USD","Period=FY","BEST_FPERIOD_OVERRIDE=FY","FILING_STATUS=MR","Sort=A","Dates=H","DateFormat=P","Fill=—","Direction=H","UseDPDF=Y")</f>
        <v>#NAME?</v>
      </c>
      <c r="E61" s="1059" t="e">
        <f ca="1">BDH("BMBL US Equity","ARDR_NUMBER_OF_RSU_VESTED","FY 2020","FY 2020","Currency=USD","Period=FY","BEST_FPERIOD_OVERRIDE=FY","FILING_STATUS=MR","Sort=A","Dates=H","DateFormat=P","Fill=—","Direction=H","UseDPDF=Y")</f>
        <v>#NAME?</v>
      </c>
      <c r="F61" s="1059" t="e">
        <f ca="1">BDH("BMBL US Equity","ARDR_NUMBER_OF_RSU_VESTED","FY 2021","FY 2021","Currency=USD","Period=FY","BEST_FPERIOD_OVERRIDE=FY","FILING_STATUS=MR","Sort=A","Dates=H","DateFormat=P","Fill=—","Direction=H","UseDPDF=Y")</f>
        <v>#NAME?</v>
      </c>
      <c r="G61" s="1059" t="e">
        <f ca="1">BDH("BMBL US Equity","ARDR_NUMBER_OF_RSU_VESTED","FY 2022","FY 2022","Currency=USD","Period=FY","BEST_FPERIOD_OVERRIDE=FY","FILING_STATUS=MR","Sort=A","Dates=H","DateFormat=P","Fill=—","Direction=H","UseDPDF=Y")</f>
        <v>#NAME?</v>
      </c>
      <c r="H61" s="1059" t="e">
        <f ca="1">BDH("BMBL US Equity","ARDR_NUMBER_OF_RSU_VESTED","FY 2023","FY 2023","Currency=USD","Period=FY","BEST_FPERIOD_OVERRIDE=FY","FILING_STATUS=MR","Sort=A","Dates=H","DateFormat=P","Fill=—","Direction=H","UseDPDF=Y")</f>
        <v>#NAME?</v>
      </c>
    </row>
    <row r="62" spans="1:8">
      <c r="A62" s="1058" t="s">
        <v>110</v>
      </c>
      <c r="B62" s="1058" t="s">
        <v>111</v>
      </c>
      <c r="C62" s="1059" t="e">
        <f ca="1">BDH("BMBL US Equity","ARDR_NUMBER_OF_RSU_FORFTD_CANCLD","FY 2018","FY 2018","Currency=USD","Period=FY","BEST_FPERIOD_OVERRIDE=FY","FILING_STATUS=MR","Sort=A","Dates=H","DateFormat=P","Fill=—","Direction=H","UseDPDF=Y")</f>
        <v>#NAME?</v>
      </c>
      <c r="D62" s="1059" t="e">
        <f ca="1">BDH("BMBL US Equity","ARDR_NUMBER_OF_RSU_FORFTD_CANCLD","FY 2019","FY 2019","Currency=USD","Period=FY","BEST_FPERIOD_OVERRIDE=FY","FILING_STATUS=MR","Sort=A","Dates=H","DateFormat=P","Fill=—","Direction=H","UseDPDF=Y")</f>
        <v>#NAME?</v>
      </c>
      <c r="E62" s="1059" t="e">
        <f ca="1">BDH("BMBL US Equity","ARDR_NUMBER_OF_RSU_FORFTD_CANCLD","FY 2020","FY 2020","Currency=USD","Period=FY","BEST_FPERIOD_OVERRIDE=FY","FILING_STATUS=MR","Sort=A","Dates=H","DateFormat=P","Fill=—","Direction=H","UseDPDF=Y")</f>
        <v>#NAME?</v>
      </c>
      <c r="F62" s="1059" t="e">
        <f ca="1">BDH("BMBL US Equity","ARDR_NUMBER_OF_RSU_FORFTD_CANCLD","FY 2021","FY 2021","Currency=USD","Period=FY","BEST_FPERIOD_OVERRIDE=FY","FILING_STATUS=MR","Sort=A","Dates=H","DateFormat=P","Fill=—","Direction=H","UseDPDF=Y")</f>
        <v>#NAME?</v>
      </c>
      <c r="G62" s="1059" t="e">
        <f ca="1">BDH("BMBL US Equity","ARDR_NUMBER_OF_RSU_FORFTD_CANCLD","FY 2022","FY 2022","Currency=USD","Period=FY","BEST_FPERIOD_OVERRIDE=FY","FILING_STATUS=MR","Sort=A","Dates=H","DateFormat=P","Fill=—","Direction=H","UseDPDF=Y")</f>
        <v>#NAME?</v>
      </c>
      <c r="H62" s="1059" t="e">
        <f ca="1">BDH("BMBL US Equity","ARDR_NUMBER_OF_RSU_FORFTD_CANCLD","FY 2023","FY 2023","Currency=USD","Period=FY","BEST_FPERIOD_OVERRIDE=FY","FILING_STATUS=MR","Sort=A","Dates=H","DateFormat=P","Fill=—","Direction=H","UseDPDF=Y")</f>
        <v>#NAME?</v>
      </c>
    </row>
    <row r="63" spans="1:8">
      <c r="A63" s="1058" t="s">
        <v>112</v>
      </c>
      <c r="B63" s="1058" t="s">
        <v>113</v>
      </c>
      <c r="C63" s="1059" t="e">
        <f ca="1">BDH("BMBL US Equity","ARDR_PREPAID_EXPENSES_ST","FY 2018","FY 2018","Currency=USD","Period=FY","BEST_FPERIOD_OVERRIDE=FY","FILING_STATUS=MR","SCALING_FORMAT=MLN","Sort=A","Dates=H","DateFormat=P","Fill=—","Direction=H","UseDPDF=Y")</f>
        <v>#NAME?</v>
      </c>
      <c r="D63" s="1059" t="e">
        <f ca="1">BDH("BMBL US Equity","ARDR_PREPAID_EXPENSES_ST","FY 2019","FY 2019","Currency=USD","Period=FY","BEST_FPERIOD_OVERRIDE=FY","FILING_STATUS=MR","SCALING_FORMAT=MLN","Sort=A","Dates=H","DateFormat=P","Fill=—","Direction=H","UseDPDF=Y")</f>
        <v>#NAME?</v>
      </c>
      <c r="E63" s="1059" t="e">
        <f ca="1">BDH("BMBL US Equity","ARDR_PREPAID_EXPENSES_ST","FY 2020","FY 2020","Currency=USD","Period=FY","BEST_FPERIOD_OVERRIDE=FY","FILING_STATUS=MR","SCALING_FORMAT=MLN","Sort=A","Dates=H","DateFormat=P","Fill=—","Direction=H","UseDPDF=Y")</f>
        <v>#NAME?</v>
      </c>
      <c r="F63" s="1059" t="e">
        <f ca="1">BDH("BMBL US Equity","ARDR_PREPAID_EXPENSES_ST","FY 2021","FY 2021","Currency=USD","Period=FY","BEST_FPERIOD_OVERRIDE=FY","FILING_STATUS=MR","SCALING_FORMAT=MLN","Sort=A","Dates=H","DateFormat=P","Fill=—","Direction=H","UseDPDF=Y")</f>
        <v>#NAME?</v>
      </c>
      <c r="G63" s="1059" t="e">
        <f ca="1">BDH("BMBL US Equity","ARDR_PREPAID_EXPENSES_ST","FY 2022","FY 2022","Currency=USD","Period=FY","BEST_FPERIOD_OVERRIDE=FY","FILING_STATUS=MR","SCALING_FORMAT=MLN","Sort=A","Dates=H","DateFormat=P","Fill=—","Direction=H","UseDPDF=Y")</f>
        <v>#NAME?</v>
      </c>
      <c r="H63" s="1059" t="e">
        <f ca="1">BDH("BMBL US Equity","ARDR_PREPAID_EXPENSES_ST","FY 2023","FY 2023","Currency=USD","Period=FY","BEST_FPERIOD_OVERRIDE=FY","FILING_STATUS=MR","SCALING_FORMAT=MLN","Sort=A","Dates=H","DateFormat=P","Fill=—","Direction=H","UseDPDF=Y")</f>
        <v>#NAME?</v>
      </c>
    </row>
    <row r="64" spans="1:8">
      <c r="A64" s="1058" t="s">
        <v>114</v>
      </c>
      <c r="B64" s="1058" t="s">
        <v>115</v>
      </c>
      <c r="C64" s="1059" t="e">
        <f ca="1">BDH("BMBL US Equity","ARDR_LEASEHOLD_IMPROVEMENTS","FY 2018","FY 2018","Currency=USD","Period=FY","BEST_FPERIOD_OVERRIDE=FY","FILING_STATUS=MR","SCALING_FORMAT=MLN","Sort=A","Dates=H","DateFormat=P","Fill=—","Direction=H","UseDPDF=Y")</f>
        <v>#NAME?</v>
      </c>
      <c r="D64" s="1059" t="e">
        <f ca="1">BDH("BMBL US Equity","ARDR_LEASEHOLD_IMPROVEMENTS","FY 2019","FY 2019","Currency=USD","Period=FY","BEST_FPERIOD_OVERRIDE=FY","FILING_STATUS=MR","SCALING_FORMAT=MLN","Sort=A","Dates=H","DateFormat=P","Fill=—","Direction=H","UseDPDF=Y")</f>
        <v>#NAME?</v>
      </c>
      <c r="E64" s="1059" t="e">
        <f ca="1">BDH("BMBL US Equity","ARDR_LEASEHOLD_IMPROVEMENTS","FY 2020","FY 2020","Currency=USD","Period=FY","BEST_FPERIOD_OVERRIDE=FY","FILING_STATUS=MR","SCALING_FORMAT=MLN","Sort=A","Dates=H","DateFormat=P","Fill=—","Direction=H","UseDPDF=Y")</f>
        <v>#NAME?</v>
      </c>
      <c r="F64" s="1059" t="e">
        <f ca="1">BDH("BMBL US Equity","ARDR_LEASEHOLD_IMPROVEMENTS","FY 2021","FY 2021","Currency=USD","Period=FY","BEST_FPERIOD_OVERRIDE=FY","FILING_STATUS=MR","SCALING_FORMAT=MLN","Sort=A","Dates=H","DateFormat=P","Fill=—","Direction=H","UseDPDF=Y")</f>
        <v>#NAME?</v>
      </c>
      <c r="G64" s="1059" t="e">
        <f ca="1">BDH("BMBL US Equity","ARDR_LEASEHOLD_IMPROVEMENTS","FY 2022","FY 2022","Currency=USD","Period=FY","BEST_FPERIOD_OVERRIDE=FY","FILING_STATUS=MR","SCALING_FORMAT=MLN","Sort=A","Dates=H","DateFormat=P","Fill=—","Direction=H","UseDPDF=Y")</f>
        <v>#NAME?</v>
      </c>
      <c r="H64" s="1059" t="e">
        <f ca="1">BDH("BMBL US Equity","ARDR_LEASEHOLD_IMPROVEMENTS","FY 2023","FY 2023","Currency=USD","Period=FY","BEST_FPERIOD_OVERRIDE=FY","FILING_STATUS=MR","SCALING_FORMAT=MLN","Sort=A","Dates=H","DateFormat=P","Fill=—","Direction=H","UseDPDF=Y")</f>
        <v>#NAME?</v>
      </c>
    </row>
    <row r="65" spans="1:8">
      <c r="A65" s="1058" t="s">
        <v>116</v>
      </c>
      <c r="B65" s="1058" t="s">
        <v>117</v>
      </c>
      <c r="C65" s="1059" t="e">
        <f ca="1">BDH("BMBL US Equity","ARDR_FURNITURE_MACHINERY_EQUIP","FY 2018","FY 2018","Currency=USD","Period=FY","BEST_FPERIOD_OVERRIDE=FY","FILING_STATUS=MR","SCALING_FORMAT=MLN","Sort=A","Dates=H","DateFormat=P","Fill=—","Direction=H","UseDPDF=Y")</f>
        <v>#NAME?</v>
      </c>
      <c r="D65" s="1059" t="e">
        <f ca="1">BDH("BMBL US Equity","ARDR_FURNITURE_MACHINERY_EQUIP","FY 2019","FY 2019","Currency=USD","Period=FY","BEST_FPERIOD_OVERRIDE=FY","FILING_STATUS=MR","SCALING_FORMAT=MLN","Sort=A","Dates=H","DateFormat=P","Fill=—","Direction=H","UseDPDF=Y")</f>
        <v>#NAME?</v>
      </c>
      <c r="E65" s="1059" t="e">
        <f ca="1">BDH("BMBL US Equity","ARDR_FURNITURE_MACHINERY_EQUIP","FY 2020","FY 2020","Currency=USD","Period=FY","BEST_FPERIOD_OVERRIDE=FY","FILING_STATUS=MR","SCALING_FORMAT=MLN","Sort=A","Dates=H","DateFormat=P","Fill=—","Direction=H","UseDPDF=Y")</f>
        <v>#NAME?</v>
      </c>
      <c r="F65" s="1059" t="e">
        <f ca="1">BDH("BMBL US Equity","ARDR_FURNITURE_MACHINERY_EQUIP","FY 2021","FY 2021","Currency=USD","Period=FY","BEST_FPERIOD_OVERRIDE=FY","FILING_STATUS=MR","SCALING_FORMAT=MLN","Sort=A","Dates=H","DateFormat=P","Fill=—","Direction=H","UseDPDF=Y")</f>
        <v>#NAME?</v>
      </c>
      <c r="G65" s="1059" t="e">
        <f ca="1">BDH("BMBL US Equity","ARDR_FURNITURE_MACHINERY_EQUIP","FY 2022","FY 2022","Currency=USD","Period=FY","BEST_FPERIOD_OVERRIDE=FY","FILING_STATUS=MR","SCALING_FORMAT=MLN","Sort=A","Dates=H","DateFormat=P","Fill=—","Direction=H","UseDPDF=Y")</f>
        <v>#NAME?</v>
      </c>
      <c r="H65" s="1059" t="e">
        <f ca="1">BDH("BMBL US Equity","ARDR_FURNITURE_MACHINERY_EQUIP","FY 2023","FY 2023","Currency=USD","Period=FY","BEST_FPERIOD_OVERRIDE=FY","FILING_STATUS=MR","SCALING_FORMAT=MLN","Sort=A","Dates=H","DateFormat=P","Fill=—","Direction=H","UseDPDF=Y")</f>
        <v>#NAME?</v>
      </c>
    </row>
    <row r="66" spans="1:8">
      <c r="A66" s="1058" t="s">
        <v>118</v>
      </c>
      <c r="B66" s="1058" t="s">
        <v>119</v>
      </c>
      <c r="C66" s="1059" t="e">
        <f ca="1">BDH("BMBL US Equity","ARDR_PROPERTY_PLANT_EQUIP_GROSS","FY 2018","FY 2018","Currency=USD","Period=FY","BEST_FPERIOD_OVERRIDE=FY","FILING_STATUS=MR","SCALING_FORMAT=MLN","Sort=A","Dates=H","DateFormat=P","Fill=—","Direction=H","UseDPDF=Y")</f>
        <v>#NAME?</v>
      </c>
      <c r="D66" s="1059" t="e">
        <f ca="1">BDH("BMBL US Equity","ARDR_PROPERTY_PLANT_EQUIP_GROSS","FY 2019","FY 2019","Currency=USD","Period=FY","BEST_FPERIOD_OVERRIDE=FY","FILING_STATUS=MR","SCALING_FORMAT=MLN","Sort=A","Dates=H","DateFormat=P","Fill=—","Direction=H","UseDPDF=Y")</f>
        <v>#NAME?</v>
      </c>
      <c r="E66" s="1059" t="e">
        <f ca="1">BDH("BMBL US Equity","ARDR_PROPERTY_PLANT_EQUIP_GROSS","FY 2020","FY 2020","Currency=USD","Period=FY","BEST_FPERIOD_OVERRIDE=FY","FILING_STATUS=MR","SCALING_FORMAT=MLN","Sort=A","Dates=H","DateFormat=P","Fill=—","Direction=H","UseDPDF=Y")</f>
        <v>#NAME?</v>
      </c>
      <c r="F66" s="1059" t="e">
        <f ca="1">BDH("BMBL US Equity","ARDR_PROPERTY_PLANT_EQUIP_GROSS","FY 2021","FY 2021","Currency=USD","Period=FY","BEST_FPERIOD_OVERRIDE=FY","FILING_STATUS=MR","SCALING_FORMAT=MLN","Sort=A","Dates=H","DateFormat=P","Fill=—","Direction=H","UseDPDF=Y")</f>
        <v>#NAME?</v>
      </c>
      <c r="G66" s="1059" t="e">
        <f ca="1">BDH("BMBL US Equity","ARDR_PROPERTY_PLANT_EQUIP_GROSS","FY 2022","FY 2022","Currency=USD","Period=FY","BEST_FPERIOD_OVERRIDE=FY","FILING_STATUS=MR","SCALING_FORMAT=MLN","Sort=A","Dates=H","DateFormat=P","Fill=—","Direction=H","UseDPDF=Y")</f>
        <v>#NAME?</v>
      </c>
      <c r="H66" s="1059" t="e">
        <f ca="1">BDH("BMBL US Equity","ARDR_PROPERTY_PLANT_EQUIP_GROSS","FY 2023","FY 2023","Currency=USD","Period=FY","BEST_FPERIOD_OVERRIDE=FY","FILING_STATUS=MR","SCALING_FORMAT=MLN","Sort=A","Dates=H","DateFormat=P","Fill=—","Direction=H","UseDPDF=Y")</f>
        <v>#NAME?</v>
      </c>
    </row>
    <row r="67" spans="1:8">
      <c r="A67" s="1058" t="s">
        <v>120</v>
      </c>
      <c r="B67" s="1058" t="s">
        <v>121</v>
      </c>
      <c r="C67" s="1059" t="e">
        <f ca="1">BDH("BMBL US Equity","ARDR_ACCUMULATED_DEPREC","FY 2018","FY 2018","Currency=USD","Period=FY","BEST_FPERIOD_OVERRIDE=FY","FILING_STATUS=MR","SCALING_FORMAT=MLN","Sort=A","Dates=H","DateFormat=P","Fill=—","Direction=H","UseDPDF=Y")</f>
        <v>#NAME?</v>
      </c>
      <c r="D67" s="1059" t="e">
        <f ca="1">BDH("BMBL US Equity","ARDR_ACCUMULATED_DEPREC","FY 2019","FY 2019","Currency=USD","Period=FY","BEST_FPERIOD_OVERRIDE=FY","FILING_STATUS=MR","SCALING_FORMAT=MLN","Sort=A","Dates=H","DateFormat=P","Fill=—","Direction=H","UseDPDF=Y")</f>
        <v>#NAME?</v>
      </c>
      <c r="E67" s="1059" t="e">
        <f ca="1">BDH("BMBL US Equity","ARDR_ACCUMULATED_DEPREC","FY 2020","FY 2020","Currency=USD","Period=FY","BEST_FPERIOD_OVERRIDE=FY","FILING_STATUS=MR","SCALING_FORMAT=MLN","Sort=A","Dates=H","DateFormat=P","Fill=—","Direction=H","UseDPDF=Y")</f>
        <v>#NAME?</v>
      </c>
      <c r="F67" s="1059" t="e">
        <f ca="1">BDH("BMBL US Equity","ARDR_ACCUMULATED_DEPREC","FY 2021","FY 2021","Currency=USD","Period=FY","BEST_FPERIOD_OVERRIDE=FY","FILING_STATUS=MR","SCALING_FORMAT=MLN","Sort=A","Dates=H","DateFormat=P","Fill=—","Direction=H","UseDPDF=Y")</f>
        <v>#NAME?</v>
      </c>
      <c r="G67" s="1059" t="e">
        <f ca="1">BDH("BMBL US Equity","ARDR_ACCUMULATED_DEPREC","FY 2022","FY 2022","Currency=USD","Period=FY","BEST_FPERIOD_OVERRIDE=FY","FILING_STATUS=MR","SCALING_FORMAT=MLN","Sort=A","Dates=H","DateFormat=P","Fill=—","Direction=H","UseDPDF=Y")</f>
        <v>#NAME?</v>
      </c>
      <c r="H67" s="1059" t="e">
        <f ca="1">BDH("BMBL US Equity","ARDR_ACCUMULATED_DEPREC","FY 2023","FY 2023","Currency=USD","Period=FY","BEST_FPERIOD_OVERRIDE=FY","FILING_STATUS=MR","SCALING_FORMAT=MLN","Sort=A","Dates=H","DateFormat=P","Fill=—","Direction=H","UseDPDF=Y")</f>
        <v>#NAME?</v>
      </c>
    </row>
    <row r="68" spans="1:8">
      <c r="A68" s="1058" t="s">
        <v>28</v>
      </c>
      <c r="B68" s="1058" t="s">
        <v>122</v>
      </c>
      <c r="C68" s="1059" t="e">
        <f ca="1">BDH("BMBL US Equity","ARDR_PROPERTY_PLANT_EQUIP_NET","FY 2018","FY 2018","Currency=USD","Period=FY","BEST_FPERIOD_OVERRIDE=FY","FILING_STATUS=MR","SCALING_FORMAT=MLN","Sort=A","Dates=H","DateFormat=P","Fill=—","Direction=H","UseDPDF=Y")</f>
        <v>#NAME?</v>
      </c>
      <c r="D68" s="1059" t="e">
        <f ca="1">BDH("BMBL US Equity","ARDR_PROPERTY_PLANT_EQUIP_NET","FY 2019","FY 2019","Currency=USD","Period=FY","BEST_FPERIOD_OVERRIDE=FY","FILING_STATUS=MR","SCALING_FORMAT=MLN","Sort=A","Dates=H","DateFormat=P","Fill=—","Direction=H","UseDPDF=Y")</f>
        <v>#NAME?</v>
      </c>
      <c r="E68" s="1059" t="e">
        <f ca="1">BDH("BMBL US Equity","ARDR_PROPERTY_PLANT_EQUIP_NET","FY 2020","FY 2020","Currency=USD","Period=FY","BEST_FPERIOD_OVERRIDE=FY","FILING_STATUS=MR","SCALING_FORMAT=MLN","Sort=A","Dates=H","DateFormat=P","Fill=—","Direction=H","UseDPDF=Y")</f>
        <v>#NAME?</v>
      </c>
      <c r="F68" s="1059" t="e">
        <f ca="1">BDH("BMBL US Equity","ARDR_PROPERTY_PLANT_EQUIP_NET","FY 2021","FY 2021","Currency=USD","Period=FY","BEST_FPERIOD_OVERRIDE=FY","FILING_STATUS=MR","SCALING_FORMAT=MLN","Sort=A","Dates=H","DateFormat=P","Fill=—","Direction=H","UseDPDF=Y")</f>
        <v>#NAME?</v>
      </c>
      <c r="G68" s="1059" t="e">
        <f ca="1">BDH("BMBL US Equity","ARDR_PROPERTY_PLANT_EQUIP_NET","FY 2022","FY 2022","Currency=USD","Period=FY","BEST_FPERIOD_OVERRIDE=FY","FILING_STATUS=MR","SCALING_FORMAT=MLN","Sort=A","Dates=H","DateFormat=P","Fill=—","Direction=H","UseDPDF=Y")</f>
        <v>#NAME?</v>
      </c>
      <c r="H68" s="1059" t="e">
        <f ca="1">BDH("BMBL US Equity","ARDR_PROPERTY_PLANT_EQUIP_NET","FY 2023","FY 2023","Currency=USD","Period=FY","BEST_FPERIOD_OVERRIDE=FY","FILING_STATUS=MR","SCALING_FORMAT=MLN","Sort=A","Dates=H","DateFormat=P","Fill=—","Direction=H","UseDPDF=Y")</f>
        <v>#NAME?</v>
      </c>
    </row>
    <row r="69" spans="1:8">
      <c r="A69" s="1058" t="s">
        <v>123</v>
      </c>
      <c r="B69" s="1058" t="s">
        <v>124</v>
      </c>
      <c r="C69" s="1059" t="e">
        <f ca="1">BDH("BMBL US Equity","ARDR_DEFERRED_INC_TAX_ASSET_LT","FY 2018","FY 2018","Currency=USD","Period=FY","BEST_FPERIOD_OVERRIDE=FY","FILING_STATUS=MR","SCALING_FORMAT=MLN","Sort=A","Dates=H","DateFormat=P","Fill=—","Direction=H","UseDPDF=Y")</f>
        <v>#NAME?</v>
      </c>
      <c r="D69" s="1059" t="e">
        <f ca="1">BDH("BMBL US Equity","ARDR_DEFERRED_INC_TAX_ASSET_LT","FY 2019","FY 2019","Currency=USD","Period=FY","BEST_FPERIOD_OVERRIDE=FY","FILING_STATUS=MR","SCALING_FORMAT=MLN","Sort=A","Dates=H","DateFormat=P","Fill=—","Direction=H","UseDPDF=Y")</f>
        <v>#NAME?</v>
      </c>
      <c r="E69" s="1059" t="e">
        <f ca="1">BDH("BMBL US Equity","ARDR_DEFERRED_INC_TAX_ASSET_LT","FY 2020","FY 2020","Currency=USD","Period=FY","BEST_FPERIOD_OVERRIDE=FY","FILING_STATUS=MR","SCALING_FORMAT=MLN","Sort=A","Dates=H","DateFormat=P","Fill=—","Direction=H","UseDPDF=Y")</f>
        <v>#NAME?</v>
      </c>
      <c r="F69" s="1059" t="e">
        <f ca="1">BDH("BMBL US Equity","ARDR_DEFERRED_INC_TAX_ASSET_LT","FY 2021","FY 2021","Currency=USD","Period=FY","BEST_FPERIOD_OVERRIDE=FY","FILING_STATUS=MR","SCALING_FORMAT=MLN","Sort=A","Dates=H","DateFormat=P","Fill=—","Direction=H","UseDPDF=Y")</f>
        <v>#NAME?</v>
      </c>
      <c r="G69" s="1059" t="e">
        <f ca="1">BDH("BMBL US Equity","ARDR_DEFERRED_INC_TAX_ASSET_LT","FY 2022","FY 2022","Currency=USD","Period=FY","BEST_FPERIOD_OVERRIDE=FY","FILING_STATUS=MR","SCALING_FORMAT=MLN","Sort=A","Dates=H","DateFormat=P","Fill=—","Direction=H","UseDPDF=Y")</f>
        <v>#NAME?</v>
      </c>
      <c r="H69" s="1059" t="e">
        <f ca="1">BDH("BMBL US Equity","ARDR_DEFERRED_INC_TAX_ASSET_LT","FY 2023","FY 2023","Currency=USD","Period=FY","BEST_FPERIOD_OVERRIDE=FY","FILING_STATUS=MR","SCALING_FORMAT=MLN","Sort=A","Dates=H","DateFormat=P","Fill=—","Direction=H","UseDPDF=Y")</f>
        <v>#NAME?</v>
      </c>
    </row>
    <row r="70" spans="1:8">
      <c r="A70" s="1058" t="s">
        <v>32</v>
      </c>
      <c r="B70" s="1058" t="s">
        <v>125</v>
      </c>
      <c r="C70" s="1059" t="e">
        <f ca="1">BDH("BMBL US Equity","ARDR_TOTAL_INTANGIBLE_ASSET_NET","FY 2018","FY 2018","Currency=USD","Period=FY","BEST_FPERIOD_OVERRIDE=FY","FILING_STATUS=MR","SCALING_FORMAT=MLN","Sort=A","Dates=H","DateFormat=P","Fill=—","Direction=H","UseDPDF=Y")</f>
        <v>#NAME?</v>
      </c>
      <c r="D70" s="1059" t="e">
        <f ca="1">BDH("BMBL US Equity","ARDR_TOTAL_INTANGIBLE_ASSET_NET","FY 2019","FY 2019","Currency=USD","Period=FY","BEST_FPERIOD_OVERRIDE=FY","FILING_STATUS=MR","SCALING_FORMAT=MLN","Sort=A","Dates=H","DateFormat=P","Fill=—","Direction=H","UseDPDF=Y")</f>
        <v>#NAME?</v>
      </c>
      <c r="E70" s="1059" t="e">
        <f ca="1">BDH("BMBL US Equity","ARDR_TOTAL_INTANGIBLE_ASSET_NET","FY 2020","FY 2020","Currency=USD","Period=FY","BEST_FPERIOD_OVERRIDE=FY","FILING_STATUS=MR","SCALING_FORMAT=MLN","Sort=A","Dates=H","DateFormat=P","Fill=—","Direction=H","UseDPDF=Y")</f>
        <v>#NAME?</v>
      </c>
      <c r="F70" s="1059" t="e">
        <f ca="1">BDH("BMBL US Equity","ARDR_TOTAL_INTANGIBLE_ASSET_NET","FY 2021","FY 2021","Currency=USD","Period=FY","BEST_FPERIOD_OVERRIDE=FY","FILING_STATUS=MR","SCALING_FORMAT=MLN","Sort=A","Dates=H","DateFormat=P","Fill=—","Direction=H","UseDPDF=Y")</f>
        <v>#NAME?</v>
      </c>
      <c r="G70" s="1059" t="e">
        <f ca="1">BDH("BMBL US Equity","ARDR_TOTAL_INTANGIBLE_ASSET_NET","FY 2022","FY 2022","Currency=USD","Period=FY","BEST_FPERIOD_OVERRIDE=FY","FILING_STATUS=MR","SCALING_FORMAT=MLN","Sort=A","Dates=H","DateFormat=P","Fill=—","Direction=H","UseDPDF=Y")</f>
        <v>#NAME?</v>
      </c>
      <c r="H70" s="1059" t="e">
        <f ca="1">BDH("BMBL US Equity","ARDR_TOTAL_INTANGIBLE_ASSET_NET","FY 2023","FY 2023","Currency=USD","Period=FY","BEST_FPERIOD_OVERRIDE=FY","FILING_STATUS=MR","SCALING_FORMAT=MLN","Sort=A","Dates=H","DateFormat=P","Fill=—","Direction=H","UseDPDF=Y")</f>
        <v>#NAME?</v>
      </c>
    </row>
    <row r="71" spans="1:8">
      <c r="A71" s="1058" t="s">
        <v>34</v>
      </c>
      <c r="B71" s="1058" t="s">
        <v>126</v>
      </c>
      <c r="C71" s="1059" t="e">
        <f ca="1">BDH("BMBL US Equity","ARDR_OTHER_INTANGIBLE_ASSET","FY 2018","FY 2018","Currency=USD","Period=FY","BEST_FPERIOD_OVERRIDE=FY","FILING_STATUS=MR","SCALING_FORMAT=MLN","Sort=A","Dates=H","DateFormat=P","Fill=—","Direction=H","UseDPDF=Y")</f>
        <v>#NAME?</v>
      </c>
      <c r="D71" s="1059" t="e">
        <f ca="1">BDH("BMBL US Equity","ARDR_OTHER_INTANGIBLE_ASSET","FY 2019","FY 2019","Currency=USD","Period=FY","BEST_FPERIOD_OVERRIDE=FY","FILING_STATUS=MR","SCALING_FORMAT=MLN","Sort=A","Dates=H","DateFormat=P","Fill=—","Direction=H","UseDPDF=Y")</f>
        <v>#NAME?</v>
      </c>
      <c r="E71" s="1059" t="e">
        <f ca="1">BDH("BMBL US Equity","ARDR_OTHER_INTANGIBLE_ASSET","FY 2020","FY 2020","Currency=USD","Period=FY","BEST_FPERIOD_OVERRIDE=FY","FILING_STATUS=MR","SCALING_FORMAT=MLN","Sort=A","Dates=H","DateFormat=P","Fill=—","Direction=H","UseDPDF=Y")</f>
        <v>#NAME?</v>
      </c>
      <c r="F71" s="1059" t="e">
        <f ca="1">BDH("BMBL US Equity","ARDR_OTHER_INTANGIBLE_ASSET","FY 2021","FY 2021","Currency=USD","Period=FY","BEST_FPERIOD_OVERRIDE=FY","FILING_STATUS=MR","SCALING_FORMAT=MLN","Sort=A","Dates=H","DateFormat=P","Fill=—","Direction=H","UseDPDF=Y")</f>
        <v>#NAME?</v>
      </c>
      <c r="G71" s="1059" t="e">
        <f ca="1">BDH("BMBL US Equity","ARDR_OTHER_INTANGIBLE_ASSET","FY 2022","FY 2022","Currency=USD","Period=FY","BEST_FPERIOD_OVERRIDE=FY","FILING_STATUS=MR","SCALING_FORMAT=MLN","Sort=A","Dates=H","DateFormat=P","Fill=—","Direction=H","UseDPDF=Y")</f>
        <v>#NAME?</v>
      </c>
      <c r="H71" s="1059" t="e">
        <f ca="1">BDH("BMBL US Equity","ARDR_OTHER_INTANGIBLE_ASSET","FY 2023","FY 2023","Currency=USD","Period=FY","BEST_FPERIOD_OVERRIDE=FY","FILING_STATUS=MR","SCALING_FORMAT=MLN","Sort=A","Dates=H","DateFormat=P","Fill=—","Direction=H","UseDPDF=Y")</f>
        <v>#NAME?</v>
      </c>
    </row>
    <row r="72" spans="1:8">
      <c r="A72" s="1058" t="s">
        <v>36</v>
      </c>
      <c r="B72" s="1058" t="s">
        <v>127</v>
      </c>
      <c r="C72" s="1059" t="e">
        <f ca="1">BDH("BMBL US Equity","ARDR_GOODWLL","FY 2018","FY 2018","Currency=USD","Period=FY","BEST_FPERIOD_OVERRIDE=FY","FILING_STATUS=MR","SCALING_FORMAT=MLN","Sort=A","Dates=H","DateFormat=P","Fill=—","Direction=H","UseDPDF=Y")</f>
        <v>#NAME?</v>
      </c>
      <c r="D72" s="1059" t="e">
        <f ca="1">BDH("BMBL US Equity","ARDR_GOODWLL","FY 2019","FY 2019","Currency=USD","Period=FY","BEST_FPERIOD_OVERRIDE=FY","FILING_STATUS=MR","SCALING_FORMAT=MLN","Sort=A","Dates=H","DateFormat=P","Fill=—","Direction=H","UseDPDF=Y")</f>
        <v>#NAME?</v>
      </c>
      <c r="E72" s="1059" t="e">
        <f ca="1">BDH("BMBL US Equity","ARDR_GOODWLL","FY 2020","FY 2020","Currency=USD","Period=FY","BEST_FPERIOD_OVERRIDE=FY","FILING_STATUS=MR","SCALING_FORMAT=MLN","Sort=A","Dates=H","DateFormat=P","Fill=—","Direction=H","UseDPDF=Y")</f>
        <v>#NAME?</v>
      </c>
      <c r="F72" s="1059" t="e">
        <f ca="1">BDH("BMBL US Equity","ARDR_GOODWLL","FY 2021","FY 2021","Currency=USD","Period=FY","BEST_FPERIOD_OVERRIDE=FY","FILING_STATUS=MR","SCALING_FORMAT=MLN","Sort=A","Dates=H","DateFormat=P","Fill=—","Direction=H","UseDPDF=Y")</f>
        <v>#NAME?</v>
      </c>
      <c r="G72" s="1059" t="e">
        <f ca="1">BDH("BMBL US Equity","ARDR_GOODWLL","FY 2022","FY 2022","Currency=USD","Period=FY","BEST_FPERIOD_OVERRIDE=FY","FILING_STATUS=MR","SCALING_FORMAT=MLN","Sort=A","Dates=H","DateFormat=P","Fill=—","Direction=H","UseDPDF=Y")</f>
        <v>#NAME?</v>
      </c>
      <c r="H72" s="1059" t="e">
        <f ca="1">BDH("BMBL US Equity","ARDR_GOODWLL","FY 2023","FY 2023","Currency=USD","Period=FY","BEST_FPERIOD_OVERRIDE=FY","FILING_STATUS=MR","SCALING_FORMAT=MLN","Sort=A","Dates=H","DateFormat=P","Fill=—","Direction=H","UseDPDF=Y")</f>
        <v>#NAME?</v>
      </c>
    </row>
    <row r="73" spans="1:8">
      <c r="A73" s="1058" t="s">
        <v>128</v>
      </c>
      <c r="B73" s="1058" t="s">
        <v>129</v>
      </c>
      <c r="C73" s="1059" t="e">
        <f ca="1">BDH("BMBL US Equity","ARDR_PATENTS_TRADEMRK_COPYRIGHT","FY 2018","FY 2018","Currency=USD","Period=FY","BEST_FPERIOD_OVERRIDE=FY","FILING_STATUS=MR","SCALING_FORMAT=MLN","Sort=A","Dates=H","DateFormat=P","Fill=—","Direction=H","UseDPDF=Y")</f>
        <v>#NAME?</v>
      </c>
      <c r="D73" s="1059" t="e">
        <f ca="1">BDH("BMBL US Equity","ARDR_PATENTS_TRADEMRK_COPYRIGHT","FY 2019","FY 2019","Currency=USD","Period=FY","BEST_FPERIOD_OVERRIDE=FY","FILING_STATUS=MR","SCALING_FORMAT=MLN","Sort=A","Dates=H","DateFormat=P","Fill=—","Direction=H","UseDPDF=Y")</f>
        <v>#NAME?</v>
      </c>
      <c r="E73" s="1059" t="e">
        <f ca="1">BDH("BMBL US Equity","ARDR_PATENTS_TRADEMRK_COPYRIGHT","FY 2020","FY 2020","Currency=USD","Period=FY","BEST_FPERIOD_OVERRIDE=FY","FILING_STATUS=MR","SCALING_FORMAT=MLN","Sort=A","Dates=H","DateFormat=P","Fill=—","Direction=H","UseDPDF=Y")</f>
        <v>#NAME?</v>
      </c>
      <c r="F73" s="1059" t="e">
        <f ca="1">BDH("BMBL US Equity","ARDR_PATENTS_TRADEMRK_COPYRIGHT","FY 2021","FY 2021","Currency=USD","Period=FY","BEST_FPERIOD_OVERRIDE=FY","FILING_STATUS=MR","SCALING_FORMAT=MLN","Sort=A","Dates=H","DateFormat=P","Fill=—","Direction=H","UseDPDF=Y")</f>
        <v>#NAME?</v>
      </c>
      <c r="G73" s="1059" t="e">
        <f ca="1">BDH("BMBL US Equity","ARDR_PATENTS_TRADEMRK_COPYRIGHT","FY 2022","FY 2022","Currency=USD","Period=FY","BEST_FPERIOD_OVERRIDE=FY","FILING_STATUS=MR","SCALING_FORMAT=MLN","Sort=A","Dates=H","DateFormat=P","Fill=—","Direction=H","UseDPDF=Y")</f>
        <v>#NAME?</v>
      </c>
      <c r="H73" s="1059" t="e">
        <f ca="1">BDH("BMBL US Equity","ARDR_PATENTS_TRADEMRK_COPYRIGHT","FY 2023","FY 2023","Currency=USD","Period=FY","BEST_FPERIOD_OVERRIDE=FY","FILING_STATUS=MR","SCALING_FORMAT=MLN","Sort=A","Dates=H","DateFormat=P","Fill=—","Direction=H","UseDPDF=Y")</f>
        <v>#NAME?</v>
      </c>
    </row>
    <row r="74" spans="1:8">
      <c r="A74" s="1058" t="s">
        <v>49</v>
      </c>
      <c r="B74" s="1058" t="s">
        <v>130</v>
      </c>
      <c r="C74" s="1059" t="e">
        <f ca="1">BDH("BMBL US Equity","ARDR_CURRENT_PORTION_OF_LT_DEBT","FY 2018","FY 2018","Currency=USD","Period=FY","BEST_FPERIOD_OVERRIDE=FY","FILING_STATUS=MR","SCALING_FORMAT=MLN","Sort=A","Dates=H","DateFormat=P","Fill=—","Direction=H","UseDPDF=Y")</f>
        <v>#NAME?</v>
      </c>
      <c r="D74" s="1059" t="e">
        <f ca="1">BDH("BMBL US Equity","ARDR_CURRENT_PORTION_OF_LT_DEBT","FY 2019","FY 2019","Currency=USD","Period=FY","BEST_FPERIOD_OVERRIDE=FY","FILING_STATUS=MR","SCALING_FORMAT=MLN","Sort=A","Dates=H","DateFormat=P","Fill=—","Direction=H","UseDPDF=Y")</f>
        <v>#NAME?</v>
      </c>
      <c r="E74" s="1059" t="e">
        <f ca="1">BDH("BMBL US Equity","ARDR_CURRENT_PORTION_OF_LT_DEBT","FY 2020","FY 2020","Currency=USD","Period=FY","BEST_FPERIOD_OVERRIDE=FY","FILING_STATUS=MR","SCALING_FORMAT=MLN","Sort=A","Dates=H","DateFormat=P","Fill=—","Direction=H","UseDPDF=Y")</f>
        <v>#NAME?</v>
      </c>
      <c r="F74" s="1059" t="e">
        <f ca="1">BDH("BMBL US Equity","ARDR_CURRENT_PORTION_OF_LT_DEBT","FY 2021","FY 2021","Currency=USD","Period=FY","BEST_FPERIOD_OVERRIDE=FY","FILING_STATUS=MR","SCALING_FORMAT=MLN","Sort=A","Dates=H","DateFormat=P","Fill=—","Direction=H","UseDPDF=Y")</f>
        <v>#NAME?</v>
      </c>
      <c r="G74" s="1059" t="e">
        <f ca="1">BDH("BMBL US Equity","ARDR_CURRENT_PORTION_OF_LT_DEBT","FY 2022","FY 2022","Currency=USD","Period=FY","BEST_FPERIOD_OVERRIDE=FY","FILING_STATUS=MR","SCALING_FORMAT=MLN","Sort=A","Dates=H","DateFormat=P","Fill=—","Direction=H","UseDPDF=Y")</f>
        <v>#NAME?</v>
      </c>
      <c r="H74" s="1059" t="e">
        <f ca="1">BDH("BMBL US Equity","ARDR_CURRENT_PORTION_OF_LT_DEBT","FY 2023","FY 2023","Currency=USD","Period=FY","BEST_FPERIOD_OVERRIDE=FY","FILING_STATUS=MR","SCALING_FORMAT=MLN","Sort=A","Dates=H","DateFormat=P","Fill=—","Direction=H","UseDPDF=Y")</f>
        <v>#NAME?</v>
      </c>
    </row>
    <row r="75" spans="1:8">
      <c r="A75" s="1058" t="s">
        <v>62</v>
      </c>
      <c r="B75" s="1058" t="s">
        <v>131</v>
      </c>
      <c r="C75" s="1059" t="e">
        <f ca="1">BDH("BMBL US Equity","ARDR_DEFERRED_INCOME_TAXES_LIAB","FY 2018","FY 2018","Currency=USD","Period=FY","BEST_FPERIOD_OVERRIDE=FY","FILING_STATUS=MR","SCALING_FORMAT=MLN","Sort=A","Dates=H","DateFormat=P","Fill=—","Direction=H","UseDPDF=Y")</f>
        <v>#NAME?</v>
      </c>
      <c r="D75" s="1059" t="e">
        <f ca="1">BDH("BMBL US Equity","ARDR_DEFERRED_INCOME_TAXES_LIAB","FY 2019","FY 2019","Currency=USD","Period=FY","BEST_FPERIOD_OVERRIDE=FY","FILING_STATUS=MR","SCALING_FORMAT=MLN","Sort=A","Dates=H","DateFormat=P","Fill=—","Direction=H","UseDPDF=Y")</f>
        <v>#NAME?</v>
      </c>
      <c r="E75" s="1059" t="e">
        <f ca="1">BDH("BMBL US Equity","ARDR_DEFERRED_INCOME_TAXES_LIAB","FY 2020","FY 2020","Currency=USD","Period=FY","BEST_FPERIOD_OVERRIDE=FY","FILING_STATUS=MR","SCALING_FORMAT=MLN","Sort=A","Dates=H","DateFormat=P","Fill=—","Direction=H","UseDPDF=Y")</f>
        <v>#NAME?</v>
      </c>
      <c r="F75" s="1059" t="e">
        <f ca="1">BDH("BMBL US Equity","ARDR_DEFERRED_INCOME_TAXES_LIAB","FY 2021","FY 2021","Currency=USD","Period=FY","BEST_FPERIOD_OVERRIDE=FY","FILING_STATUS=MR","SCALING_FORMAT=MLN","Sort=A","Dates=H","DateFormat=P","Fill=—","Direction=H","UseDPDF=Y")</f>
        <v>#NAME?</v>
      </c>
      <c r="G75" s="1059" t="e">
        <f ca="1">BDH("BMBL US Equity","ARDR_DEFERRED_INCOME_TAXES_LIAB","FY 2022","FY 2022","Currency=USD","Period=FY","BEST_FPERIOD_OVERRIDE=FY","FILING_STATUS=MR","SCALING_FORMAT=MLN","Sort=A","Dates=H","DateFormat=P","Fill=—","Direction=H","UseDPDF=Y")</f>
        <v>#NAME?</v>
      </c>
      <c r="H75" s="1059" t="e">
        <f ca="1">BDH("BMBL US Equity","ARDR_DEFERRED_INCOME_TAXES_LIAB","FY 2023","FY 2023","Currency=USD","Period=FY","BEST_FPERIOD_OVERRIDE=FY","FILING_STATUS=MR","SCALING_FORMAT=MLN","Sort=A","Dates=H","DateFormat=P","Fill=—","Direction=H","UseDPDF=Y")</f>
        <v>#NAME?</v>
      </c>
    </row>
    <row r="76" spans="1:8">
      <c r="A76" s="1058" t="s">
        <v>132</v>
      </c>
      <c r="B76" s="1058" t="s">
        <v>133</v>
      </c>
      <c r="C76" s="1059" t="e">
        <f ca="1">BDH("BMBL US Equity","ARDR_MIN_NONCONTROL_INT_SE","FY 2018","FY 2018","Currency=USD","Period=FY","BEST_FPERIOD_OVERRIDE=FY","FILING_STATUS=MR","SCALING_FORMAT=MLN","Sort=A","Dates=H","DateFormat=P","Fill=—","Direction=H","UseDPDF=Y")</f>
        <v>#NAME?</v>
      </c>
      <c r="D76" s="1059" t="e">
        <f ca="1">BDH("BMBL US Equity","ARDR_MIN_NONCONTROL_INT_SE","FY 2019","FY 2019","Currency=USD","Period=FY","BEST_FPERIOD_OVERRIDE=FY","FILING_STATUS=MR","SCALING_FORMAT=MLN","Sort=A","Dates=H","DateFormat=P","Fill=—","Direction=H","UseDPDF=Y")</f>
        <v>#NAME?</v>
      </c>
      <c r="E76" s="1059" t="e">
        <f ca="1">BDH("BMBL US Equity","ARDR_MIN_NONCONTROL_INT_SE","FY 2020","FY 2020","Currency=USD","Period=FY","BEST_FPERIOD_OVERRIDE=FY","FILING_STATUS=MR","SCALING_FORMAT=MLN","Sort=A","Dates=H","DateFormat=P","Fill=—","Direction=H","UseDPDF=Y")</f>
        <v>#NAME?</v>
      </c>
      <c r="F76" s="1059" t="e">
        <f ca="1">BDH("BMBL US Equity","ARDR_MIN_NONCONTROL_INT_SE","FY 2021","FY 2021","Currency=USD","Period=FY","BEST_FPERIOD_OVERRIDE=FY","FILING_STATUS=MR","SCALING_FORMAT=MLN","Sort=A","Dates=H","DateFormat=P","Fill=—","Direction=H","UseDPDF=Y")</f>
        <v>#NAME?</v>
      </c>
      <c r="G76" s="1059" t="e">
        <f ca="1">BDH("BMBL US Equity","ARDR_MIN_NONCONTROL_INT_SE","FY 2022","FY 2022","Currency=USD","Period=FY","BEST_FPERIOD_OVERRIDE=FY","FILING_STATUS=MR","SCALING_FORMAT=MLN","Sort=A","Dates=H","DateFormat=P","Fill=—","Direction=H","UseDPDF=Y")</f>
        <v>#NAME?</v>
      </c>
      <c r="H76" s="1059" t="e">
        <f ca="1">BDH("BMBL US Equity","ARDR_MIN_NONCONTROL_INT_SE","FY 2023","FY 2023","Currency=USD","Period=FY","BEST_FPERIOD_OVERRIDE=FY","FILING_STATUS=MR","SCALING_FORMAT=MLN","Sort=A","Dates=H","DateFormat=P","Fill=—","Direction=H","UseDPDF=Y")</f>
        <v>#NAME?</v>
      </c>
    </row>
    <row r="77" spans="1:8">
      <c r="A77" s="1058" t="s">
        <v>75</v>
      </c>
      <c r="B77" s="1058" t="s">
        <v>134</v>
      </c>
      <c r="C77" s="1059" t="e">
        <f ca="1">BDH("BMBL US Equity","ARDR_COMMON_STOCK","FY 2018","FY 2018","Currency=USD","Period=FY","BEST_FPERIOD_OVERRIDE=FY","FILING_STATUS=MR","SCALING_FORMAT=MLN","Sort=A","Dates=H","DateFormat=P","Fill=—","Direction=H","UseDPDF=Y")</f>
        <v>#NAME?</v>
      </c>
      <c r="D77" s="1059" t="e">
        <f ca="1">BDH("BMBL US Equity","ARDR_COMMON_STOCK","FY 2019","FY 2019","Currency=USD","Period=FY","BEST_FPERIOD_OVERRIDE=FY","FILING_STATUS=MR","SCALING_FORMAT=MLN","Sort=A","Dates=H","DateFormat=P","Fill=—","Direction=H","UseDPDF=Y")</f>
        <v>#NAME?</v>
      </c>
      <c r="E77" s="1059" t="e">
        <f ca="1">BDH("BMBL US Equity","ARDR_COMMON_STOCK","FY 2020","FY 2020","Currency=USD","Period=FY","BEST_FPERIOD_OVERRIDE=FY","FILING_STATUS=MR","SCALING_FORMAT=MLN","Sort=A","Dates=H","DateFormat=P","Fill=—","Direction=H","UseDPDF=Y")</f>
        <v>#NAME?</v>
      </c>
      <c r="F77" s="1059" t="e">
        <f ca="1">BDH("BMBL US Equity","ARDR_COMMON_STOCK","FY 2021","FY 2021","Currency=USD","Period=FY","BEST_FPERIOD_OVERRIDE=FY","FILING_STATUS=MR","SCALING_FORMAT=MLN","Sort=A","Dates=H","DateFormat=P","Fill=—","Direction=H","UseDPDF=Y")</f>
        <v>#NAME?</v>
      </c>
      <c r="G77" s="1059" t="e">
        <f ca="1">BDH("BMBL US Equity","ARDR_COMMON_STOCK","FY 2022","FY 2022","Currency=USD","Period=FY","BEST_FPERIOD_OVERRIDE=FY","FILING_STATUS=MR","SCALING_FORMAT=MLN","Sort=A","Dates=H","DateFormat=P","Fill=—","Direction=H","UseDPDF=Y")</f>
        <v>#NAME?</v>
      </c>
      <c r="H77" s="1059" t="e">
        <f ca="1">BDH("BMBL US Equity","ARDR_COMMON_STOCK","FY 2023","FY 2023","Currency=USD","Period=FY","BEST_FPERIOD_OVERRIDE=FY","FILING_STATUS=MR","SCALING_FORMAT=MLN","Sort=A","Dates=H","DateFormat=P","Fill=—","Direction=H","UseDPDF=Y")</f>
        <v>#NAME?</v>
      </c>
    </row>
    <row r="78" spans="1:8">
      <c r="A78" s="1058" t="s">
        <v>77</v>
      </c>
      <c r="B78" s="1058" t="s">
        <v>135</v>
      </c>
      <c r="C78" s="1059" t="e">
        <f ca="1">BDH("BMBL US Equity","ARDR_ADDITIONAL_PAID_IN_CAPITAL","FY 2018","FY 2018","Currency=USD","Period=FY","BEST_FPERIOD_OVERRIDE=FY","FILING_STATUS=MR","SCALING_FORMAT=MLN","Sort=A","Dates=H","DateFormat=P","Fill=—","Direction=H","UseDPDF=Y")</f>
        <v>#NAME?</v>
      </c>
      <c r="D78" s="1059" t="e">
        <f ca="1">BDH("BMBL US Equity","ARDR_ADDITIONAL_PAID_IN_CAPITAL","FY 2019","FY 2019","Currency=USD","Period=FY","BEST_FPERIOD_OVERRIDE=FY","FILING_STATUS=MR","SCALING_FORMAT=MLN","Sort=A","Dates=H","DateFormat=P","Fill=—","Direction=H","UseDPDF=Y")</f>
        <v>#NAME?</v>
      </c>
      <c r="E78" s="1059" t="e">
        <f ca="1">BDH("BMBL US Equity","ARDR_ADDITIONAL_PAID_IN_CAPITAL","FY 2020","FY 2020","Currency=USD","Period=FY","BEST_FPERIOD_OVERRIDE=FY","FILING_STATUS=MR","SCALING_FORMAT=MLN","Sort=A","Dates=H","DateFormat=P","Fill=—","Direction=H","UseDPDF=Y")</f>
        <v>#NAME?</v>
      </c>
      <c r="F78" s="1059" t="e">
        <f ca="1">BDH("BMBL US Equity","ARDR_ADDITIONAL_PAID_IN_CAPITAL","FY 2021","FY 2021","Currency=USD","Period=FY","BEST_FPERIOD_OVERRIDE=FY","FILING_STATUS=MR","SCALING_FORMAT=MLN","Sort=A","Dates=H","DateFormat=P","Fill=—","Direction=H","UseDPDF=Y")</f>
        <v>#NAME?</v>
      </c>
      <c r="G78" s="1059" t="e">
        <f ca="1">BDH("BMBL US Equity","ARDR_ADDITIONAL_PAID_IN_CAPITAL","FY 2022","FY 2022","Currency=USD","Period=FY","BEST_FPERIOD_OVERRIDE=FY","FILING_STATUS=MR","SCALING_FORMAT=MLN","Sort=A","Dates=H","DateFormat=P","Fill=—","Direction=H","UseDPDF=Y")</f>
        <v>#NAME?</v>
      </c>
      <c r="H78" s="1059" t="e">
        <f ca="1">BDH("BMBL US Equity","ARDR_ADDITIONAL_PAID_IN_CAPITAL","FY 2023","FY 2023","Currency=USD","Period=FY","BEST_FPERIOD_OVERRIDE=FY","FILING_STATUS=MR","SCALING_FORMAT=MLN","Sort=A","Dates=H","DateFormat=P","Fill=—","Direction=H","UseDPDF=Y")</f>
        <v>#NAME?</v>
      </c>
    </row>
    <row r="79" spans="1:8">
      <c r="A79" s="1058" t="s">
        <v>79</v>
      </c>
      <c r="B79" s="1058" t="s">
        <v>136</v>
      </c>
      <c r="C79" s="1059" t="e">
        <f ca="1">BDH("BMBL US Equity","ARDR_TREASURY_STOCK_AMOUNT","FY 2018","FY 2018","Currency=USD","Period=FY","BEST_FPERIOD_OVERRIDE=FY","FILING_STATUS=MR","SCALING_FORMAT=MLN","Sort=A","Dates=H","DateFormat=P","Fill=—","Direction=H","UseDPDF=Y")</f>
        <v>#NAME?</v>
      </c>
      <c r="D79" s="1059" t="e">
        <f ca="1">BDH("BMBL US Equity","ARDR_TREASURY_STOCK_AMOUNT","FY 2019","FY 2019","Currency=USD","Period=FY","BEST_FPERIOD_OVERRIDE=FY","FILING_STATUS=MR","SCALING_FORMAT=MLN","Sort=A","Dates=H","DateFormat=P","Fill=—","Direction=H","UseDPDF=Y")</f>
        <v>#NAME?</v>
      </c>
      <c r="E79" s="1059" t="e">
        <f ca="1">BDH("BMBL US Equity","ARDR_TREASURY_STOCK_AMOUNT","FY 2020","FY 2020","Currency=USD","Period=FY","BEST_FPERIOD_OVERRIDE=FY","FILING_STATUS=MR","SCALING_FORMAT=MLN","Sort=A","Dates=H","DateFormat=P","Fill=—","Direction=H","UseDPDF=Y")</f>
        <v>#NAME?</v>
      </c>
      <c r="F79" s="1059" t="e">
        <f ca="1">BDH("BMBL US Equity","ARDR_TREASURY_STOCK_AMOUNT","FY 2021","FY 2021","Currency=USD","Period=FY","BEST_FPERIOD_OVERRIDE=FY","FILING_STATUS=MR","SCALING_FORMAT=MLN","Sort=A","Dates=H","DateFormat=P","Fill=—","Direction=H","UseDPDF=Y")</f>
        <v>#NAME?</v>
      </c>
      <c r="G79" s="1059" t="e">
        <f ca="1">BDH("BMBL US Equity","ARDR_TREASURY_STOCK_AMOUNT","FY 2022","FY 2022","Currency=USD","Period=FY","BEST_FPERIOD_OVERRIDE=FY","FILING_STATUS=MR","SCALING_FORMAT=MLN","Sort=A","Dates=H","DateFormat=P","Fill=—","Direction=H","UseDPDF=Y")</f>
        <v>#NAME?</v>
      </c>
      <c r="H79" s="1059" t="e">
        <f ca="1">BDH("BMBL US Equity","ARDR_TREASURY_STOCK_AMOUNT","FY 2023","FY 2023","Currency=USD","Period=FY","BEST_FPERIOD_OVERRIDE=FY","FILING_STATUS=MR","SCALING_FORMAT=MLN","Sort=A","Dates=H","DateFormat=P","Fill=—","Direction=H","UseDPDF=Y")</f>
        <v>#NAME?</v>
      </c>
    </row>
    <row r="80" spans="1:8">
      <c r="A80" s="1058" t="s">
        <v>81</v>
      </c>
      <c r="B80" s="1058" t="s">
        <v>137</v>
      </c>
      <c r="C80" s="1059" t="e">
        <f ca="1">BDH("BMBL US Equity","ARDR_ACC_OTH_COMPREHENSIVE_INC","FY 2018","FY 2018","Currency=USD","Period=FY","BEST_FPERIOD_OVERRIDE=FY","FILING_STATUS=MR","SCALING_FORMAT=MLN","Sort=A","Dates=H","DateFormat=P","Fill=—","Direction=H","UseDPDF=Y")</f>
        <v>#NAME?</v>
      </c>
      <c r="D80" s="1059" t="e">
        <f ca="1">BDH("BMBL US Equity","ARDR_ACC_OTH_COMPREHENSIVE_INC","FY 2019","FY 2019","Currency=USD","Period=FY","BEST_FPERIOD_OVERRIDE=FY","FILING_STATUS=MR","SCALING_FORMAT=MLN","Sort=A","Dates=H","DateFormat=P","Fill=—","Direction=H","UseDPDF=Y")</f>
        <v>#NAME?</v>
      </c>
      <c r="E80" s="1059" t="e">
        <f ca="1">BDH("BMBL US Equity","ARDR_ACC_OTH_COMPREHENSIVE_INC","FY 2020","FY 2020","Currency=USD","Period=FY","BEST_FPERIOD_OVERRIDE=FY","FILING_STATUS=MR","SCALING_FORMAT=MLN","Sort=A","Dates=H","DateFormat=P","Fill=—","Direction=H","UseDPDF=Y")</f>
        <v>#NAME?</v>
      </c>
      <c r="F80" s="1059" t="e">
        <f ca="1">BDH("BMBL US Equity","ARDR_ACC_OTH_COMPREHENSIVE_INC","FY 2021","FY 2021","Currency=USD","Period=FY","BEST_FPERIOD_OVERRIDE=FY","FILING_STATUS=MR","SCALING_FORMAT=MLN","Sort=A","Dates=H","DateFormat=P","Fill=—","Direction=H","UseDPDF=Y")</f>
        <v>#NAME?</v>
      </c>
      <c r="G80" s="1059" t="e">
        <f ca="1">BDH("BMBL US Equity","ARDR_ACC_OTH_COMPREHENSIVE_INC","FY 2022","FY 2022","Currency=USD","Period=FY","BEST_FPERIOD_OVERRIDE=FY","FILING_STATUS=MR","SCALING_FORMAT=MLN","Sort=A","Dates=H","DateFormat=P","Fill=—","Direction=H","UseDPDF=Y")</f>
        <v>#NAME?</v>
      </c>
      <c r="H80" s="1059" t="e">
        <f ca="1">BDH("BMBL US Equity","ARDR_ACC_OTH_COMPREHENSIVE_INC","FY 2023","FY 2023","Currency=USD","Period=FY","BEST_FPERIOD_OVERRIDE=FY","FILING_STATUS=MR","SCALING_FORMAT=MLN","Sort=A","Dates=H","DateFormat=P","Fill=—","Direction=H","UseDPDF=Y")</f>
        <v>#NAME?</v>
      </c>
    </row>
    <row r="81" spans="1:8">
      <c r="A81" s="1058" t="s">
        <v>83</v>
      </c>
      <c r="B81" s="1058" t="s">
        <v>138</v>
      </c>
      <c r="C81" s="1059" t="e">
        <f ca="1">BDH("BMBL US Equity","ARDR_RETAINED_EARN_ACC_DEFICIT","FY 2018","FY 2018","Currency=USD","Period=FY","BEST_FPERIOD_OVERRIDE=FY","FILING_STATUS=MR","SCALING_FORMAT=MLN","Sort=A","Dates=H","DateFormat=P","Fill=—","Direction=H","UseDPDF=Y")</f>
        <v>#NAME?</v>
      </c>
      <c r="D81" s="1059" t="e">
        <f ca="1">BDH("BMBL US Equity","ARDR_RETAINED_EARN_ACC_DEFICIT","FY 2019","FY 2019","Currency=USD","Period=FY","BEST_FPERIOD_OVERRIDE=FY","FILING_STATUS=MR","SCALING_FORMAT=MLN","Sort=A","Dates=H","DateFormat=P","Fill=—","Direction=H","UseDPDF=Y")</f>
        <v>#NAME?</v>
      </c>
      <c r="E81" s="1059" t="e">
        <f ca="1">BDH("BMBL US Equity","ARDR_RETAINED_EARN_ACC_DEFICIT","FY 2020","FY 2020","Currency=USD","Period=FY","BEST_FPERIOD_OVERRIDE=FY","FILING_STATUS=MR","SCALING_FORMAT=MLN","Sort=A","Dates=H","DateFormat=P","Fill=—","Direction=H","UseDPDF=Y")</f>
        <v>#NAME?</v>
      </c>
      <c r="F81" s="1059" t="e">
        <f ca="1">BDH("BMBL US Equity","ARDR_RETAINED_EARN_ACC_DEFICIT","FY 2021","FY 2021","Currency=USD","Period=FY","BEST_FPERIOD_OVERRIDE=FY","FILING_STATUS=MR","SCALING_FORMAT=MLN","Sort=A","Dates=H","DateFormat=P","Fill=—","Direction=H","UseDPDF=Y")</f>
        <v>#NAME?</v>
      </c>
      <c r="G81" s="1059" t="e">
        <f ca="1">BDH("BMBL US Equity","ARDR_RETAINED_EARN_ACC_DEFICIT","FY 2022","FY 2022","Currency=USD","Period=FY","BEST_FPERIOD_OVERRIDE=FY","FILING_STATUS=MR","SCALING_FORMAT=MLN","Sort=A","Dates=H","DateFormat=P","Fill=—","Direction=H","UseDPDF=Y")</f>
        <v>#NAME?</v>
      </c>
      <c r="H81" s="1059" t="e">
        <f ca="1">BDH("BMBL US Equity","ARDR_RETAINED_EARN_ACC_DEFICIT","FY 2023","FY 2023","Currency=USD","Period=FY","BEST_FPERIOD_OVERRIDE=FY","FILING_STATUS=MR","SCALING_FORMAT=MLN","Sort=A","Dates=H","DateFormat=P","Fill=—","Direction=H","UseDPDF=Y")</f>
        <v>#NAME?</v>
      </c>
    </row>
    <row r="82" spans="1:8">
      <c r="A82" s="1058" t="s">
        <v>85</v>
      </c>
      <c r="B82" s="1058" t="s">
        <v>139</v>
      </c>
      <c r="C82" s="1059" t="e">
        <f ca="1">BDH("BMBL US Equity","ARDR_SHARES_OUTSTANDING","FY 2018","FY 2018","Currency=USD","Period=FY","BEST_FPERIOD_OVERRIDE=FY","FILING_STATUS=MR","Sort=A","Dates=H","DateFormat=P","Fill=—","Direction=H","UseDPDF=Y")</f>
        <v>#NAME?</v>
      </c>
      <c r="D82" s="1059" t="e">
        <f ca="1">BDH("BMBL US Equity","ARDR_SHARES_OUTSTANDING","FY 2019","FY 2019","Currency=USD","Period=FY","BEST_FPERIOD_OVERRIDE=FY","FILING_STATUS=MR","Sort=A","Dates=H","DateFormat=P","Fill=—","Direction=H","UseDPDF=Y")</f>
        <v>#NAME?</v>
      </c>
      <c r="E82" s="1059" t="e">
        <f ca="1">BDH("BMBL US Equity","ARDR_SHARES_OUTSTANDING","FY 2020","FY 2020","Currency=USD","Period=FY","BEST_FPERIOD_OVERRIDE=FY","FILING_STATUS=MR","Sort=A","Dates=H","DateFormat=P","Fill=—","Direction=H","UseDPDF=Y")</f>
        <v>#NAME?</v>
      </c>
      <c r="F82" s="1059" t="e">
        <f ca="1">BDH("BMBL US Equity","ARDR_SHARES_OUTSTANDING","FY 2021","FY 2021","Currency=USD","Period=FY","BEST_FPERIOD_OVERRIDE=FY","FILING_STATUS=MR","Sort=A","Dates=H","DateFormat=P","Fill=—","Direction=H","UseDPDF=Y")</f>
        <v>#NAME?</v>
      </c>
      <c r="G82" s="1059" t="e">
        <f ca="1">BDH("BMBL US Equity","ARDR_SHARES_OUTSTANDING","FY 2022","FY 2022","Currency=USD","Period=FY","BEST_FPERIOD_OVERRIDE=FY","FILING_STATUS=MR","Sort=A","Dates=H","DateFormat=P","Fill=—","Direction=H","UseDPDF=Y")</f>
        <v>#NAME?</v>
      </c>
      <c r="H82" s="1059" t="e">
        <f ca="1">BDH("BMBL US Equity","ARDR_SHARES_OUTSTANDING","FY 2023","FY 2023","Currency=USD","Period=FY","BEST_FPERIOD_OVERRIDE=FY","FILING_STATUS=MR","Sort=A","Dates=H","DateFormat=P","Fill=—","Direction=H","UseDPDF=Y")</f>
        <v>#NAME?</v>
      </c>
    </row>
    <row r="83" spans="1:8">
      <c r="A83" s="1058" t="s">
        <v>87</v>
      </c>
      <c r="B83" s="1058" t="s">
        <v>140</v>
      </c>
      <c r="C83" s="1057" t="e">
        <f ca="1">BDH("BMBL US Equity","ARDR_PAR_VALUE","FY 2018","FY 2018","Currency=USD","Period=FY","BEST_FPERIOD_OVERRIDE=FY","FILING_STATUS=MR","Sort=A","Dates=H","DateFormat=P","Fill=—","Direction=H","UseDPDF=Y")</f>
        <v>#NAME?</v>
      </c>
      <c r="D83" s="1057" t="e">
        <f ca="1">BDH("BMBL US Equity","ARDR_PAR_VALUE","FY 2019","FY 2019","Currency=USD","Period=FY","BEST_FPERIOD_OVERRIDE=FY","FILING_STATUS=MR","Sort=A","Dates=H","DateFormat=P","Fill=—","Direction=H","UseDPDF=Y")</f>
        <v>#NAME?</v>
      </c>
      <c r="E83" s="1057" t="e">
        <f ca="1">BDH("BMBL US Equity","ARDR_PAR_VALUE","FY 2020","FY 2020","Currency=USD","Period=FY","BEST_FPERIOD_OVERRIDE=FY","FILING_STATUS=MR","Sort=A","Dates=H","DateFormat=P","Fill=—","Direction=H","UseDPDF=Y")</f>
        <v>#NAME?</v>
      </c>
      <c r="F83" s="1057" t="e">
        <f ca="1">BDH("BMBL US Equity","ARDR_PAR_VALUE","FY 2021","FY 2021","Currency=USD","Period=FY","BEST_FPERIOD_OVERRIDE=FY","FILING_STATUS=MR","Sort=A","Dates=H","DateFormat=P","Fill=—","Direction=H","UseDPDF=Y")</f>
        <v>#NAME?</v>
      </c>
      <c r="G83" s="1057" t="e">
        <f ca="1">BDH("BMBL US Equity","ARDR_PAR_VALUE","FY 2022","FY 2022","Currency=USD","Period=FY","BEST_FPERIOD_OVERRIDE=FY","FILING_STATUS=MR","Sort=A","Dates=H","DateFormat=P","Fill=—","Direction=H","UseDPDF=Y")</f>
        <v>#NAME?</v>
      </c>
      <c r="H83" s="1057" t="e">
        <f ca="1">BDH("BMBL US Equity","ARDR_PAR_VALUE","FY 2023","FY 2023","Currency=USD","Period=FY","BEST_FPERIOD_OVERRIDE=FY","FILING_STATUS=MR","Sort=A","Dates=H","DateFormat=P","Fill=—","Direction=H","UseDPDF=Y")</f>
        <v>#NAME?</v>
      </c>
    </row>
    <row r="84" spans="1:8">
      <c r="A84" s="1058" t="s">
        <v>89</v>
      </c>
      <c r="B84" s="1058" t="s">
        <v>141</v>
      </c>
      <c r="C84" s="1059" t="e">
        <f ca="1">BDH("BMBL US Equity","ARDR_TREASURY_SHARES_NUM","FY 2018","FY 2018","Currency=USD","Period=FY","BEST_FPERIOD_OVERRIDE=FY","FILING_STATUS=MR","Sort=A","Dates=H","DateFormat=P","Fill=—","Direction=H","UseDPDF=Y")</f>
        <v>#NAME?</v>
      </c>
      <c r="D84" s="1059" t="e">
        <f ca="1">BDH("BMBL US Equity","ARDR_TREASURY_SHARES_NUM","FY 2019","FY 2019","Currency=USD","Period=FY","BEST_FPERIOD_OVERRIDE=FY","FILING_STATUS=MR","Sort=A","Dates=H","DateFormat=P","Fill=—","Direction=H","UseDPDF=Y")</f>
        <v>#NAME?</v>
      </c>
      <c r="E84" s="1059" t="e">
        <f ca="1">BDH("BMBL US Equity","ARDR_TREASURY_SHARES_NUM","FY 2020","FY 2020","Currency=USD","Period=FY","BEST_FPERIOD_OVERRIDE=FY","FILING_STATUS=MR","Sort=A","Dates=H","DateFormat=P","Fill=—","Direction=H","UseDPDF=Y")</f>
        <v>#NAME?</v>
      </c>
      <c r="F84" s="1059" t="e">
        <f ca="1">BDH("BMBL US Equity","ARDR_TREASURY_SHARES_NUM","FY 2021","FY 2021","Currency=USD","Period=FY","BEST_FPERIOD_OVERRIDE=FY","FILING_STATUS=MR","Sort=A","Dates=H","DateFormat=P","Fill=—","Direction=H","UseDPDF=Y")</f>
        <v>#NAME?</v>
      </c>
      <c r="G84" s="1059" t="e">
        <f ca="1">BDH("BMBL US Equity","ARDR_TREASURY_SHARES_NUM","FY 2022","FY 2022","Currency=USD","Period=FY","BEST_FPERIOD_OVERRIDE=FY","FILING_STATUS=MR","Sort=A","Dates=H","DateFormat=P","Fill=—","Direction=H","UseDPDF=Y")</f>
        <v>#NAME?</v>
      </c>
      <c r="H84" s="1059" t="e">
        <f ca="1">BDH("BMBL US Equity","ARDR_TREASURY_SHARES_NUM","FY 2023","FY 2023","Currency=USD","Period=FY","BEST_FPERIOD_OVERRIDE=FY","FILING_STATUS=MR","Sort=A","Dates=H","DateFormat=P","Fill=—","Direction=H","UseDPDF=Y")</f>
        <v>#NAME?</v>
      </c>
    </row>
    <row r="85" spans="1:8">
      <c r="A85" s="1058" t="s">
        <v>91</v>
      </c>
      <c r="B85" s="1058" t="s">
        <v>142</v>
      </c>
      <c r="C85" s="1059" t="e">
        <f ca="1">BDH("BMBL US Equity","ARDR_SHARES_ISSUED","FY 2018","FY 2018","Currency=USD","Period=FY","BEST_FPERIOD_OVERRIDE=FY","FILING_STATUS=MR","Sort=A","Dates=H","DateFormat=P","Fill=—","Direction=H","UseDPDF=Y")</f>
        <v>#NAME?</v>
      </c>
      <c r="D85" s="1059" t="e">
        <f ca="1">BDH("BMBL US Equity","ARDR_SHARES_ISSUED","FY 2019","FY 2019","Currency=USD","Period=FY","BEST_FPERIOD_OVERRIDE=FY","FILING_STATUS=MR","Sort=A","Dates=H","DateFormat=P","Fill=—","Direction=H","UseDPDF=Y")</f>
        <v>#NAME?</v>
      </c>
      <c r="E85" s="1059" t="e">
        <f ca="1">BDH("BMBL US Equity","ARDR_SHARES_ISSUED","FY 2020","FY 2020","Currency=USD","Period=FY","BEST_FPERIOD_OVERRIDE=FY","FILING_STATUS=MR","Sort=A","Dates=H","DateFormat=P","Fill=—","Direction=H","UseDPDF=Y")</f>
        <v>#NAME?</v>
      </c>
      <c r="F85" s="1059" t="e">
        <f ca="1">BDH("BMBL US Equity","ARDR_SHARES_ISSUED","FY 2021","FY 2021","Currency=USD","Period=FY","BEST_FPERIOD_OVERRIDE=FY","FILING_STATUS=MR","Sort=A","Dates=H","DateFormat=P","Fill=—","Direction=H","UseDPDF=Y")</f>
        <v>#NAME?</v>
      </c>
      <c r="G85" s="1059" t="e">
        <f ca="1">BDH("BMBL US Equity","ARDR_SHARES_ISSUED","FY 2022","FY 2022","Currency=USD","Period=FY","BEST_FPERIOD_OVERRIDE=FY","FILING_STATUS=MR","Sort=A","Dates=H","DateFormat=P","Fill=—","Direction=H","UseDPDF=Y")</f>
        <v>#NAME?</v>
      </c>
      <c r="H85" s="1059" t="e">
        <f ca="1">BDH("BMBL US Equity","ARDR_SHARES_ISSUED","FY 2023","FY 2023","Currency=USD","Period=FY","BEST_FPERIOD_OVERRIDE=FY","FILING_STATUS=MR","Sort=A","Dates=H","DateFormat=P","Fill=—","Direction=H","UseDPDF=Y")</f>
        <v>#NAME?</v>
      </c>
    </row>
    <row r="86" spans="1:8">
      <c r="A86" s="1058" t="s">
        <v>143</v>
      </c>
      <c r="B86" s="1058" t="s">
        <v>144</v>
      </c>
      <c r="C86" s="1059" t="e">
        <f ca="1">BDH("BMBL US Equity","ARDR_FUT_MIN_OPER_LEASE_OBLIG","FY 2018","FY 2018","Currency=USD","Period=FY","BEST_FPERIOD_OVERRIDE=FY","FILING_STATUS=MR","SCALING_FORMAT=MLN","Sort=A","Dates=H","DateFormat=P","Fill=—","Direction=H","UseDPDF=Y")</f>
        <v>#NAME?</v>
      </c>
      <c r="D86" s="1059" t="e">
        <f ca="1">BDH("BMBL US Equity","ARDR_FUT_MIN_OPER_LEASE_OBLIG","FY 2019","FY 2019","Currency=USD","Period=FY","BEST_FPERIOD_OVERRIDE=FY","FILING_STATUS=MR","SCALING_FORMAT=MLN","Sort=A","Dates=H","DateFormat=P","Fill=—","Direction=H","UseDPDF=Y")</f>
        <v>#NAME?</v>
      </c>
      <c r="E86" s="1059" t="e">
        <f ca="1">BDH("BMBL US Equity","ARDR_FUT_MIN_OPER_LEASE_OBLIG","FY 2020","FY 2020","Currency=USD","Period=FY","BEST_FPERIOD_OVERRIDE=FY","FILING_STATUS=MR","SCALING_FORMAT=MLN","Sort=A","Dates=H","DateFormat=P","Fill=—","Direction=H","UseDPDF=Y")</f>
        <v>#NAME?</v>
      </c>
      <c r="F86" s="1059" t="e">
        <f ca="1">BDH("BMBL US Equity","ARDR_FUT_MIN_OPER_LEASE_OBLIG","FY 2021","FY 2021","Currency=USD","Period=FY","BEST_FPERIOD_OVERRIDE=FY","FILING_STATUS=MR","SCALING_FORMAT=MLN","Sort=A","Dates=H","DateFormat=P","Fill=—","Direction=H","UseDPDF=Y")</f>
        <v>#NAME?</v>
      </c>
      <c r="G86" s="1059" t="e">
        <f ca="1">BDH("BMBL US Equity","ARDR_FUT_MIN_OPER_LEASE_OBLIG","FY 2022","FY 2022","Currency=USD","Period=FY","BEST_FPERIOD_OVERRIDE=FY","FILING_STATUS=MR","SCALING_FORMAT=MLN","Sort=A","Dates=H","DateFormat=P","Fill=—","Direction=H","UseDPDF=Y")</f>
        <v>#NAME?</v>
      </c>
      <c r="H86" s="1059" t="e">
        <f ca="1">BDH("BMBL US Equity","ARDR_FUT_MIN_OPER_LEASE_OBLIG","FY 2023","FY 2023","Currency=USD","Period=FY","BEST_FPERIOD_OVERRIDE=FY","FILING_STATUS=MR","SCALING_FORMAT=MLN","Sort=A","Dates=H","DateFormat=P","Fill=—","Direction=H","UseDPDF=Y")</f>
        <v>#NAME?</v>
      </c>
    </row>
    <row r="87" spans="1:8">
      <c r="A87" s="1058" t="s">
        <v>145</v>
      </c>
      <c r="B87" s="1058" t="s">
        <v>146</v>
      </c>
      <c r="C87" s="1059" t="e">
        <f ca="1">BDH("BMBL US Equity","ARDR_RENTAL_EXP_YR1","FY 2018","FY 2018","Currency=USD","Period=FY","BEST_FPERIOD_OVERRIDE=FY","FILING_STATUS=MR","SCALING_FORMAT=MLN","Sort=A","Dates=H","DateFormat=P","Fill=—","Direction=H","UseDPDF=Y")</f>
        <v>#NAME?</v>
      </c>
      <c r="D87" s="1059" t="e">
        <f ca="1">BDH("BMBL US Equity","ARDR_RENTAL_EXP_YR1","FY 2019","FY 2019","Currency=USD","Period=FY","BEST_FPERIOD_OVERRIDE=FY","FILING_STATUS=MR","SCALING_FORMAT=MLN","Sort=A","Dates=H","DateFormat=P","Fill=—","Direction=H","UseDPDF=Y")</f>
        <v>#NAME?</v>
      </c>
      <c r="E87" s="1059" t="e">
        <f ca="1">BDH("BMBL US Equity","ARDR_RENTAL_EXP_YR1","FY 2020","FY 2020","Currency=USD","Period=FY","BEST_FPERIOD_OVERRIDE=FY","FILING_STATUS=MR","SCALING_FORMAT=MLN","Sort=A","Dates=H","DateFormat=P","Fill=—","Direction=H","UseDPDF=Y")</f>
        <v>#NAME?</v>
      </c>
      <c r="F87" s="1059" t="e">
        <f ca="1">BDH("BMBL US Equity","ARDR_RENTAL_EXP_YR1","FY 2021","FY 2021","Currency=USD","Period=FY","BEST_FPERIOD_OVERRIDE=FY","FILING_STATUS=MR","SCALING_FORMAT=MLN","Sort=A","Dates=H","DateFormat=P","Fill=—","Direction=H","UseDPDF=Y")</f>
        <v>#NAME?</v>
      </c>
      <c r="G87" s="1059" t="e">
        <f ca="1">BDH("BMBL US Equity","ARDR_RENTAL_EXP_YR1","FY 2022","FY 2022","Currency=USD","Period=FY","BEST_FPERIOD_OVERRIDE=FY","FILING_STATUS=MR","SCALING_FORMAT=MLN","Sort=A","Dates=H","DateFormat=P","Fill=—","Direction=H","UseDPDF=Y")</f>
        <v>#NAME?</v>
      </c>
      <c r="H87" s="1059" t="e">
        <f ca="1">BDH("BMBL US Equity","ARDR_RENTAL_EXP_YR1","FY 2023","FY 2023","Currency=USD","Period=FY","BEST_FPERIOD_OVERRIDE=FY","FILING_STATUS=MR","SCALING_FORMAT=MLN","Sort=A","Dates=H","DateFormat=P","Fill=—","Direction=H","UseDPDF=Y")</f>
        <v>#NAME?</v>
      </c>
    </row>
    <row r="88" spans="1:8">
      <c r="A88" s="1058" t="s">
        <v>147</v>
      </c>
      <c r="B88" s="1058" t="s">
        <v>148</v>
      </c>
      <c r="C88" s="1059" t="e">
        <f ca="1">BDH("BMBL US Equity","ARDR_RENTAL_EXP_YR2","FY 2018","FY 2018","Currency=USD","Period=FY","BEST_FPERIOD_OVERRIDE=FY","FILING_STATUS=MR","SCALING_FORMAT=MLN","Sort=A","Dates=H","DateFormat=P","Fill=—","Direction=H","UseDPDF=Y")</f>
        <v>#NAME?</v>
      </c>
      <c r="D88" s="1059" t="e">
        <f ca="1">BDH("BMBL US Equity","ARDR_RENTAL_EXP_YR2","FY 2019","FY 2019","Currency=USD","Period=FY","BEST_FPERIOD_OVERRIDE=FY","FILING_STATUS=MR","SCALING_FORMAT=MLN","Sort=A","Dates=H","DateFormat=P","Fill=—","Direction=H","UseDPDF=Y")</f>
        <v>#NAME?</v>
      </c>
      <c r="E88" s="1059" t="e">
        <f ca="1">BDH("BMBL US Equity","ARDR_RENTAL_EXP_YR2","FY 2020","FY 2020","Currency=USD","Period=FY","BEST_FPERIOD_OVERRIDE=FY","FILING_STATUS=MR","SCALING_FORMAT=MLN","Sort=A","Dates=H","DateFormat=P","Fill=—","Direction=H","UseDPDF=Y")</f>
        <v>#NAME?</v>
      </c>
      <c r="F88" s="1059" t="e">
        <f ca="1">BDH("BMBL US Equity","ARDR_RENTAL_EXP_YR2","FY 2021","FY 2021","Currency=USD","Period=FY","BEST_FPERIOD_OVERRIDE=FY","FILING_STATUS=MR","SCALING_FORMAT=MLN","Sort=A","Dates=H","DateFormat=P","Fill=—","Direction=H","UseDPDF=Y")</f>
        <v>#NAME?</v>
      </c>
      <c r="G88" s="1059" t="e">
        <f ca="1">BDH("BMBL US Equity","ARDR_RENTAL_EXP_YR2","FY 2022","FY 2022","Currency=USD","Period=FY","BEST_FPERIOD_OVERRIDE=FY","FILING_STATUS=MR","SCALING_FORMAT=MLN","Sort=A","Dates=H","DateFormat=P","Fill=—","Direction=H","UseDPDF=Y")</f>
        <v>#NAME?</v>
      </c>
      <c r="H88" s="1059" t="e">
        <f ca="1">BDH("BMBL US Equity","ARDR_RENTAL_EXP_YR2","FY 2023","FY 2023","Currency=USD","Period=FY","BEST_FPERIOD_OVERRIDE=FY","FILING_STATUS=MR","SCALING_FORMAT=MLN","Sort=A","Dates=H","DateFormat=P","Fill=—","Direction=H","UseDPDF=Y")</f>
        <v>#NAME?</v>
      </c>
    </row>
    <row r="89" spans="1:8">
      <c r="A89" s="1058" t="s">
        <v>149</v>
      </c>
      <c r="B89" s="1058" t="s">
        <v>150</v>
      </c>
      <c r="C89" s="1059" t="e">
        <f ca="1">BDH("BMBL US Equity","ARDR_RENTAL_EXP_YR3","FY 2018","FY 2018","Currency=USD","Period=FY","BEST_FPERIOD_OVERRIDE=FY","FILING_STATUS=MR","SCALING_FORMAT=MLN","Sort=A","Dates=H","DateFormat=P","Fill=—","Direction=H","UseDPDF=Y")</f>
        <v>#NAME?</v>
      </c>
      <c r="D89" s="1059" t="e">
        <f ca="1">BDH("BMBL US Equity","ARDR_RENTAL_EXP_YR3","FY 2019","FY 2019","Currency=USD","Period=FY","BEST_FPERIOD_OVERRIDE=FY","FILING_STATUS=MR","SCALING_FORMAT=MLN","Sort=A","Dates=H","DateFormat=P","Fill=—","Direction=H","UseDPDF=Y")</f>
        <v>#NAME?</v>
      </c>
      <c r="E89" s="1059" t="e">
        <f ca="1">BDH("BMBL US Equity","ARDR_RENTAL_EXP_YR3","FY 2020","FY 2020","Currency=USD","Period=FY","BEST_FPERIOD_OVERRIDE=FY","FILING_STATUS=MR","SCALING_FORMAT=MLN","Sort=A","Dates=H","DateFormat=P","Fill=—","Direction=H","UseDPDF=Y")</f>
        <v>#NAME?</v>
      </c>
      <c r="F89" s="1059" t="e">
        <f ca="1">BDH("BMBL US Equity","ARDR_RENTAL_EXP_YR3","FY 2021","FY 2021","Currency=USD","Period=FY","BEST_FPERIOD_OVERRIDE=FY","FILING_STATUS=MR","SCALING_FORMAT=MLN","Sort=A","Dates=H","DateFormat=P","Fill=—","Direction=H","UseDPDF=Y")</f>
        <v>#NAME?</v>
      </c>
      <c r="G89" s="1059" t="e">
        <f ca="1">BDH("BMBL US Equity","ARDR_RENTAL_EXP_YR3","FY 2022","FY 2022","Currency=USD","Period=FY","BEST_FPERIOD_OVERRIDE=FY","FILING_STATUS=MR","SCALING_FORMAT=MLN","Sort=A","Dates=H","DateFormat=P","Fill=—","Direction=H","UseDPDF=Y")</f>
        <v>#NAME?</v>
      </c>
      <c r="H89" s="1059" t="e">
        <f ca="1">BDH("BMBL US Equity","ARDR_RENTAL_EXP_YR3","FY 2023","FY 2023","Currency=USD","Period=FY","BEST_FPERIOD_OVERRIDE=FY","FILING_STATUS=MR","SCALING_FORMAT=MLN","Sort=A","Dates=H","DateFormat=P","Fill=—","Direction=H","UseDPDF=Y")</f>
        <v>#NAME?</v>
      </c>
    </row>
    <row r="90" spans="1:8">
      <c r="A90" s="1058" t="s">
        <v>151</v>
      </c>
      <c r="B90" s="1058" t="s">
        <v>152</v>
      </c>
      <c r="C90" s="1059" t="e">
        <f ca="1">BDH("BMBL US Equity","ARDR_RENTAL_EXP_YR4","FY 2018","FY 2018","Currency=USD","Period=FY","BEST_FPERIOD_OVERRIDE=FY","FILING_STATUS=MR","SCALING_FORMAT=MLN","Sort=A","Dates=H","DateFormat=P","Fill=—","Direction=H","UseDPDF=Y")</f>
        <v>#NAME?</v>
      </c>
      <c r="D90" s="1059" t="e">
        <f ca="1">BDH("BMBL US Equity","ARDR_RENTAL_EXP_YR4","FY 2019","FY 2019","Currency=USD","Period=FY","BEST_FPERIOD_OVERRIDE=FY","FILING_STATUS=MR","SCALING_FORMAT=MLN","Sort=A","Dates=H","DateFormat=P","Fill=—","Direction=H","UseDPDF=Y")</f>
        <v>#NAME?</v>
      </c>
      <c r="E90" s="1059" t="e">
        <f ca="1">BDH("BMBL US Equity","ARDR_RENTAL_EXP_YR4","FY 2020","FY 2020","Currency=USD","Period=FY","BEST_FPERIOD_OVERRIDE=FY","FILING_STATUS=MR","SCALING_FORMAT=MLN","Sort=A","Dates=H","DateFormat=P","Fill=—","Direction=H","UseDPDF=Y")</f>
        <v>#NAME?</v>
      </c>
      <c r="F90" s="1059" t="e">
        <f ca="1">BDH("BMBL US Equity","ARDR_RENTAL_EXP_YR4","FY 2021","FY 2021","Currency=USD","Period=FY","BEST_FPERIOD_OVERRIDE=FY","FILING_STATUS=MR","SCALING_FORMAT=MLN","Sort=A","Dates=H","DateFormat=P","Fill=—","Direction=H","UseDPDF=Y")</f>
        <v>#NAME?</v>
      </c>
      <c r="G90" s="1059" t="e">
        <f ca="1">BDH("BMBL US Equity","ARDR_RENTAL_EXP_YR4","FY 2022","FY 2022","Currency=USD","Period=FY","BEST_FPERIOD_OVERRIDE=FY","FILING_STATUS=MR","SCALING_FORMAT=MLN","Sort=A","Dates=H","DateFormat=P","Fill=—","Direction=H","UseDPDF=Y")</f>
        <v>#NAME?</v>
      </c>
      <c r="H90" s="1059" t="e">
        <f ca="1">BDH("BMBL US Equity","ARDR_RENTAL_EXP_YR4","FY 2023","FY 2023","Currency=USD","Period=FY","BEST_FPERIOD_OVERRIDE=FY","FILING_STATUS=MR","SCALING_FORMAT=MLN","Sort=A","Dates=H","DateFormat=P","Fill=—","Direction=H","UseDPDF=Y")</f>
        <v>#NAME?</v>
      </c>
    </row>
    <row r="91" spans="1:8">
      <c r="A91" s="1058" t="s">
        <v>153</v>
      </c>
      <c r="B91" s="1058" t="s">
        <v>154</v>
      </c>
      <c r="C91" s="1059" t="e">
        <f ca="1">BDH("BMBL US Equity","ARDR_RENTAL_EXP_YR5","FY 2018","FY 2018","Currency=USD","Period=FY","BEST_FPERIOD_OVERRIDE=FY","FILING_STATUS=MR","SCALING_FORMAT=MLN","Sort=A","Dates=H","DateFormat=P","Fill=—","Direction=H","UseDPDF=Y")</f>
        <v>#NAME?</v>
      </c>
      <c r="D91" s="1059" t="e">
        <f ca="1">BDH("BMBL US Equity","ARDR_RENTAL_EXP_YR5","FY 2019","FY 2019","Currency=USD","Period=FY","BEST_FPERIOD_OVERRIDE=FY","FILING_STATUS=MR","SCALING_FORMAT=MLN","Sort=A","Dates=H","DateFormat=P","Fill=—","Direction=H","UseDPDF=Y")</f>
        <v>#NAME?</v>
      </c>
      <c r="E91" s="1059" t="e">
        <f ca="1">BDH("BMBL US Equity","ARDR_RENTAL_EXP_YR5","FY 2020","FY 2020","Currency=USD","Period=FY","BEST_FPERIOD_OVERRIDE=FY","FILING_STATUS=MR","SCALING_FORMAT=MLN","Sort=A","Dates=H","DateFormat=P","Fill=—","Direction=H","UseDPDF=Y")</f>
        <v>#NAME?</v>
      </c>
      <c r="F91" s="1059" t="e">
        <f ca="1">BDH("BMBL US Equity","ARDR_RENTAL_EXP_YR5","FY 2021","FY 2021","Currency=USD","Period=FY","BEST_FPERIOD_OVERRIDE=FY","FILING_STATUS=MR","SCALING_FORMAT=MLN","Sort=A","Dates=H","DateFormat=P","Fill=—","Direction=H","UseDPDF=Y")</f>
        <v>#NAME?</v>
      </c>
      <c r="G91" s="1059" t="e">
        <f ca="1">BDH("BMBL US Equity","ARDR_RENTAL_EXP_YR5","FY 2022","FY 2022","Currency=USD","Period=FY","BEST_FPERIOD_OVERRIDE=FY","FILING_STATUS=MR","SCALING_FORMAT=MLN","Sort=A","Dates=H","DateFormat=P","Fill=—","Direction=H","UseDPDF=Y")</f>
        <v>#NAME?</v>
      </c>
      <c r="H91" s="1059" t="e">
        <f ca="1">BDH("BMBL US Equity","ARDR_RENTAL_EXP_YR5","FY 2023","FY 2023","Currency=USD","Period=FY","BEST_FPERIOD_OVERRIDE=FY","FILING_STATUS=MR","SCALING_FORMAT=MLN","Sort=A","Dates=H","DateFormat=P","Fill=—","Direction=H","UseDPDF=Y")</f>
        <v>#NAME?</v>
      </c>
    </row>
    <row r="92" spans="1:8">
      <c r="A92" s="1058" t="s">
        <v>155</v>
      </c>
      <c r="B92" s="1058" t="s">
        <v>156</v>
      </c>
      <c r="C92" s="1059" t="e">
        <f ca="1">BDH("BMBL US Equity","ARDR_RENTAL_EXP_BEYOND_YR5","FY 2018","FY 2018","Currency=USD","Period=FY","BEST_FPERIOD_OVERRIDE=FY","FILING_STATUS=MR","SCALING_FORMAT=MLN","Sort=A","Dates=H","DateFormat=P","Fill=—","Direction=H","UseDPDF=Y")</f>
        <v>#NAME?</v>
      </c>
      <c r="D92" s="1059" t="e">
        <f ca="1">BDH("BMBL US Equity","ARDR_RENTAL_EXP_BEYOND_YR5","FY 2019","FY 2019","Currency=USD","Period=FY","BEST_FPERIOD_OVERRIDE=FY","FILING_STATUS=MR","SCALING_FORMAT=MLN","Sort=A","Dates=H","DateFormat=P","Fill=—","Direction=H","UseDPDF=Y")</f>
        <v>#NAME?</v>
      </c>
      <c r="E92" s="1059" t="e">
        <f ca="1">BDH("BMBL US Equity","ARDR_RENTAL_EXP_BEYOND_YR5","FY 2020","FY 2020","Currency=USD","Period=FY","BEST_FPERIOD_OVERRIDE=FY","FILING_STATUS=MR","SCALING_FORMAT=MLN","Sort=A","Dates=H","DateFormat=P","Fill=—","Direction=H","UseDPDF=Y")</f>
        <v>#NAME?</v>
      </c>
      <c r="F92" s="1059" t="e">
        <f ca="1">BDH("BMBL US Equity","ARDR_RENTAL_EXP_BEYOND_YR5","FY 2021","FY 2021","Currency=USD","Period=FY","BEST_FPERIOD_OVERRIDE=FY","FILING_STATUS=MR","SCALING_FORMAT=MLN","Sort=A","Dates=H","DateFormat=P","Fill=—","Direction=H","UseDPDF=Y")</f>
        <v>#NAME?</v>
      </c>
      <c r="G92" s="1059" t="e">
        <f ca="1">BDH("BMBL US Equity","ARDR_RENTAL_EXP_BEYOND_YR5","FY 2022","FY 2022","Currency=USD","Period=FY","BEST_FPERIOD_OVERRIDE=FY","FILING_STATUS=MR","SCALING_FORMAT=MLN","Sort=A","Dates=H","DateFormat=P","Fill=—","Direction=H","UseDPDF=Y")</f>
        <v>#NAME?</v>
      </c>
      <c r="H92" s="1059" t="e">
        <f ca="1">BDH("BMBL US Equity","ARDR_RENTAL_EXP_BEYOND_YR5","FY 2023","FY 2023","Currency=USD","Period=FY","BEST_FPERIOD_OVERRIDE=FY","FILING_STATUS=MR","SCALING_FORMAT=MLN","Sort=A","Dates=H","DateFormat=P","Fill=—","Direction=H","UseDPDF=Y")</f>
        <v>#NAME?</v>
      </c>
    </row>
    <row r="93" spans="1:8">
      <c r="A93" s="1058" t="s">
        <v>93</v>
      </c>
      <c r="B93" s="1058" t="s">
        <v>157</v>
      </c>
      <c r="C93" s="1059" t="e">
        <f ca="1">BDH("BMBL US Equity","ARDR_TOTAL_SHAREHOLDERS_EQUITY","FY 2018","FY 2018","Currency=USD","Period=FY","BEST_FPERIOD_OVERRIDE=FY","FILING_STATUS=MR","SCALING_FORMAT=MLN","Sort=A","Dates=H","DateFormat=P","Fill=—","Direction=H","UseDPDF=Y")</f>
        <v>#NAME?</v>
      </c>
      <c r="D93" s="1059" t="e">
        <f ca="1">BDH("BMBL US Equity","ARDR_TOTAL_SHAREHOLDERS_EQUITY","FY 2019","FY 2019","Currency=USD","Period=FY","BEST_FPERIOD_OVERRIDE=FY","FILING_STATUS=MR","SCALING_FORMAT=MLN","Sort=A","Dates=H","DateFormat=P","Fill=—","Direction=H","UseDPDF=Y")</f>
        <v>#NAME?</v>
      </c>
      <c r="E93" s="1059" t="e">
        <f ca="1">BDH("BMBL US Equity","ARDR_TOTAL_SHAREHOLDERS_EQUITY","FY 2020","FY 2020","Currency=USD","Period=FY","BEST_FPERIOD_OVERRIDE=FY","FILING_STATUS=MR","SCALING_FORMAT=MLN","Sort=A","Dates=H","DateFormat=P","Fill=—","Direction=H","UseDPDF=Y")</f>
        <v>#NAME?</v>
      </c>
      <c r="F93" s="1059" t="e">
        <f ca="1">BDH("BMBL US Equity","ARDR_TOTAL_SHAREHOLDERS_EQUITY","FY 2021","FY 2021","Currency=USD","Period=FY","BEST_FPERIOD_OVERRIDE=FY","FILING_STATUS=MR","SCALING_FORMAT=MLN","Sort=A","Dates=H","DateFormat=P","Fill=—","Direction=H","UseDPDF=Y")</f>
        <v>#NAME?</v>
      </c>
      <c r="G93" s="1059" t="e">
        <f ca="1">BDH("BMBL US Equity","ARDR_TOTAL_SHAREHOLDERS_EQUITY","FY 2022","FY 2022","Currency=USD","Period=FY","BEST_FPERIOD_OVERRIDE=FY","FILING_STATUS=MR","SCALING_FORMAT=MLN","Sort=A","Dates=H","DateFormat=P","Fill=—","Direction=H","UseDPDF=Y")</f>
        <v>#NAME?</v>
      </c>
      <c r="H93" s="1059" t="e">
        <f ca="1">BDH("BMBL US Equity","ARDR_TOTAL_SHAREHOLDERS_EQUITY","FY 2023","FY 2023","Currency=USD","Period=FY","BEST_FPERIOD_OVERRIDE=FY","FILING_STATUS=MR","SCALING_FORMAT=MLN","Sort=A","Dates=H","DateFormat=P","Fill=—","Direction=H","UseDPDF=Y")</f>
        <v>#NAME?</v>
      </c>
    </row>
    <row r="94" spans="1:8">
      <c r="A94" s="1058" t="s">
        <v>158</v>
      </c>
      <c r="B94" s="1058" t="s">
        <v>159</v>
      </c>
      <c r="C94" s="1059" t="e">
        <f ca="1">BDH("BMBL US Equity","ARDR_CAPITALIZED_SOFTWARE_GROSS","FY 2018","FY 2018","Currency=USD","Period=FY","BEST_FPERIOD_OVERRIDE=FY","FILING_STATUS=MR","SCALING_FORMAT=MLN","Sort=A","Dates=H","DateFormat=P","Fill=—","Direction=H","UseDPDF=Y")</f>
        <v>#NAME?</v>
      </c>
      <c r="D94" s="1059" t="e">
        <f ca="1">BDH("BMBL US Equity","ARDR_CAPITALIZED_SOFTWARE_GROSS","FY 2019","FY 2019","Currency=USD","Period=FY","BEST_FPERIOD_OVERRIDE=FY","FILING_STATUS=MR","SCALING_FORMAT=MLN","Sort=A","Dates=H","DateFormat=P","Fill=—","Direction=H","UseDPDF=Y")</f>
        <v>#NAME?</v>
      </c>
      <c r="E94" s="1059" t="e">
        <f ca="1">BDH("BMBL US Equity","ARDR_CAPITALIZED_SOFTWARE_GROSS","FY 2020","FY 2020","Currency=USD","Period=FY","BEST_FPERIOD_OVERRIDE=FY","FILING_STATUS=MR","SCALING_FORMAT=MLN","Sort=A","Dates=H","DateFormat=P","Fill=—","Direction=H","UseDPDF=Y")</f>
        <v>#NAME?</v>
      </c>
      <c r="F94" s="1059" t="e">
        <f ca="1">BDH("BMBL US Equity","ARDR_CAPITALIZED_SOFTWARE_GROSS","FY 2021","FY 2021","Currency=USD","Period=FY","BEST_FPERIOD_OVERRIDE=FY","FILING_STATUS=MR","SCALING_FORMAT=MLN","Sort=A","Dates=H","DateFormat=P","Fill=—","Direction=H","UseDPDF=Y")</f>
        <v>#NAME?</v>
      </c>
      <c r="G94" s="1059" t="e">
        <f ca="1">BDH("BMBL US Equity","ARDR_CAPITALIZED_SOFTWARE_GROSS","FY 2022","FY 2022","Currency=USD","Period=FY","BEST_FPERIOD_OVERRIDE=FY","FILING_STATUS=MR","SCALING_FORMAT=MLN","Sort=A","Dates=H","DateFormat=P","Fill=—","Direction=H","UseDPDF=Y")</f>
        <v>#NAME?</v>
      </c>
      <c r="H94" s="1059" t="e">
        <f ca="1">BDH("BMBL US Equity","ARDR_CAPITALIZED_SOFTWARE_GROSS","FY 2023","FY 2023","Currency=USD","Period=FY","BEST_FPERIOD_OVERRIDE=FY","FILING_STATUS=MR","SCALING_FORMAT=MLN","Sort=A","Dates=H","DateFormat=P","Fill=—","Direction=H","UseDPDF=Y")</f>
        <v>#NAME?</v>
      </c>
    </row>
    <row r="95" spans="1:8">
      <c r="A95" s="1058" t="s">
        <v>160</v>
      </c>
      <c r="B95" s="1058" t="s">
        <v>161</v>
      </c>
      <c r="C95" s="1059" t="e">
        <f ca="1">BDH("BMBL US Equity","ARDR_DERIVATIVE_ASSET_ST","FY 2018","FY 2018","Currency=USD","Period=FY","BEST_FPERIOD_OVERRIDE=FY","FILING_STATUS=MR","SCALING_FORMAT=MLN","Sort=A","Dates=H","DateFormat=P","Fill=—","Direction=H","UseDPDF=Y")</f>
        <v>#NAME?</v>
      </c>
      <c r="D95" s="1059" t="e">
        <f ca="1">BDH("BMBL US Equity","ARDR_DERIVATIVE_ASSET_ST","FY 2019","FY 2019","Currency=USD","Period=FY","BEST_FPERIOD_OVERRIDE=FY","FILING_STATUS=MR","SCALING_FORMAT=MLN","Sort=A","Dates=H","DateFormat=P","Fill=—","Direction=H","UseDPDF=Y")</f>
        <v>#NAME?</v>
      </c>
      <c r="E95" s="1059" t="e">
        <f ca="1">BDH("BMBL US Equity","ARDR_DERIVATIVE_ASSET_ST","FY 2020","FY 2020","Currency=USD","Period=FY","BEST_FPERIOD_OVERRIDE=FY","FILING_STATUS=MR","SCALING_FORMAT=MLN","Sort=A","Dates=H","DateFormat=P","Fill=—","Direction=H","UseDPDF=Y")</f>
        <v>#NAME?</v>
      </c>
      <c r="F95" s="1059" t="e">
        <f ca="1">BDH("BMBL US Equity","ARDR_DERIVATIVE_ASSET_ST","FY 2021","FY 2021","Currency=USD","Period=FY","BEST_FPERIOD_OVERRIDE=FY","FILING_STATUS=MR","SCALING_FORMAT=MLN","Sort=A","Dates=H","DateFormat=P","Fill=—","Direction=H","UseDPDF=Y")</f>
        <v>#NAME?</v>
      </c>
      <c r="G95" s="1059" t="e">
        <f ca="1">BDH("BMBL US Equity","ARDR_DERIVATIVE_ASSET_ST","FY 2022","FY 2022","Currency=USD","Period=FY","BEST_FPERIOD_OVERRIDE=FY","FILING_STATUS=MR","SCALING_FORMAT=MLN","Sort=A","Dates=H","DateFormat=P","Fill=—","Direction=H","UseDPDF=Y")</f>
        <v>#NAME?</v>
      </c>
      <c r="H95" s="1059" t="e">
        <f ca="1">BDH("BMBL US Equity","ARDR_DERIVATIVE_ASSET_ST","FY 2023","FY 2023","Currency=USD","Period=FY","BEST_FPERIOD_OVERRIDE=FY","FILING_STATUS=MR","SCALING_FORMAT=MLN","Sort=A","Dates=H","DateFormat=P","Fill=—","Direction=H","UseDPDF=Y")</f>
        <v>#NAME?</v>
      </c>
    </row>
    <row r="96" spans="1:8">
      <c r="A96" s="1058" t="s">
        <v>162</v>
      </c>
      <c r="B96" s="1058" t="s">
        <v>163</v>
      </c>
      <c r="C96" s="1059" t="e">
        <f ca="1">BDH("BMBL US Equity","ARDR_INCOME_TAX_RECEIVABLE","FY 2018","FY 2018","Currency=USD","Period=FY","BEST_FPERIOD_OVERRIDE=FY","FILING_STATUS=MR","SCALING_FORMAT=MLN","Sort=A","Dates=H","DateFormat=P","Fill=—","Direction=H","UseDPDF=Y")</f>
        <v>#NAME?</v>
      </c>
      <c r="D96" s="1059" t="e">
        <f ca="1">BDH("BMBL US Equity","ARDR_INCOME_TAX_RECEIVABLE","FY 2019","FY 2019","Currency=USD","Period=FY","BEST_FPERIOD_OVERRIDE=FY","FILING_STATUS=MR","SCALING_FORMAT=MLN","Sort=A","Dates=H","DateFormat=P","Fill=—","Direction=H","UseDPDF=Y")</f>
        <v>#NAME?</v>
      </c>
      <c r="E96" s="1059" t="e">
        <f ca="1">BDH("BMBL US Equity","ARDR_INCOME_TAX_RECEIVABLE","FY 2020","FY 2020","Currency=USD","Period=FY","BEST_FPERIOD_OVERRIDE=FY","FILING_STATUS=MR","SCALING_FORMAT=MLN","Sort=A","Dates=H","DateFormat=P","Fill=—","Direction=H","UseDPDF=Y")</f>
        <v>#NAME?</v>
      </c>
      <c r="F96" s="1059" t="e">
        <f ca="1">BDH("BMBL US Equity","ARDR_INCOME_TAX_RECEIVABLE","FY 2021","FY 2021","Currency=USD","Period=FY","BEST_FPERIOD_OVERRIDE=FY","FILING_STATUS=MR","SCALING_FORMAT=MLN","Sort=A","Dates=H","DateFormat=P","Fill=—","Direction=H","UseDPDF=Y")</f>
        <v>#NAME?</v>
      </c>
      <c r="G96" s="1059" t="e">
        <f ca="1">BDH("BMBL US Equity","ARDR_INCOME_TAX_RECEIVABLE","FY 2022","FY 2022","Currency=USD","Period=FY","BEST_FPERIOD_OVERRIDE=FY","FILING_STATUS=MR","SCALING_FORMAT=MLN","Sort=A","Dates=H","DateFormat=P","Fill=—","Direction=H","UseDPDF=Y")</f>
        <v>#NAME?</v>
      </c>
      <c r="H96" s="1059" t="e">
        <f ca="1">BDH("BMBL US Equity","ARDR_INCOME_TAX_RECEIVABLE","FY 2023","FY 2023","Currency=USD","Period=FY","BEST_FPERIOD_OVERRIDE=FY","FILING_STATUS=MR","SCALING_FORMAT=MLN","Sort=A","Dates=H","DateFormat=P","Fill=—","Direction=H","UseDPDF=Y")</f>
        <v>#NAME?</v>
      </c>
    </row>
    <row r="97" spans="1:8">
      <c r="A97" s="1058" t="s">
        <v>164</v>
      </c>
      <c r="B97" s="1058" t="s">
        <v>165</v>
      </c>
      <c r="C97" s="1059" t="e">
        <f ca="1">BDH("BMBL US Equity","ARDR_SHARE_OUT_FROM_FRONT_COVER","FY 2018","FY 2018","Currency=USD","Period=FY","BEST_FPERIOD_OVERRIDE=FY","FILING_STATUS=MR","Sort=A","Dates=H","DateFormat=P","Fill=—","Direction=H","UseDPDF=Y")</f>
        <v>#NAME?</v>
      </c>
      <c r="D97" s="1059" t="e">
        <f ca="1">BDH("BMBL US Equity","ARDR_SHARE_OUT_FROM_FRONT_COVER","FY 2019","FY 2019","Currency=USD","Period=FY","BEST_FPERIOD_OVERRIDE=FY","FILING_STATUS=MR","Sort=A","Dates=H","DateFormat=P","Fill=—","Direction=H","UseDPDF=Y")</f>
        <v>#NAME?</v>
      </c>
      <c r="E97" s="1059" t="e">
        <f ca="1">BDH("BMBL US Equity","ARDR_SHARE_OUT_FROM_FRONT_COVER","FY 2020","FY 2020","Currency=USD","Period=FY","BEST_FPERIOD_OVERRIDE=FY","FILING_STATUS=MR","Sort=A","Dates=H","DateFormat=P","Fill=—","Direction=H","UseDPDF=Y")</f>
        <v>#NAME?</v>
      </c>
      <c r="F97" s="1059" t="e">
        <f ca="1">BDH("BMBL US Equity","ARDR_SHARE_OUT_FROM_FRONT_COVER","FY 2021","FY 2021","Currency=USD","Period=FY","BEST_FPERIOD_OVERRIDE=FY","FILING_STATUS=MR","Sort=A","Dates=H","DateFormat=P","Fill=—","Direction=H","UseDPDF=Y")</f>
        <v>#NAME?</v>
      </c>
      <c r="G97" s="1059" t="e">
        <f ca="1">BDH("BMBL US Equity","ARDR_SHARE_OUT_FROM_FRONT_COVER","FY 2022","FY 2022","Currency=USD","Period=FY","BEST_FPERIOD_OVERRIDE=FY","FILING_STATUS=MR","Sort=A","Dates=H","DateFormat=P","Fill=—","Direction=H","UseDPDF=Y")</f>
        <v>#NAME?</v>
      </c>
      <c r="H97" s="1059" t="e">
        <f ca="1">BDH("BMBL US Equity","ARDR_SHARE_OUT_FROM_FRONT_COVER","FY 2023","FY 2023","Currency=USD","Period=FY","BEST_FPERIOD_OVERRIDE=FY","FILING_STATUS=MR","Sort=A","Dates=H","DateFormat=P","Fill=—","Direction=H","UseDPDF=Y")</f>
        <v>#NAME?</v>
      </c>
    </row>
    <row r="98" spans="1:8">
      <c r="A98" s="1058" t="s">
        <v>166</v>
      </c>
      <c r="B98" s="1058" t="s">
        <v>167</v>
      </c>
      <c r="C98" s="1059" t="e">
        <f ca="1">BDH("BMBL US Equity","ARDR_ACCUM_AMORT_GOODWILL","FY 2018","FY 2018","Currency=USD","Period=FY","BEST_FPERIOD_OVERRIDE=FY","FILING_STATUS=MR","SCALING_FORMAT=MLN","Sort=A","Dates=H","DateFormat=P","Fill=—","Direction=H","UseDPDF=Y")</f>
        <v>#NAME?</v>
      </c>
      <c r="D98" s="1059" t="e">
        <f ca="1">BDH("BMBL US Equity","ARDR_ACCUM_AMORT_GOODWILL","FY 2019","FY 2019","Currency=USD","Period=FY","BEST_FPERIOD_OVERRIDE=FY","FILING_STATUS=MR","SCALING_FORMAT=MLN","Sort=A","Dates=H","DateFormat=P","Fill=—","Direction=H","UseDPDF=Y")</f>
        <v>#NAME?</v>
      </c>
      <c r="E98" s="1059" t="e">
        <f ca="1">BDH("BMBL US Equity","ARDR_ACCUM_AMORT_GOODWILL","FY 2020","FY 2020","Currency=USD","Period=FY","BEST_FPERIOD_OVERRIDE=FY","FILING_STATUS=MR","SCALING_FORMAT=MLN","Sort=A","Dates=H","DateFormat=P","Fill=—","Direction=H","UseDPDF=Y")</f>
        <v>#NAME?</v>
      </c>
      <c r="F98" s="1059" t="e">
        <f ca="1">BDH("BMBL US Equity","ARDR_ACCUM_AMORT_GOODWILL","FY 2021","FY 2021","Currency=USD","Period=FY","BEST_FPERIOD_OVERRIDE=FY","FILING_STATUS=MR","SCALING_FORMAT=MLN","Sort=A","Dates=H","DateFormat=P","Fill=—","Direction=H","UseDPDF=Y")</f>
        <v>#NAME?</v>
      </c>
      <c r="G98" s="1059" t="e">
        <f ca="1">BDH("BMBL US Equity","ARDR_ACCUM_AMORT_GOODWILL","FY 2022","FY 2022","Currency=USD","Period=FY","BEST_FPERIOD_OVERRIDE=FY","FILING_STATUS=MR","SCALING_FORMAT=MLN","Sort=A","Dates=H","DateFormat=P","Fill=—","Direction=H","UseDPDF=Y")</f>
        <v>#NAME?</v>
      </c>
      <c r="H98" s="1059" t="e">
        <f ca="1">BDH("BMBL US Equity","ARDR_ACCUM_AMORT_GOODWILL","FY 2023","FY 2023","Currency=USD","Period=FY","BEST_FPERIOD_OVERRIDE=FY","FILING_STATUS=MR","SCALING_FORMAT=MLN","Sort=A","Dates=H","DateFormat=P","Fill=—","Direction=H","UseDPDF=Y")</f>
        <v>#NAME?</v>
      </c>
    </row>
    <row r="99" spans="1:8">
      <c r="A99" s="1058" t="s">
        <v>168</v>
      </c>
      <c r="B99" s="1058" t="s">
        <v>169</v>
      </c>
      <c r="C99" s="1059" t="e">
        <f ca="1">BDH("BMBL US Equity","ARDR_ACCCUM_AMORT_INTANG_ASSET","FY 2018","FY 2018","Currency=USD","Period=FY","BEST_FPERIOD_OVERRIDE=FY","FILING_STATUS=MR","SCALING_FORMAT=MLN","Sort=A","Dates=H","DateFormat=P","Fill=—","Direction=H","UseDPDF=Y")</f>
        <v>#NAME?</v>
      </c>
      <c r="D99" s="1059" t="e">
        <f ca="1">BDH("BMBL US Equity","ARDR_ACCCUM_AMORT_INTANG_ASSET","FY 2019","FY 2019","Currency=USD","Period=FY","BEST_FPERIOD_OVERRIDE=FY","FILING_STATUS=MR","SCALING_FORMAT=MLN","Sort=A","Dates=H","DateFormat=P","Fill=—","Direction=H","UseDPDF=Y")</f>
        <v>#NAME?</v>
      </c>
      <c r="E99" s="1059" t="e">
        <f ca="1">BDH("BMBL US Equity","ARDR_ACCCUM_AMORT_INTANG_ASSET","FY 2020","FY 2020","Currency=USD","Period=FY","BEST_FPERIOD_OVERRIDE=FY","FILING_STATUS=MR","SCALING_FORMAT=MLN","Sort=A","Dates=H","DateFormat=P","Fill=—","Direction=H","UseDPDF=Y")</f>
        <v>#NAME?</v>
      </c>
      <c r="F99" s="1059" t="e">
        <f ca="1">BDH("BMBL US Equity","ARDR_ACCCUM_AMORT_INTANG_ASSET","FY 2021","FY 2021","Currency=USD","Period=FY","BEST_FPERIOD_OVERRIDE=FY","FILING_STATUS=MR","SCALING_FORMAT=MLN","Sort=A","Dates=H","DateFormat=P","Fill=—","Direction=H","UseDPDF=Y")</f>
        <v>#NAME?</v>
      </c>
      <c r="G99" s="1059" t="e">
        <f ca="1">BDH("BMBL US Equity","ARDR_ACCCUM_AMORT_INTANG_ASSET","FY 2022","FY 2022","Currency=USD","Period=FY","BEST_FPERIOD_OVERRIDE=FY","FILING_STATUS=MR","SCALING_FORMAT=MLN","Sort=A","Dates=H","DateFormat=P","Fill=—","Direction=H","UseDPDF=Y")</f>
        <v>#NAME?</v>
      </c>
      <c r="H99" s="1059" t="e">
        <f ca="1">BDH("BMBL US Equity","ARDR_ACCCUM_AMORT_INTANG_ASSET","FY 2023","FY 2023","Currency=USD","Period=FY","BEST_FPERIOD_OVERRIDE=FY","FILING_STATUS=MR","SCALING_FORMAT=MLN","Sort=A","Dates=H","DateFormat=P","Fill=—","Direction=H","UseDPDF=Y")</f>
        <v>#NAME?</v>
      </c>
    </row>
    <row r="100" spans="1:8">
      <c r="A100" s="1058" t="s">
        <v>170</v>
      </c>
      <c r="B100" s="1058" t="s">
        <v>171</v>
      </c>
      <c r="C100" s="1059" t="e">
        <f ca="1">BDH("BMBL US Equity","ARDR_OPTIONS_GRANTED_DURING_PER","FY 2018","FY 2018","Currency=USD","Period=FY","BEST_FPERIOD_OVERRIDE=FY","FILING_STATUS=MR","SCALING_FORMAT=MLN","Sort=A","Dates=H","DateFormat=P","Fill=—","Direction=H","UseDPDF=Y")</f>
        <v>#NAME?</v>
      </c>
      <c r="D100" s="1059" t="e">
        <f ca="1">BDH("BMBL US Equity","ARDR_OPTIONS_GRANTED_DURING_PER","FY 2019","FY 2019","Currency=USD","Period=FY","BEST_FPERIOD_OVERRIDE=FY","FILING_STATUS=MR","SCALING_FORMAT=MLN","Sort=A","Dates=H","DateFormat=P","Fill=—","Direction=H","UseDPDF=Y")</f>
        <v>#NAME?</v>
      </c>
      <c r="E100" s="1059" t="e">
        <f ca="1">BDH("BMBL US Equity","ARDR_OPTIONS_GRANTED_DURING_PER","FY 2020","FY 2020","Currency=USD","Period=FY","BEST_FPERIOD_OVERRIDE=FY","FILING_STATUS=MR","SCALING_FORMAT=MLN","Sort=A","Dates=H","DateFormat=P","Fill=—","Direction=H","UseDPDF=Y")</f>
        <v>#NAME?</v>
      </c>
      <c r="F100" s="1059" t="e">
        <f ca="1">BDH("BMBL US Equity","ARDR_OPTIONS_GRANTED_DURING_PER","FY 2021","FY 2021","Currency=USD","Period=FY","BEST_FPERIOD_OVERRIDE=FY","FILING_STATUS=MR","SCALING_FORMAT=MLN","Sort=A","Dates=H","DateFormat=P","Fill=—","Direction=H","UseDPDF=Y")</f>
        <v>#NAME?</v>
      </c>
      <c r="G100" s="1059" t="e">
        <f ca="1">BDH("BMBL US Equity","ARDR_OPTIONS_GRANTED_DURING_PER","FY 2022","FY 2022","Currency=USD","Period=FY","BEST_FPERIOD_OVERRIDE=FY","FILING_STATUS=MR","SCALING_FORMAT=MLN","Sort=A","Dates=H","DateFormat=P","Fill=—","Direction=H","UseDPDF=Y")</f>
        <v>#NAME?</v>
      </c>
      <c r="H100" s="1059" t="e">
        <f ca="1">BDH("BMBL US Equity","ARDR_OPTIONS_GRANTED_DURING_PER","FY 2023","FY 2023","Currency=USD","Period=FY","BEST_FPERIOD_OVERRIDE=FY","FILING_STATUS=MR","SCALING_FORMAT=MLN","Sort=A","Dates=H","DateFormat=P","Fill=—","Direction=H","UseDPDF=Y")</f>
        <v>#NAME?</v>
      </c>
    </row>
    <row r="101" spans="1:8">
      <c r="A101" s="1058" t="s">
        <v>172</v>
      </c>
      <c r="B101" s="1058" t="s">
        <v>173</v>
      </c>
      <c r="C101" s="1059" t="e">
        <f ca="1">BDH("BMBL US Equity","ARDR_OPTIONS_OUTSTANDING_END_PER","FY 2018","FY 2018","Currency=USD","Period=FY","BEST_FPERIOD_OVERRIDE=FY","FILING_STATUS=MR","Sort=A","Dates=H","DateFormat=P","Fill=—","Direction=H","UseDPDF=Y")</f>
        <v>#NAME?</v>
      </c>
      <c r="D101" s="1059" t="e">
        <f ca="1">BDH("BMBL US Equity","ARDR_OPTIONS_OUTSTANDING_END_PER","FY 2019","FY 2019","Currency=USD","Period=FY","BEST_FPERIOD_OVERRIDE=FY","FILING_STATUS=MR","Sort=A","Dates=H","DateFormat=P","Fill=—","Direction=H","UseDPDF=Y")</f>
        <v>#NAME?</v>
      </c>
      <c r="E101" s="1059" t="e">
        <f ca="1">BDH("BMBL US Equity","ARDR_OPTIONS_OUTSTANDING_END_PER","FY 2020","FY 2020","Currency=USD","Period=FY","BEST_FPERIOD_OVERRIDE=FY","FILING_STATUS=MR","Sort=A","Dates=H","DateFormat=P","Fill=—","Direction=H","UseDPDF=Y")</f>
        <v>#NAME?</v>
      </c>
      <c r="F101" s="1059" t="e">
        <f ca="1">BDH("BMBL US Equity","ARDR_OPTIONS_OUTSTANDING_END_PER","FY 2021","FY 2021","Currency=USD","Period=FY","BEST_FPERIOD_OVERRIDE=FY","FILING_STATUS=MR","Sort=A","Dates=H","DateFormat=P","Fill=—","Direction=H","UseDPDF=Y")</f>
        <v>#NAME?</v>
      </c>
      <c r="G101" s="1059" t="e">
        <f ca="1">BDH("BMBL US Equity","ARDR_OPTIONS_OUTSTANDING_END_PER","FY 2022","FY 2022","Currency=USD","Period=FY","BEST_FPERIOD_OVERRIDE=FY","FILING_STATUS=MR","Sort=A","Dates=H","DateFormat=P","Fill=—","Direction=H","UseDPDF=Y")</f>
        <v>#NAME?</v>
      </c>
      <c r="H101" s="1059" t="e">
        <f ca="1">BDH("BMBL US Equity","ARDR_OPTIONS_OUTSTANDING_END_PER","FY 2023","FY 2023","Currency=USD","Period=FY","BEST_FPERIOD_OVERRIDE=FY","FILING_STATUS=MR","Sort=A","Dates=H","DateFormat=P","Fill=—","Direction=H","UseDPDF=Y")</f>
        <v>#NAME?</v>
      </c>
    </row>
    <row r="102" spans="1:8">
      <c r="A102" s="1058" t="s">
        <v>97</v>
      </c>
      <c r="B102" s="1058" t="s">
        <v>174</v>
      </c>
      <c r="C102" s="1059" t="e">
        <f ca="1">BDH("BMBL US Equity","ARDR_SHARES_AUTHORIZED","FY 2018","FY 2018","Currency=USD","Period=FY","BEST_FPERIOD_OVERRIDE=FY","FILING_STATUS=MR","SCALING_FORMAT=MLN","Sort=A","Dates=H","DateFormat=P","Fill=—","Direction=H","UseDPDF=Y")</f>
        <v>#NAME?</v>
      </c>
      <c r="D102" s="1059" t="e">
        <f ca="1">BDH("BMBL US Equity","ARDR_SHARES_AUTHORIZED","FY 2019","FY 2019","Currency=USD","Period=FY","BEST_FPERIOD_OVERRIDE=FY","FILING_STATUS=MR","SCALING_FORMAT=MLN","Sort=A","Dates=H","DateFormat=P","Fill=—","Direction=H","UseDPDF=Y")</f>
        <v>#NAME?</v>
      </c>
      <c r="E102" s="1059" t="e">
        <f ca="1">BDH("BMBL US Equity","ARDR_SHARES_AUTHORIZED","FY 2020","FY 2020","Currency=USD","Period=FY","BEST_FPERIOD_OVERRIDE=FY","FILING_STATUS=MR","SCALING_FORMAT=MLN","Sort=A","Dates=H","DateFormat=P","Fill=—","Direction=H","UseDPDF=Y")</f>
        <v>#NAME?</v>
      </c>
      <c r="F102" s="1059" t="e">
        <f ca="1">BDH("BMBL US Equity","ARDR_SHARES_AUTHORIZED","FY 2021","FY 2021","Currency=USD","Period=FY","BEST_FPERIOD_OVERRIDE=FY","FILING_STATUS=MR","SCALING_FORMAT=MLN","Sort=A","Dates=H","DateFormat=P","Fill=—","Direction=H","UseDPDF=Y")</f>
        <v>#NAME?</v>
      </c>
      <c r="G102" s="1059" t="e">
        <f ca="1">BDH("BMBL US Equity","ARDR_SHARES_AUTHORIZED","FY 2022","FY 2022","Currency=USD","Period=FY","BEST_FPERIOD_OVERRIDE=FY","FILING_STATUS=MR","SCALING_FORMAT=MLN","Sort=A","Dates=H","DateFormat=P","Fill=—","Direction=H","UseDPDF=Y")</f>
        <v>#NAME?</v>
      </c>
      <c r="H102" s="1059" t="e">
        <f ca="1">BDH("BMBL US Equity","ARDR_SHARES_AUTHORIZED","FY 2023","FY 2023","Currency=USD","Period=FY","BEST_FPERIOD_OVERRIDE=FY","FILING_STATUS=MR","SCALING_FORMAT=MLN","Sort=A","Dates=H","DateFormat=P","Fill=—","Direction=H","UseDPDF=Y")</f>
        <v>#NAME?</v>
      </c>
    </row>
    <row r="103" spans="1:8">
      <c r="A103" s="1058" t="s">
        <v>175</v>
      </c>
      <c r="B103" s="1058" t="s">
        <v>176</v>
      </c>
      <c r="C103" s="1059" t="e">
        <f ca="1">BDH("BMBL US Equity","ARDR_TOT_SHARE_EQY_EXCL_MINORITY","FY 2018","FY 2018","Currency=USD","Period=FY","BEST_FPERIOD_OVERRIDE=FY","FILING_STATUS=MR","SCALING_FORMAT=MLN","Sort=A","Dates=H","DateFormat=P","Fill=—","Direction=H","UseDPDF=Y")</f>
        <v>#NAME?</v>
      </c>
      <c r="D103" s="1059" t="e">
        <f ca="1">BDH("BMBL US Equity","ARDR_TOT_SHARE_EQY_EXCL_MINORITY","FY 2019","FY 2019","Currency=USD","Period=FY","BEST_FPERIOD_OVERRIDE=FY","FILING_STATUS=MR","SCALING_FORMAT=MLN","Sort=A","Dates=H","DateFormat=P","Fill=—","Direction=H","UseDPDF=Y")</f>
        <v>#NAME?</v>
      </c>
      <c r="E103" s="1059" t="e">
        <f ca="1">BDH("BMBL US Equity","ARDR_TOT_SHARE_EQY_EXCL_MINORITY","FY 2020","FY 2020","Currency=USD","Period=FY","BEST_FPERIOD_OVERRIDE=FY","FILING_STATUS=MR","SCALING_FORMAT=MLN","Sort=A","Dates=H","DateFormat=P","Fill=—","Direction=H","UseDPDF=Y")</f>
        <v>#NAME?</v>
      </c>
      <c r="F103" s="1059" t="e">
        <f ca="1">BDH("BMBL US Equity","ARDR_TOT_SHARE_EQY_EXCL_MINORITY","FY 2021","FY 2021","Currency=USD","Period=FY","BEST_FPERIOD_OVERRIDE=FY","FILING_STATUS=MR","SCALING_FORMAT=MLN","Sort=A","Dates=H","DateFormat=P","Fill=—","Direction=H","UseDPDF=Y")</f>
        <v>#NAME?</v>
      </c>
      <c r="G103" s="1059" t="e">
        <f ca="1">BDH("BMBL US Equity","ARDR_TOT_SHARE_EQY_EXCL_MINORITY","FY 2022","FY 2022","Currency=USD","Period=FY","BEST_FPERIOD_OVERRIDE=FY","FILING_STATUS=MR","SCALING_FORMAT=MLN","Sort=A","Dates=H","DateFormat=P","Fill=—","Direction=H","UseDPDF=Y")</f>
        <v>#NAME?</v>
      </c>
      <c r="H103" s="1059" t="e">
        <f ca="1">BDH("BMBL US Equity","ARDR_TOT_SHARE_EQY_EXCL_MINORITY","FY 2023","FY 2023","Currency=USD","Period=FY","BEST_FPERIOD_OVERRIDE=FY","FILING_STATUS=MR","SCALING_FORMAT=MLN","Sort=A","Dates=H","DateFormat=P","Fill=—","Direction=H","UseDPDF=Y")</f>
        <v>#NAME?</v>
      </c>
    </row>
    <row r="104" spans="1:8">
      <c r="A104" s="1058" t="s">
        <v>177</v>
      </c>
      <c r="B104" s="1058" t="s">
        <v>178</v>
      </c>
      <c r="C104" s="1059" t="e">
        <f ca="1">BDH("BMBL US Equity","ARDR_OPTIONS_EXERCISED_DUR_PER","FY 2018","FY 2018","Currency=USD","Period=FY","BEST_FPERIOD_OVERRIDE=FY","FILING_STATUS=MR","SCALING_FORMAT=MLN","Sort=A","Dates=H","DateFormat=P","Fill=—","Direction=H","UseDPDF=Y")</f>
        <v>#NAME?</v>
      </c>
      <c r="D104" s="1059" t="e">
        <f ca="1">BDH("BMBL US Equity","ARDR_OPTIONS_EXERCISED_DUR_PER","FY 2019","FY 2019","Currency=USD","Period=FY","BEST_FPERIOD_OVERRIDE=FY","FILING_STATUS=MR","SCALING_FORMAT=MLN","Sort=A","Dates=H","DateFormat=P","Fill=—","Direction=H","UseDPDF=Y")</f>
        <v>#NAME?</v>
      </c>
      <c r="E104" s="1059" t="e">
        <f ca="1">BDH("BMBL US Equity","ARDR_OPTIONS_EXERCISED_DUR_PER","FY 2020","FY 2020","Currency=USD","Period=FY","BEST_FPERIOD_OVERRIDE=FY","FILING_STATUS=MR","SCALING_FORMAT=MLN","Sort=A","Dates=H","DateFormat=P","Fill=—","Direction=H","UseDPDF=Y")</f>
        <v>#NAME?</v>
      </c>
      <c r="F104" s="1059" t="e">
        <f ca="1">BDH("BMBL US Equity","ARDR_OPTIONS_EXERCISED_DUR_PER","FY 2021","FY 2021","Currency=USD","Period=FY","BEST_FPERIOD_OVERRIDE=FY","FILING_STATUS=MR","SCALING_FORMAT=MLN","Sort=A","Dates=H","DateFormat=P","Fill=—","Direction=H","UseDPDF=Y")</f>
        <v>#NAME?</v>
      </c>
      <c r="G104" s="1059" t="e">
        <f ca="1">BDH("BMBL US Equity","ARDR_OPTIONS_EXERCISED_DUR_PER","FY 2022","FY 2022","Currency=USD","Period=FY","BEST_FPERIOD_OVERRIDE=FY","FILING_STATUS=MR","SCALING_FORMAT=MLN","Sort=A","Dates=H","DateFormat=P","Fill=—","Direction=H","UseDPDF=Y")</f>
        <v>#NAME?</v>
      </c>
      <c r="H104" s="1059" t="e">
        <f ca="1">BDH("BMBL US Equity","ARDR_OPTIONS_EXERCISED_DUR_PER","FY 2023","FY 2023","Currency=USD","Period=FY","BEST_FPERIOD_OVERRIDE=FY","FILING_STATUS=MR","SCALING_FORMAT=MLN","Sort=A","Dates=H","DateFormat=P","Fill=—","Direction=H","UseDPDF=Y")</f>
        <v>#NAME?</v>
      </c>
    </row>
    <row r="105" spans="1:8">
      <c r="A105" s="1058" t="s">
        <v>179</v>
      </c>
      <c r="B105" s="1058" t="s">
        <v>180</v>
      </c>
      <c r="C105" s="1059" t="e">
        <f ca="1">BDH("BMBL US Equity","ARDR_CASH_EQUIVS","FY 2018","FY 2018","Currency=USD","Period=FY","BEST_FPERIOD_OVERRIDE=FY","FILING_STATUS=MR","SCALING_FORMAT=MLN","Sort=A","Dates=H","DateFormat=P","Fill=—","Direction=H","UseDPDF=Y")</f>
        <v>#NAME?</v>
      </c>
      <c r="D105" s="1059" t="e">
        <f ca="1">BDH("BMBL US Equity","ARDR_CASH_EQUIVS","FY 2019","FY 2019","Currency=USD","Period=FY","BEST_FPERIOD_OVERRIDE=FY","FILING_STATUS=MR","SCALING_FORMAT=MLN","Sort=A","Dates=H","DateFormat=P","Fill=—","Direction=H","UseDPDF=Y")</f>
        <v>#NAME?</v>
      </c>
      <c r="E105" s="1059" t="e">
        <f ca="1">BDH("BMBL US Equity","ARDR_CASH_EQUIVS","FY 2020","FY 2020","Currency=USD","Period=FY","BEST_FPERIOD_OVERRIDE=FY","FILING_STATUS=MR","SCALING_FORMAT=MLN","Sort=A","Dates=H","DateFormat=P","Fill=—","Direction=H","UseDPDF=Y")</f>
        <v>#NAME?</v>
      </c>
      <c r="F105" s="1059" t="e">
        <f ca="1">BDH("BMBL US Equity","ARDR_CASH_EQUIVS","FY 2021","FY 2021","Currency=USD","Period=FY","BEST_FPERIOD_OVERRIDE=FY","FILING_STATUS=MR","SCALING_FORMAT=MLN","Sort=A","Dates=H","DateFormat=P","Fill=—","Direction=H","UseDPDF=Y")</f>
        <v>#NAME?</v>
      </c>
      <c r="G105" s="1059" t="e">
        <f ca="1">BDH("BMBL US Equity","ARDR_CASH_EQUIVS","FY 2022","FY 2022","Currency=USD","Period=FY","BEST_FPERIOD_OVERRIDE=FY","FILING_STATUS=MR","SCALING_FORMAT=MLN","Sort=A","Dates=H","DateFormat=P","Fill=—","Direction=H","UseDPDF=Y")</f>
        <v>#NAME?</v>
      </c>
      <c r="H105" s="1059" t="e">
        <f ca="1">BDH("BMBL US Equity","ARDR_CASH_EQUIVS","FY 2023","FY 2023","Currency=USD","Period=FY","BEST_FPERIOD_OVERRIDE=FY","FILING_STATUS=MR","SCALING_FORMAT=MLN","Sort=A","Dates=H","DateFormat=P","Fill=—","Direction=H","UseDPDF=Y")</f>
        <v>#NAME?</v>
      </c>
    </row>
    <row r="106" spans="1:8">
      <c r="A106" s="1058" t="s">
        <v>181</v>
      </c>
      <c r="B106" s="1058" t="s">
        <v>182</v>
      </c>
      <c r="C106" s="1059" t="e">
        <f ca="1">BDH("BMBL US Equity","ARDR_DEBT_SCHEDULE_IN_YR1","FY 2018","FY 2018","Currency=USD","Period=FY","BEST_FPERIOD_OVERRIDE=FY","FILING_STATUS=MR","SCALING_FORMAT=MLN","Sort=A","Dates=H","DateFormat=P","Fill=—","Direction=H","UseDPDF=Y")</f>
        <v>#NAME?</v>
      </c>
      <c r="D106" s="1059" t="e">
        <f ca="1">BDH("BMBL US Equity","ARDR_DEBT_SCHEDULE_IN_YR1","FY 2019","FY 2019","Currency=USD","Period=FY","BEST_FPERIOD_OVERRIDE=FY","FILING_STATUS=MR","SCALING_FORMAT=MLN","Sort=A","Dates=H","DateFormat=P","Fill=—","Direction=H","UseDPDF=Y")</f>
        <v>#NAME?</v>
      </c>
      <c r="E106" s="1059" t="e">
        <f ca="1">BDH("BMBL US Equity","ARDR_DEBT_SCHEDULE_IN_YR1","FY 2020","FY 2020","Currency=USD","Period=FY","BEST_FPERIOD_OVERRIDE=FY","FILING_STATUS=MR","SCALING_FORMAT=MLN","Sort=A","Dates=H","DateFormat=P","Fill=—","Direction=H","UseDPDF=Y")</f>
        <v>#NAME?</v>
      </c>
      <c r="F106" s="1059" t="e">
        <f ca="1">BDH("BMBL US Equity","ARDR_DEBT_SCHEDULE_IN_YR1","FY 2021","FY 2021","Currency=USD","Period=FY","BEST_FPERIOD_OVERRIDE=FY","FILING_STATUS=MR","SCALING_FORMAT=MLN","Sort=A","Dates=H","DateFormat=P","Fill=—","Direction=H","UseDPDF=Y")</f>
        <v>#NAME?</v>
      </c>
      <c r="G106" s="1059" t="e">
        <f ca="1">BDH("BMBL US Equity","ARDR_DEBT_SCHEDULE_IN_YR1","FY 2022","FY 2022","Currency=USD","Period=FY","BEST_FPERIOD_OVERRIDE=FY","FILING_STATUS=MR","SCALING_FORMAT=MLN","Sort=A","Dates=H","DateFormat=P","Fill=—","Direction=H","UseDPDF=Y")</f>
        <v>#NAME?</v>
      </c>
      <c r="H106" s="1059" t="e">
        <f ca="1">BDH("BMBL US Equity","ARDR_DEBT_SCHEDULE_IN_YR1","FY 2023","FY 2023","Currency=USD","Period=FY","BEST_FPERIOD_OVERRIDE=FY","FILING_STATUS=MR","SCALING_FORMAT=MLN","Sort=A","Dates=H","DateFormat=P","Fill=—","Direction=H","UseDPDF=Y")</f>
        <v>#NAME?</v>
      </c>
    </row>
    <row r="107" spans="1:8">
      <c r="A107" s="1058" t="s">
        <v>183</v>
      </c>
      <c r="B107" s="1058" t="s">
        <v>184</v>
      </c>
      <c r="C107" s="1059" t="e">
        <f ca="1">BDH("BMBL US Equity","ARDR_DEBT_SCHEDULE_IN_YR2","FY 2018","FY 2018","Currency=USD","Period=FY","BEST_FPERIOD_OVERRIDE=FY","FILING_STATUS=MR","SCALING_FORMAT=MLN","Sort=A","Dates=H","DateFormat=P","Fill=—","Direction=H","UseDPDF=Y")</f>
        <v>#NAME?</v>
      </c>
      <c r="D107" s="1059" t="e">
        <f ca="1">BDH("BMBL US Equity","ARDR_DEBT_SCHEDULE_IN_YR2","FY 2019","FY 2019","Currency=USD","Period=FY","BEST_FPERIOD_OVERRIDE=FY","FILING_STATUS=MR","SCALING_FORMAT=MLN","Sort=A","Dates=H","DateFormat=P","Fill=—","Direction=H","UseDPDF=Y")</f>
        <v>#NAME?</v>
      </c>
      <c r="E107" s="1059" t="e">
        <f ca="1">BDH("BMBL US Equity","ARDR_DEBT_SCHEDULE_IN_YR2","FY 2020","FY 2020","Currency=USD","Period=FY","BEST_FPERIOD_OVERRIDE=FY","FILING_STATUS=MR","SCALING_FORMAT=MLN","Sort=A","Dates=H","DateFormat=P","Fill=—","Direction=H","UseDPDF=Y")</f>
        <v>#NAME?</v>
      </c>
      <c r="F107" s="1059" t="e">
        <f ca="1">BDH("BMBL US Equity","ARDR_DEBT_SCHEDULE_IN_YR2","FY 2021","FY 2021","Currency=USD","Period=FY","BEST_FPERIOD_OVERRIDE=FY","FILING_STATUS=MR","SCALING_FORMAT=MLN","Sort=A","Dates=H","DateFormat=P","Fill=—","Direction=H","UseDPDF=Y")</f>
        <v>#NAME?</v>
      </c>
      <c r="G107" s="1059" t="e">
        <f ca="1">BDH("BMBL US Equity","ARDR_DEBT_SCHEDULE_IN_YR2","FY 2022","FY 2022","Currency=USD","Period=FY","BEST_FPERIOD_OVERRIDE=FY","FILING_STATUS=MR","SCALING_FORMAT=MLN","Sort=A","Dates=H","DateFormat=P","Fill=—","Direction=H","UseDPDF=Y")</f>
        <v>#NAME?</v>
      </c>
      <c r="H107" s="1059" t="e">
        <f ca="1">BDH("BMBL US Equity","ARDR_DEBT_SCHEDULE_IN_YR2","FY 2023","FY 2023","Currency=USD","Period=FY","BEST_FPERIOD_OVERRIDE=FY","FILING_STATUS=MR","SCALING_FORMAT=MLN","Sort=A","Dates=H","DateFormat=P","Fill=—","Direction=H","UseDPDF=Y")</f>
        <v>#NAME?</v>
      </c>
    </row>
    <row r="108" spans="1:8">
      <c r="A108" s="1058" t="s">
        <v>185</v>
      </c>
      <c r="B108" s="1058" t="s">
        <v>186</v>
      </c>
      <c r="C108" s="1059" t="e">
        <f ca="1">BDH("BMBL US Equity","ARDR_DEBT_SCHEDULE_IN_YR3","FY 2018","FY 2018","Currency=USD","Period=FY","BEST_FPERIOD_OVERRIDE=FY","FILING_STATUS=MR","SCALING_FORMAT=MLN","Sort=A","Dates=H","DateFormat=P","Fill=—","Direction=H","UseDPDF=Y")</f>
        <v>#NAME?</v>
      </c>
      <c r="D108" s="1059" t="e">
        <f ca="1">BDH("BMBL US Equity","ARDR_DEBT_SCHEDULE_IN_YR3","FY 2019","FY 2019","Currency=USD","Period=FY","BEST_FPERIOD_OVERRIDE=FY","FILING_STATUS=MR","SCALING_FORMAT=MLN","Sort=A","Dates=H","DateFormat=P","Fill=—","Direction=H","UseDPDF=Y")</f>
        <v>#NAME?</v>
      </c>
      <c r="E108" s="1059" t="e">
        <f ca="1">BDH("BMBL US Equity","ARDR_DEBT_SCHEDULE_IN_YR3","FY 2020","FY 2020","Currency=USD","Period=FY","BEST_FPERIOD_OVERRIDE=FY","FILING_STATUS=MR","SCALING_FORMAT=MLN","Sort=A","Dates=H","DateFormat=P","Fill=—","Direction=H","UseDPDF=Y")</f>
        <v>#NAME?</v>
      </c>
      <c r="F108" s="1059" t="e">
        <f ca="1">BDH("BMBL US Equity","ARDR_DEBT_SCHEDULE_IN_YR3","FY 2021","FY 2021","Currency=USD","Period=FY","BEST_FPERIOD_OVERRIDE=FY","FILING_STATUS=MR","SCALING_FORMAT=MLN","Sort=A","Dates=H","DateFormat=P","Fill=—","Direction=H","UseDPDF=Y")</f>
        <v>#NAME?</v>
      </c>
      <c r="G108" s="1059" t="e">
        <f ca="1">BDH("BMBL US Equity","ARDR_DEBT_SCHEDULE_IN_YR3","FY 2022","FY 2022","Currency=USD","Period=FY","BEST_FPERIOD_OVERRIDE=FY","FILING_STATUS=MR","SCALING_FORMAT=MLN","Sort=A","Dates=H","DateFormat=P","Fill=—","Direction=H","UseDPDF=Y")</f>
        <v>#NAME?</v>
      </c>
      <c r="H108" s="1059" t="e">
        <f ca="1">BDH("BMBL US Equity","ARDR_DEBT_SCHEDULE_IN_YR3","FY 2023","FY 2023","Currency=USD","Period=FY","BEST_FPERIOD_OVERRIDE=FY","FILING_STATUS=MR","SCALING_FORMAT=MLN","Sort=A","Dates=H","DateFormat=P","Fill=—","Direction=H","UseDPDF=Y")</f>
        <v>#NAME?</v>
      </c>
    </row>
    <row r="109" spans="1:8">
      <c r="A109" s="1058" t="s">
        <v>187</v>
      </c>
      <c r="B109" s="1058" t="s">
        <v>188</v>
      </c>
      <c r="C109" s="1059" t="e">
        <f ca="1">BDH("BMBL US Equity","ARDR_DEBT_SCHEDULE_IN_YR4","FY 2018","FY 2018","Currency=USD","Period=FY","BEST_FPERIOD_OVERRIDE=FY","FILING_STATUS=MR","SCALING_FORMAT=MLN","Sort=A","Dates=H","DateFormat=P","Fill=—","Direction=H","UseDPDF=Y")</f>
        <v>#NAME?</v>
      </c>
      <c r="D109" s="1059" t="e">
        <f ca="1">BDH("BMBL US Equity","ARDR_DEBT_SCHEDULE_IN_YR4","FY 2019","FY 2019","Currency=USD","Period=FY","BEST_FPERIOD_OVERRIDE=FY","FILING_STATUS=MR","SCALING_FORMAT=MLN","Sort=A","Dates=H","DateFormat=P","Fill=—","Direction=H","UseDPDF=Y")</f>
        <v>#NAME?</v>
      </c>
      <c r="E109" s="1059" t="e">
        <f ca="1">BDH("BMBL US Equity","ARDR_DEBT_SCHEDULE_IN_YR4","FY 2020","FY 2020","Currency=USD","Period=FY","BEST_FPERIOD_OVERRIDE=FY","FILING_STATUS=MR","SCALING_FORMAT=MLN","Sort=A","Dates=H","DateFormat=P","Fill=—","Direction=H","UseDPDF=Y")</f>
        <v>#NAME?</v>
      </c>
      <c r="F109" s="1059" t="e">
        <f ca="1">BDH("BMBL US Equity","ARDR_DEBT_SCHEDULE_IN_YR4","FY 2021","FY 2021","Currency=USD","Period=FY","BEST_FPERIOD_OVERRIDE=FY","FILING_STATUS=MR","SCALING_FORMAT=MLN","Sort=A","Dates=H","DateFormat=P","Fill=—","Direction=H","UseDPDF=Y")</f>
        <v>#NAME?</v>
      </c>
      <c r="G109" s="1059" t="e">
        <f ca="1">BDH("BMBL US Equity","ARDR_DEBT_SCHEDULE_IN_YR4","FY 2022","FY 2022","Currency=USD","Period=FY","BEST_FPERIOD_OVERRIDE=FY","FILING_STATUS=MR","SCALING_FORMAT=MLN","Sort=A","Dates=H","DateFormat=P","Fill=—","Direction=H","UseDPDF=Y")</f>
        <v>#NAME?</v>
      </c>
      <c r="H109" s="1059" t="e">
        <f ca="1">BDH("BMBL US Equity","ARDR_DEBT_SCHEDULE_IN_YR4","FY 2023","FY 2023","Currency=USD","Period=FY","BEST_FPERIOD_OVERRIDE=FY","FILING_STATUS=MR","SCALING_FORMAT=MLN","Sort=A","Dates=H","DateFormat=P","Fill=—","Direction=H","UseDPDF=Y")</f>
        <v>#NAME?</v>
      </c>
    </row>
    <row r="110" spans="1:8">
      <c r="A110" s="1058" t="s">
        <v>189</v>
      </c>
      <c r="B110" s="1058" t="s">
        <v>190</v>
      </c>
      <c r="C110" s="1059" t="e">
        <f ca="1">BDH("BMBL US Equity","ARDR_DEBT_SCHEDULE_THEREAFTER","FY 2018","FY 2018","Currency=USD","Period=FY","BEST_FPERIOD_OVERRIDE=FY","FILING_STATUS=MR","SCALING_FORMAT=MLN","Sort=A","Dates=H","DateFormat=P","Fill=—","Direction=H","UseDPDF=Y")</f>
        <v>#NAME?</v>
      </c>
      <c r="D110" s="1059" t="e">
        <f ca="1">BDH("BMBL US Equity","ARDR_DEBT_SCHEDULE_THEREAFTER","FY 2019","FY 2019","Currency=USD","Period=FY","BEST_FPERIOD_OVERRIDE=FY","FILING_STATUS=MR","SCALING_FORMAT=MLN","Sort=A","Dates=H","DateFormat=P","Fill=—","Direction=H","UseDPDF=Y")</f>
        <v>#NAME?</v>
      </c>
      <c r="E110" s="1059" t="e">
        <f ca="1">BDH("BMBL US Equity","ARDR_DEBT_SCHEDULE_THEREAFTER","FY 2020","FY 2020","Currency=USD","Period=FY","BEST_FPERIOD_OVERRIDE=FY","FILING_STATUS=MR","SCALING_FORMAT=MLN","Sort=A","Dates=H","DateFormat=P","Fill=—","Direction=H","UseDPDF=Y")</f>
        <v>#NAME?</v>
      </c>
      <c r="F110" s="1059" t="e">
        <f ca="1">BDH("BMBL US Equity","ARDR_DEBT_SCHEDULE_THEREAFTER","FY 2021","FY 2021","Currency=USD","Period=FY","BEST_FPERIOD_OVERRIDE=FY","FILING_STATUS=MR","SCALING_FORMAT=MLN","Sort=A","Dates=H","DateFormat=P","Fill=—","Direction=H","UseDPDF=Y")</f>
        <v>#NAME?</v>
      </c>
      <c r="G110" s="1059" t="e">
        <f ca="1">BDH("BMBL US Equity","ARDR_DEBT_SCHEDULE_THEREAFTER","FY 2022","FY 2022","Currency=USD","Period=FY","BEST_FPERIOD_OVERRIDE=FY","FILING_STATUS=MR","SCALING_FORMAT=MLN","Sort=A","Dates=H","DateFormat=P","Fill=—","Direction=H","UseDPDF=Y")</f>
        <v>#NAME?</v>
      </c>
      <c r="H110" s="1059" t="e">
        <f ca="1">BDH("BMBL US Equity","ARDR_DEBT_SCHEDULE_THEREAFTER","FY 2023","FY 2023","Currency=USD","Period=FY","BEST_FPERIOD_OVERRIDE=FY","FILING_STATUS=MR","SCALING_FORMAT=MLN","Sort=A","Dates=H","DateFormat=P","Fill=—","Direction=H","UseDPDF=Y")</f>
        <v>#NAME?</v>
      </c>
    </row>
    <row r="111" spans="1:8">
      <c r="A111" s="1058" t="s">
        <v>191</v>
      </c>
      <c r="B111" s="1058" t="s">
        <v>192</v>
      </c>
      <c r="C111" s="1059" t="e">
        <f ca="1">BDH("BMBL US Equity","ARDR_DEBT_SCHEDULE_TOTAL_DEBT","FY 2018","FY 2018","Currency=USD","Period=FY","BEST_FPERIOD_OVERRIDE=FY","FILING_STATUS=MR","SCALING_FORMAT=MLN","Sort=A","Dates=H","DateFormat=P","Fill=—","Direction=H","UseDPDF=Y")</f>
        <v>#NAME?</v>
      </c>
      <c r="D111" s="1059" t="e">
        <f ca="1">BDH("BMBL US Equity","ARDR_DEBT_SCHEDULE_TOTAL_DEBT","FY 2019","FY 2019","Currency=USD","Period=FY","BEST_FPERIOD_OVERRIDE=FY","FILING_STATUS=MR","SCALING_FORMAT=MLN","Sort=A","Dates=H","DateFormat=P","Fill=—","Direction=H","UseDPDF=Y")</f>
        <v>#NAME?</v>
      </c>
      <c r="E111" s="1059" t="e">
        <f ca="1">BDH("BMBL US Equity","ARDR_DEBT_SCHEDULE_TOTAL_DEBT","FY 2020","FY 2020","Currency=USD","Period=FY","BEST_FPERIOD_OVERRIDE=FY","FILING_STATUS=MR","SCALING_FORMAT=MLN","Sort=A","Dates=H","DateFormat=P","Fill=—","Direction=H","UseDPDF=Y")</f>
        <v>#NAME?</v>
      </c>
      <c r="F111" s="1059" t="e">
        <f ca="1">BDH("BMBL US Equity","ARDR_DEBT_SCHEDULE_TOTAL_DEBT","FY 2021","FY 2021","Currency=USD","Period=FY","BEST_FPERIOD_OVERRIDE=FY","FILING_STATUS=MR","SCALING_FORMAT=MLN","Sort=A","Dates=H","DateFormat=P","Fill=—","Direction=H","UseDPDF=Y")</f>
        <v>#NAME?</v>
      </c>
      <c r="G111" s="1059" t="e">
        <f ca="1">BDH("BMBL US Equity","ARDR_DEBT_SCHEDULE_TOTAL_DEBT","FY 2022","FY 2022","Currency=USD","Period=FY","BEST_FPERIOD_OVERRIDE=FY","FILING_STATUS=MR","SCALING_FORMAT=MLN","Sort=A","Dates=H","DateFormat=P","Fill=—","Direction=H","UseDPDF=Y")</f>
        <v>#NAME?</v>
      </c>
      <c r="H111" s="1059" t="e">
        <f ca="1">BDH("BMBL US Equity","ARDR_DEBT_SCHEDULE_TOTAL_DEBT","FY 2023","FY 2023","Currency=USD","Period=FY","BEST_FPERIOD_OVERRIDE=FY","FILING_STATUS=MR","SCALING_FORMAT=MLN","Sort=A","Dates=H","DateFormat=P","Fill=—","Direction=H","UseDPDF=Y")</f>
        <v>#NAME?</v>
      </c>
    </row>
    <row r="112" spans="1:8">
      <c r="A112" s="1058" t="s">
        <v>193</v>
      </c>
      <c r="B112" s="1058" t="s">
        <v>194</v>
      </c>
      <c r="C112" s="1059" t="e">
        <f ca="1">BDH("BMBL US Equity","ARDR_DEBT_SCHEDULE_TOTAL_LT_DEBT","FY 2018","FY 2018","Currency=USD","Period=FY","BEST_FPERIOD_OVERRIDE=FY","FILING_STATUS=MR","SCALING_FORMAT=MLN","Sort=A","Dates=H","DateFormat=P","Fill=—","Direction=H","UseDPDF=Y")</f>
        <v>#NAME?</v>
      </c>
      <c r="D112" s="1059" t="e">
        <f ca="1">BDH("BMBL US Equity","ARDR_DEBT_SCHEDULE_TOTAL_LT_DEBT","FY 2019","FY 2019","Currency=USD","Period=FY","BEST_FPERIOD_OVERRIDE=FY","FILING_STATUS=MR","SCALING_FORMAT=MLN","Sort=A","Dates=H","DateFormat=P","Fill=—","Direction=H","UseDPDF=Y")</f>
        <v>#NAME?</v>
      </c>
      <c r="E112" s="1059" t="e">
        <f ca="1">BDH("BMBL US Equity","ARDR_DEBT_SCHEDULE_TOTAL_LT_DEBT","FY 2020","FY 2020","Currency=USD","Period=FY","BEST_FPERIOD_OVERRIDE=FY","FILING_STATUS=MR","SCALING_FORMAT=MLN","Sort=A","Dates=H","DateFormat=P","Fill=—","Direction=H","UseDPDF=Y")</f>
        <v>#NAME?</v>
      </c>
      <c r="F112" s="1059" t="e">
        <f ca="1">BDH("BMBL US Equity","ARDR_DEBT_SCHEDULE_TOTAL_LT_DEBT","FY 2021","FY 2021","Currency=USD","Period=FY","BEST_FPERIOD_OVERRIDE=FY","FILING_STATUS=MR","SCALING_FORMAT=MLN","Sort=A","Dates=H","DateFormat=P","Fill=—","Direction=H","UseDPDF=Y")</f>
        <v>#NAME?</v>
      </c>
      <c r="G112" s="1059" t="e">
        <f ca="1">BDH("BMBL US Equity","ARDR_DEBT_SCHEDULE_TOTAL_LT_DEBT","FY 2022","FY 2022","Currency=USD","Period=FY","BEST_FPERIOD_OVERRIDE=FY","FILING_STATUS=MR","SCALING_FORMAT=MLN","Sort=A","Dates=H","DateFormat=P","Fill=—","Direction=H","UseDPDF=Y")</f>
        <v>#NAME?</v>
      </c>
      <c r="H112" s="1059" t="e">
        <f ca="1">BDH("BMBL US Equity","ARDR_DEBT_SCHEDULE_TOTAL_LT_DEBT","FY 2023","FY 2023","Currency=USD","Period=FY","BEST_FPERIOD_OVERRIDE=FY","FILING_STATUS=MR","SCALING_FORMAT=MLN","Sort=A","Dates=H","DateFormat=P","Fill=—","Direction=H","UseDPDF=Y")</f>
        <v>#NAME?</v>
      </c>
    </row>
    <row r="113" spans="1:8">
      <c r="A113" s="1058" t="s">
        <v>195</v>
      </c>
      <c r="B113" s="1058" t="s">
        <v>196</v>
      </c>
      <c r="C113" s="1059" t="e">
        <f ca="1">BDH("BMBL US Equity","ARDR_COMMON_SHARES_REPURCHASED","FY 2018","FY 2018","Currency=USD","Period=FY","BEST_FPERIOD_OVERRIDE=FY","FILING_STATUS=MR","Sort=A","Dates=H","DateFormat=P","Fill=—","Direction=H","UseDPDF=Y")</f>
        <v>#NAME?</v>
      </c>
      <c r="D113" s="1059" t="e">
        <f ca="1">BDH("BMBL US Equity","ARDR_COMMON_SHARES_REPURCHASED","FY 2019","FY 2019","Currency=USD","Period=FY","BEST_FPERIOD_OVERRIDE=FY","FILING_STATUS=MR","Sort=A","Dates=H","DateFormat=P","Fill=—","Direction=H","UseDPDF=Y")</f>
        <v>#NAME?</v>
      </c>
      <c r="E113" s="1059" t="e">
        <f ca="1">BDH("BMBL US Equity","ARDR_COMMON_SHARES_REPURCHASED","FY 2020","FY 2020","Currency=USD","Period=FY","BEST_FPERIOD_OVERRIDE=FY","FILING_STATUS=MR","Sort=A","Dates=H","DateFormat=P","Fill=—","Direction=H","UseDPDF=Y")</f>
        <v>#NAME?</v>
      </c>
      <c r="F113" s="1059" t="e">
        <f ca="1">BDH("BMBL US Equity","ARDR_COMMON_SHARES_REPURCHASED","FY 2021","FY 2021","Currency=USD","Period=FY","BEST_FPERIOD_OVERRIDE=FY","FILING_STATUS=MR","Sort=A","Dates=H","DateFormat=P","Fill=—","Direction=H","UseDPDF=Y")</f>
        <v>#NAME?</v>
      </c>
      <c r="G113" s="1059" t="e">
        <f ca="1">BDH("BMBL US Equity","ARDR_COMMON_SHARES_REPURCHASED","FY 2022","FY 2022","Currency=USD","Period=FY","BEST_FPERIOD_OVERRIDE=FY","FILING_STATUS=MR","Sort=A","Dates=H","DateFormat=P","Fill=—","Direction=H","UseDPDF=Y")</f>
        <v>#NAME?</v>
      </c>
      <c r="H113" s="1059" t="e">
        <f ca="1">BDH("BMBL US Equity","ARDR_COMMON_SHARES_REPURCHASED","FY 2023","FY 2023","Currency=USD","Period=FY","BEST_FPERIOD_OVERRIDE=FY","FILING_STATUS=MR","Sort=A","Dates=H","DateFormat=P","Fill=—","Direction=H","UseDPDF=Y")</f>
        <v>#NAME?</v>
      </c>
    </row>
    <row r="114" spans="1:8">
      <c r="A114" s="1058" t="s">
        <v>197</v>
      </c>
      <c r="B114" s="1058" t="s">
        <v>198</v>
      </c>
      <c r="C114" s="1059" t="e">
        <f ca="1">BDH("BMBL US Equity","ARDR_TOTAL_OPERATING_LIABILITIES","FY 2018","FY 2018","Currency=USD","Period=FY","BEST_FPERIOD_OVERRIDE=FY","FILING_STATUS=MR","Sort=A","Dates=H","DateFormat=P","Fill=—","Direction=H","UseDPDF=Y")</f>
        <v>#NAME?</v>
      </c>
      <c r="D114" s="1059" t="e">
        <f ca="1">BDH("BMBL US Equity","ARDR_TOTAL_OPERATING_LIABILITIES","FY 2019","FY 2019","Currency=USD","Period=FY","BEST_FPERIOD_OVERRIDE=FY","FILING_STATUS=MR","Sort=A","Dates=H","DateFormat=P","Fill=—","Direction=H","UseDPDF=Y")</f>
        <v>#NAME?</v>
      </c>
      <c r="E114" s="1059" t="e">
        <f ca="1">BDH("BMBL US Equity","ARDR_TOTAL_OPERATING_LIABILITIES","FY 2020","FY 2020","Currency=USD","Period=FY","BEST_FPERIOD_OVERRIDE=FY","FILING_STATUS=MR","Sort=A","Dates=H","DateFormat=P","Fill=—","Direction=H","UseDPDF=Y")</f>
        <v>#NAME?</v>
      </c>
      <c r="F114" s="1059" t="e">
        <f ca="1">BDH("BMBL US Equity","ARDR_TOTAL_OPERATING_LIABILITIES","FY 2021","FY 2021","Currency=USD","Period=FY","BEST_FPERIOD_OVERRIDE=FY","FILING_STATUS=MR","Sort=A","Dates=H","DateFormat=P","Fill=—","Direction=H","UseDPDF=Y")</f>
        <v>#NAME?</v>
      </c>
      <c r="G114" s="1059" t="e">
        <f ca="1">BDH("BMBL US Equity","ARDR_TOTAL_OPERATING_LIABILITIES","FY 2022","FY 2022","Currency=USD","Period=FY","BEST_FPERIOD_OVERRIDE=FY","FILING_STATUS=MR","Sort=A","Dates=H","DateFormat=P","Fill=—","Direction=H","UseDPDF=Y")</f>
        <v>#NAME?</v>
      </c>
      <c r="H114" s="1059" t="e">
        <f ca="1">BDH("BMBL US Equity","ARDR_TOTAL_OPERATING_LIABILITIES","FY 2023","FY 2023","Currency=USD","Period=FY","BEST_FPERIOD_OVERRIDE=FY","FILING_STATUS=MR","Sort=A","Dates=H","DateFormat=P","Fill=—","Direction=H","UseDPDF=Y")</f>
        <v>#NAME?</v>
      </c>
    </row>
    <row r="115" spans="1:8">
      <c r="A115" s="1058" t="s">
        <v>199</v>
      </c>
      <c r="B115" s="1058" t="s">
        <v>200</v>
      </c>
      <c r="C115" s="1059" t="e">
        <f ca="1">BDH("BMBL US Equity","ARDR_FV_ASSETS_REC_LEVEL_1","FY 2018","FY 2018","Currency=USD","Period=FY","BEST_FPERIOD_OVERRIDE=FY","FILING_STATUS=MR","SCALING_FORMAT=MLN","Sort=A","Dates=H","DateFormat=P","Fill=—","Direction=H","UseDPDF=Y")</f>
        <v>#NAME?</v>
      </c>
      <c r="D115" s="1059" t="e">
        <f ca="1">BDH("BMBL US Equity","ARDR_FV_ASSETS_REC_LEVEL_1","FY 2019","FY 2019","Currency=USD","Period=FY","BEST_FPERIOD_OVERRIDE=FY","FILING_STATUS=MR","SCALING_FORMAT=MLN","Sort=A","Dates=H","DateFormat=P","Fill=—","Direction=H","UseDPDF=Y")</f>
        <v>#NAME?</v>
      </c>
      <c r="E115" s="1059" t="e">
        <f ca="1">BDH("BMBL US Equity","ARDR_FV_ASSETS_REC_LEVEL_1","FY 2020","FY 2020","Currency=USD","Period=FY","BEST_FPERIOD_OVERRIDE=FY","FILING_STATUS=MR","SCALING_FORMAT=MLN","Sort=A","Dates=H","DateFormat=P","Fill=—","Direction=H","UseDPDF=Y")</f>
        <v>#NAME?</v>
      </c>
      <c r="F115" s="1059" t="e">
        <f ca="1">BDH("BMBL US Equity","ARDR_FV_ASSETS_REC_LEVEL_1","FY 2021","FY 2021","Currency=USD","Period=FY","BEST_FPERIOD_OVERRIDE=FY","FILING_STATUS=MR","SCALING_FORMAT=MLN","Sort=A","Dates=H","DateFormat=P","Fill=—","Direction=H","UseDPDF=Y")</f>
        <v>#NAME?</v>
      </c>
      <c r="G115" s="1059" t="e">
        <f ca="1">BDH("BMBL US Equity","ARDR_FV_ASSETS_REC_LEVEL_1","FY 2022","FY 2022","Currency=USD","Period=FY","BEST_FPERIOD_OVERRIDE=FY","FILING_STATUS=MR","SCALING_FORMAT=MLN","Sort=A","Dates=H","DateFormat=P","Fill=—","Direction=H","UseDPDF=Y")</f>
        <v>#NAME?</v>
      </c>
      <c r="H115" s="1059" t="e">
        <f ca="1">BDH("BMBL US Equity","ARDR_FV_ASSETS_REC_LEVEL_1","FY 2023","FY 2023","Currency=USD","Period=FY","BEST_FPERIOD_OVERRIDE=FY","FILING_STATUS=MR","SCALING_FORMAT=MLN","Sort=A","Dates=H","DateFormat=P","Fill=—","Direction=H","UseDPDF=Y")</f>
        <v>#NAME?</v>
      </c>
    </row>
    <row r="116" spans="1:8">
      <c r="A116" s="1058" t="s">
        <v>201</v>
      </c>
      <c r="B116" s="1058" t="s">
        <v>202</v>
      </c>
      <c r="C116" s="1059" t="e">
        <f ca="1">BDH("BMBL US Equity","ARDR_FV_ASSETS_REC_LEVEL_2","FY 2018","FY 2018","Currency=USD","Period=FY","BEST_FPERIOD_OVERRIDE=FY","FILING_STATUS=MR","SCALING_FORMAT=MLN","Sort=A","Dates=H","DateFormat=P","Fill=—","Direction=H","UseDPDF=Y")</f>
        <v>#NAME?</v>
      </c>
      <c r="D116" s="1059" t="e">
        <f ca="1">BDH("BMBL US Equity","ARDR_FV_ASSETS_REC_LEVEL_2","FY 2019","FY 2019","Currency=USD","Period=FY","BEST_FPERIOD_OVERRIDE=FY","FILING_STATUS=MR","SCALING_FORMAT=MLN","Sort=A","Dates=H","DateFormat=P","Fill=—","Direction=H","UseDPDF=Y")</f>
        <v>#NAME?</v>
      </c>
      <c r="E116" s="1059" t="e">
        <f ca="1">BDH("BMBL US Equity","ARDR_FV_ASSETS_REC_LEVEL_2","FY 2020","FY 2020","Currency=USD","Period=FY","BEST_FPERIOD_OVERRIDE=FY","FILING_STATUS=MR","SCALING_FORMAT=MLN","Sort=A","Dates=H","DateFormat=P","Fill=—","Direction=H","UseDPDF=Y")</f>
        <v>#NAME?</v>
      </c>
      <c r="F116" s="1059" t="e">
        <f ca="1">BDH("BMBL US Equity","ARDR_FV_ASSETS_REC_LEVEL_2","FY 2021","FY 2021","Currency=USD","Period=FY","BEST_FPERIOD_OVERRIDE=FY","FILING_STATUS=MR","SCALING_FORMAT=MLN","Sort=A","Dates=H","DateFormat=P","Fill=—","Direction=H","UseDPDF=Y")</f>
        <v>#NAME?</v>
      </c>
      <c r="G116" s="1059" t="e">
        <f ca="1">BDH("BMBL US Equity","ARDR_FV_ASSETS_REC_LEVEL_2","FY 2022","FY 2022","Currency=USD","Period=FY","BEST_FPERIOD_OVERRIDE=FY","FILING_STATUS=MR","SCALING_FORMAT=MLN","Sort=A","Dates=H","DateFormat=P","Fill=—","Direction=H","UseDPDF=Y")</f>
        <v>#NAME?</v>
      </c>
      <c r="H116" s="1059" t="e">
        <f ca="1">BDH("BMBL US Equity","ARDR_FV_ASSETS_REC_LEVEL_2","FY 2023","FY 2023","Currency=USD","Period=FY","BEST_FPERIOD_OVERRIDE=FY","FILING_STATUS=MR","SCALING_FORMAT=MLN","Sort=A","Dates=H","DateFormat=P","Fill=—","Direction=H","UseDPDF=Y")</f>
        <v>#NAME?</v>
      </c>
    </row>
    <row r="117" spans="1:8">
      <c r="A117" s="1058" t="s">
        <v>203</v>
      </c>
      <c r="B117" s="1058" t="s">
        <v>204</v>
      </c>
      <c r="C117" s="1059" t="e">
        <f ca="1">BDH("BMBL US Equity","ARDR_FV_ASSETS_REC_LEVEL_3","FY 2018","FY 2018","Currency=USD","Period=FY","BEST_FPERIOD_OVERRIDE=FY","FILING_STATUS=MR","SCALING_FORMAT=MLN","Sort=A","Dates=H","DateFormat=P","Fill=—","Direction=H","UseDPDF=Y")</f>
        <v>#NAME?</v>
      </c>
      <c r="D117" s="1059" t="e">
        <f ca="1">BDH("BMBL US Equity","ARDR_FV_ASSETS_REC_LEVEL_3","FY 2019","FY 2019","Currency=USD","Period=FY","BEST_FPERIOD_OVERRIDE=FY","FILING_STATUS=MR","SCALING_FORMAT=MLN","Sort=A","Dates=H","DateFormat=P","Fill=—","Direction=H","UseDPDF=Y")</f>
        <v>#NAME?</v>
      </c>
      <c r="E117" s="1059" t="e">
        <f ca="1">BDH("BMBL US Equity","ARDR_FV_ASSETS_REC_LEVEL_3","FY 2020","FY 2020","Currency=USD","Period=FY","BEST_FPERIOD_OVERRIDE=FY","FILING_STATUS=MR","SCALING_FORMAT=MLN","Sort=A","Dates=H","DateFormat=P","Fill=—","Direction=H","UseDPDF=Y")</f>
        <v>#NAME?</v>
      </c>
      <c r="F117" s="1059" t="e">
        <f ca="1">BDH("BMBL US Equity","ARDR_FV_ASSETS_REC_LEVEL_3","FY 2021","FY 2021","Currency=USD","Period=FY","BEST_FPERIOD_OVERRIDE=FY","FILING_STATUS=MR","SCALING_FORMAT=MLN","Sort=A","Dates=H","DateFormat=P","Fill=—","Direction=H","UseDPDF=Y")</f>
        <v>#NAME?</v>
      </c>
      <c r="G117" s="1059" t="e">
        <f ca="1">BDH("BMBL US Equity","ARDR_FV_ASSETS_REC_LEVEL_3","FY 2022","FY 2022","Currency=USD","Period=FY","BEST_FPERIOD_OVERRIDE=FY","FILING_STATUS=MR","SCALING_FORMAT=MLN","Sort=A","Dates=H","DateFormat=P","Fill=—","Direction=H","UseDPDF=Y")</f>
        <v>#NAME?</v>
      </c>
      <c r="H117" s="1059" t="e">
        <f ca="1">BDH("BMBL US Equity","ARDR_FV_ASSETS_REC_LEVEL_3","FY 2023","FY 2023","Currency=USD","Period=FY","BEST_FPERIOD_OVERRIDE=FY","FILING_STATUS=MR","SCALING_FORMAT=MLN","Sort=A","Dates=H","DateFormat=P","Fill=—","Direction=H","UseDPDF=Y")</f>
        <v>#NAME?</v>
      </c>
    </row>
    <row r="118" spans="1:8">
      <c r="A118" s="1058" t="s">
        <v>205</v>
      </c>
      <c r="B118" s="1058" t="s">
        <v>206</v>
      </c>
      <c r="C118" s="1059" t="e">
        <f ca="1">BDH("BMBL US Equity","ARDR_FV_ASSETS_REC_TOTAL","FY 2018","FY 2018","Currency=USD","Period=FY","BEST_FPERIOD_OVERRIDE=FY","FILING_STATUS=MR","SCALING_FORMAT=MLN","Sort=A","Dates=H","DateFormat=P","Fill=—","Direction=H","UseDPDF=Y")</f>
        <v>#NAME?</v>
      </c>
      <c r="D118" s="1059" t="e">
        <f ca="1">BDH("BMBL US Equity","ARDR_FV_ASSETS_REC_TOTAL","FY 2019","FY 2019","Currency=USD","Period=FY","BEST_FPERIOD_OVERRIDE=FY","FILING_STATUS=MR","SCALING_FORMAT=MLN","Sort=A","Dates=H","DateFormat=P","Fill=—","Direction=H","UseDPDF=Y")</f>
        <v>#NAME?</v>
      </c>
      <c r="E118" s="1059" t="e">
        <f ca="1">BDH("BMBL US Equity","ARDR_FV_ASSETS_REC_TOTAL","FY 2020","FY 2020","Currency=USD","Period=FY","BEST_FPERIOD_OVERRIDE=FY","FILING_STATUS=MR","SCALING_FORMAT=MLN","Sort=A","Dates=H","DateFormat=P","Fill=—","Direction=H","UseDPDF=Y")</f>
        <v>#NAME?</v>
      </c>
      <c r="F118" s="1059" t="e">
        <f ca="1">BDH("BMBL US Equity","ARDR_FV_ASSETS_REC_TOTAL","FY 2021","FY 2021","Currency=USD","Period=FY","BEST_FPERIOD_OVERRIDE=FY","FILING_STATUS=MR","SCALING_FORMAT=MLN","Sort=A","Dates=H","DateFormat=P","Fill=—","Direction=H","UseDPDF=Y")</f>
        <v>#NAME?</v>
      </c>
      <c r="G118" s="1059" t="e">
        <f ca="1">BDH("BMBL US Equity","ARDR_FV_ASSETS_REC_TOTAL","FY 2022","FY 2022","Currency=USD","Period=FY","BEST_FPERIOD_OVERRIDE=FY","FILING_STATUS=MR","SCALING_FORMAT=MLN","Sort=A","Dates=H","DateFormat=P","Fill=—","Direction=H","UseDPDF=Y")</f>
        <v>#NAME?</v>
      </c>
      <c r="H118" s="1059" t="e">
        <f ca="1">BDH("BMBL US Equity","ARDR_FV_ASSETS_REC_TOTAL","FY 2023","FY 2023","Currency=USD","Period=FY","BEST_FPERIOD_OVERRIDE=FY","FILING_STATUS=MR","SCALING_FORMAT=MLN","Sort=A","Dates=H","DateFormat=P","Fill=—","Direction=H","UseDPDF=Y")</f>
        <v>#NAME?</v>
      </c>
    </row>
    <row r="119" spans="1:8">
      <c r="A119" s="1058" t="s">
        <v>207</v>
      </c>
      <c r="B119" s="1058" t="s">
        <v>208</v>
      </c>
      <c r="C119" s="1059" t="e">
        <f ca="1">BDH("BMBL US Equity","ARDR_FV_LIAB_REC_LEVEL_1","FY 2018","FY 2018","Currency=USD","Period=FY","BEST_FPERIOD_OVERRIDE=FY","FILING_STATUS=MR","SCALING_FORMAT=MLN","Sort=A","Dates=H","DateFormat=P","Fill=—","Direction=H","UseDPDF=Y")</f>
        <v>#NAME?</v>
      </c>
      <c r="D119" s="1059" t="e">
        <f ca="1">BDH("BMBL US Equity","ARDR_FV_LIAB_REC_LEVEL_1","FY 2019","FY 2019","Currency=USD","Period=FY","BEST_FPERIOD_OVERRIDE=FY","FILING_STATUS=MR","SCALING_FORMAT=MLN","Sort=A","Dates=H","DateFormat=P","Fill=—","Direction=H","UseDPDF=Y")</f>
        <v>#NAME?</v>
      </c>
      <c r="E119" s="1059" t="e">
        <f ca="1">BDH("BMBL US Equity","ARDR_FV_LIAB_REC_LEVEL_1","FY 2020","FY 2020","Currency=USD","Period=FY","BEST_FPERIOD_OVERRIDE=FY","FILING_STATUS=MR","SCALING_FORMAT=MLN","Sort=A","Dates=H","DateFormat=P","Fill=—","Direction=H","UseDPDF=Y")</f>
        <v>#NAME?</v>
      </c>
      <c r="F119" s="1059" t="e">
        <f ca="1">BDH("BMBL US Equity","ARDR_FV_LIAB_REC_LEVEL_1","FY 2021","FY 2021","Currency=USD","Period=FY","BEST_FPERIOD_OVERRIDE=FY","FILING_STATUS=MR","SCALING_FORMAT=MLN","Sort=A","Dates=H","DateFormat=P","Fill=—","Direction=H","UseDPDF=Y")</f>
        <v>#NAME?</v>
      </c>
      <c r="G119" s="1059" t="e">
        <f ca="1">BDH("BMBL US Equity","ARDR_FV_LIAB_REC_LEVEL_1","FY 2022","FY 2022","Currency=USD","Period=FY","BEST_FPERIOD_OVERRIDE=FY","FILING_STATUS=MR","SCALING_FORMAT=MLN","Sort=A","Dates=H","DateFormat=P","Fill=—","Direction=H","UseDPDF=Y")</f>
        <v>#NAME?</v>
      </c>
      <c r="H119" s="1059" t="e">
        <f ca="1">BDH("BMBL US Equity","ARDR_FV_LIAB_REC_LEVEL_1","FY 2023","FY 2023","Currency=USD","Period=FY","BEST_FPERIOD_OVERRIDE=FY","FILING_STATUS=MR","SCALING_FORMAT=MLN","Sort=A","Dates=H","DateFormat=P","Fill=—","Direction=H","UseDPDF=Y")</f>
        <v>#NAME?</v>
      </c>
    </row>
    <row r="120" spans="1:8">
      <c r="A120" s="1058" t="s">
        <v>209</v>
      </c>
      <c r="B120" s="1058" t="s">
        <v>210</v>
      </c>
      <c r="C120" s="1059" t="e">
        <f ca="1">BDH("BMBL US Equity","ARDR_FV_LIAB_REC_LEVEL_2","FY 2018","FY 2018","Currency=USD","Period=FY","BEST_FPERIOD_OVERRIDE=FY","FILING_STATUS=MR","SCALING_FORMAT=MLN","Sort=A","Dates=H","DateFormat=P","Fill=—","Direction=H","UseDPDF=Y")</f>
        <v>#NAME?</v>
      </c>
      <c r="D120" s="1059" t="e">
        <f ca="1">BDH("BMBL US Equity","ARDR_FV_LIAB_REC_LEVEL_2","FY 2019","FY 2019","Currency=USD","Period=FY","BEST_FPERIOD_OVERRIDE=FY","FILING_STATUS=MR","SCALING_FORMAT=MLN","Sort=A","Dates=H","DateFormat=P","Fill=—","Direction=H","UseDPDF=Y")</f>
        <v>#NAME?</v>
      </c>
      <c r="E120" s="1059" t="e">
        <f ca="1">BDH("BMBL US Equity","ARDR_FV_LIAB_REC_LEVEL_2","FY 2020","FY 2020","Currency=USD","Period=FY","BEST_FPERIOD_OVERRIDE=FY","FILING_STATUS=MR","SCALING_FORMAT=MLN","Sort=A","Dates=H","DateFormat=P","Fill=—","Direction=H","UseDPDF=Y")</f>
        <v>#NAME?</v>
      </c>
      <c r="F120" s="1059" t="e">
        <f ca="1">BDH("BMBL US Equity","ARDR_FV_LIAB_REC_LEVEL_2","FY 2021","FY 2021","Currency=USD","Period=FY","BEST_FPERIOD_OVERRIDE=FY","FILING_STATUS=MR","SCALING_FORMAT=MLN","Sort=A","Dates=H","DateFormat=P","Fill=—","Direction=H","UseDPDF=Y")</f>
        <v>#NAME?</v>
      </c>
      <c r="G120" s="1059" t="e">
        <f ca="1">BDH("BMBL US Equity","ARDR_FV_LIAB_REC_LEVEL_2","FY 2022","FY 2022","Currency=USD","Period=FY","BEST_FPERIOD_OVERRIDE=FY","FILING_STATUS=MR","SCALING_FORMAT=MLN","Sort=A","Dates=H","DateFormat=P","Fill=—","Direction=H","UseDPDF=Y")</f>
        <v>#NAME?</v>
      </c>
      <c r="H120" s="1059" t="e">
        <f ca="1">BDH("BMBL US Equity","ARDR_FV_LIAB_REC_LEVEL_2","FY 2023","FY 2023","Currency=USD","Period=FY","BEST_FPERIOD_OVERRIDE=FY","FILING_STATUS=MR","SCALING_FORMAT=MLN","Sort=A","Dates=H","DateFormat=P","Fill=—","Direction=H","UseDPDF=Y")</f>
        <v>#NAME?</v>
      </c>
    </row>
    <row r="121" spans="1:8">
      <c r="A121" s="1058" t="s">
        <v>211</v>
      </c>
      <c r="B121" s="1058" t="s">
        <v>212</v>
      </c>
      <c r="C121" s="1059" t="e">
        <f ca="1">BDH("BMBL US Equity","ARDR_FV_LIAB_REC_LEVEL_3","FY 2018","FY 2018","Currency=USD","Period=FY","BEST_FPERIOD_OVERRIDE=FY","FILING_STATUS=MR","SCALING_FORMAT=MLN","Sort=A","Dates=H","DateFormat=P","Fill=—","Direction=H","UseDPDF=Y")</f>
        <v>#NAME?</v>
      </c>
      <c r="D121" s="1059" t="e">
        <f ca="1">BDH("BMBL US Equity","ARDR_FV_LIAB_REC_LEVEL_3","FY 2019","FY 2019","Currency=USD","Period=FY","BEST_FPERIOD_OVERRIDE=FY","FILING_STATUS=MR","SCALING_FORMAT=MLN","Sort=A","Dates=H","DateFormat=P","Fill=—","Direction=H","UseDPDF=Y")</f>
        <v>#NAME?</v>
      </c>
      <c r="E121" s="1059" t="e">
        <f ca="1">BDH("BMBL US Equity","ARDR_FV_LIAB_REC_LEVEL_3","FY 2020","FY 2020","Currency=USD","Period=FY","BEST_FPERIOD_OVERRIDE=FY","FILING_STATUS=MR","SCALING_FORMAT=MLN","Sort=A","Dates=H","DateFormat=P","Fill=—","Direction=H","UseDPDF=Y")</f>
        <v>#NAME?</v>
      </c>
      <c r="F121" s="1059" t="e">
        <f ca="1">BDH("BMBL US Equity","ARDR_FV_LIAB_REC_LEVEL_3","FY 2021","FY 2021","Currency=USD","Period=FY","BEST_FPERIOD_OVERRIDE=FY","FILING_STATUS=MR","SCALING_FORMAT=MLN","Sort=A","Dates=H","DateFormat=P","Fill=—","Direction=H","UseDPDF=Y")</f>
        <v>#NAME?</v>
      </c>
      <c r="G121" s="1059" t="e">
        <f ca="1">BDH("BMBL US Equity","ARDR_FV_LIAB_REC_LEVEL_3","FY 2022","FY 2022","Currency=USD","Period=FY","BEST_FPERIOD_OVERRIDE=FY","FILING_STATUS=MR","SCALING_FORMAT=MLN","Sort=A","Dates=H","DateFormat=P","Fill=—","Direction=H","UseDPDF=Y")</f>
        <v>#NAME?</v>
      </c>
      <c r="H121" s="1059" t="e">
        <f ca="1">BDH("BMBL US Equity","ARDR_FV_LIAB_REC_LEVEL_3","FY 2023","FY 2023","Currency=USD","Period=FY","BEST_FPERIOD_OVERRIDE=FY","FILING_STATUS=MR","SCALING_FORMAT=MLN","Sort=A","Dates=H","DateFormat=P","Fill=—","Direction=H","UseDPDF=Y")</f>
        <v>#NAME?</v>
      </c>
    </row>
    <row r="122" spans="1:8">
      <c r="A122" s="1058" t="s">
        <v>213</v>
      </c>
      <c r="B122" s="1058" t="s">
        <v>214</v>
      </c>
      <c r="C122" s="1059" t="e">
        <f ca="1">BDH("BMBL US Equity","ARDR_FV_LIAB_REC_TOTAL","FY 2018","FY 2018","Currency=USD","Period=FY","BEST_FPERIOD_OVERRIDE=FY","FILING_STATUS=MR","SCALING_FORMAT=MLN","Sort=A","Dates=H","DateFormat=P","Fill=—","Direction=H","UseDPDF=Y")</f>
        <v>#NAME?</v>
      </c>
      <c r="D122" s="1059" t="e">
        <f ca="1">BDH("BMBL US Equity","ARDR_FV_LIAB_REC_TOTAL","FY 2019","FY 2019","Currency=USD","Period=FY","BEST_FPERIOD_OVERRIDE=FY","FILING_STATUS=MR","SCALING_FORMAT=MLN","Sort=A","Dates=H","DateFormat=P","Fill=—","Direction=H","UseDPDF=Y")</f>
        <v>#NAME?</v>
      </c>
      <c r="E122" s="1059" t="e">
        <f ca="1">BDH("BMBL US Equity","ARDR_FV_LIAB_REC_TOTAL","FY 2020","FY 2020","Currency=USD","Period=FY","BEST_FPERIOD_OVERRIDE=FY","FILING_STATUS=MR","SCALING_FORMAT=MLN","Sort=A","Dates=H","DateFormat=P","Fill=—","Direction=H","UseDPDF=Y")</f>
        <v>#NAME?</v>
      </c>
      <c r="F122" s="1059" t="e">
        <f ca="1">BDH("BMBL US Equity","ARDR_FV_LIAB_REC_TOTAL","FY 2021","FY 2021","Currency=USD","Period=FY","BEST_FPERIOD_OVERRIDE=FY","FILING_STATUS=MR","SCALING_FORMAT=MLN","Sort=A","Dates=H","DateFormat=P","Fill=—","Direction=H","UseDPDF=Y")</f>
        <v>#NAME?</v>
      </c>
      <c r="G122" s="1059" t="e">
        <f ca="1">BDH("BMBL US Equity","ARDR_FV_LIAB_REC_TOTAL","FY 2022","FY 2022","Currency=USD","Period=FY","BEST_FPERIOD_OVERRIDE=FY","FILING_STATUS=MR","SCALING_FORMAT=MLN","Sort=A","Dates=H","DateFormat=P","Fill=—","Direction=H","UseDPDF=Y")</f>
        <v>#NAME?</v>
      </c>
      <c r="H122" s="1059" t="e">
        <f ca="1">BDH("BMBL US Equity","ARDR_FV_LIAB_REC_TOTAL","FY 2023","FY 2023","Currency=USD","Period=FY","BEST_FPERIOD_OVERRIDE=FY","FILING_STATUS=MR","SCALING_FORMAT=MLN","Sort=A","Dates=H","DateFormat=P","Fill=—","Direction=H","UseDPDF=Y")</f>
        <v>#NAME?</v>
      </c>
    </row>
    <row r="123" spans="1:8">
      <c r="A123" s="1058" t="s">
        <v>215</v>
      </c>
      <c r="B123" s="1058" t="s">
        <v>216</v>
      </c>
      <c r="C123" s="1059" t="e">
        <f ca="1">BDH("BMBL US Equity","ARDR_OPTIONS_CANCELLED_FORFEITED","FY 2018","FY 2018","Currency=USD","Period=FY","BEST_FPERIOD_OVERRIDE=FY","FILING_STATUS=MR","SCALING_FORMAT=MLN","Sort=A","Dates=H","DateFormat=P","Fill=—","Direction=H","UseDPDF=Y")</f>
        <v>#NAME?</v>
      </c>
      <c r="D123" s="1059" t="e">
        <f ca="1">BDH("BMBL US Equity","ARDR_OPTIONS_CANCELLED_FORFEITED","FY 2019","FY 2019","Currency=USD","Period=FY","BEST_FPERIOD_OVERRIDE=FY","FILING_STATUS=MR","SCALING_FORMAT=MLN","Sort=A","Dates=H","DateFormat=P","Fill=—","Direction=H","UseDPDF=Y")</f>
        <v>#NAME?</v>
      </c>
      <c r="E123" s="1059" t="e">
        <f ca="1">BDH("BMBL US Equity","ARDR_OPTIONS_CANCELLED_FORFEITED","FY 2020","FY 2020","Currency=USD","Period=FY","BEST_FPERIOD_OVERRIDE=FY","FILING_STATUS=MR","SCALING_FORMAT=MLN","Sort=A","Dates=H","DateFormat=P","Fill=—","Direction=H","UseDPDF=Y")</f>
        <v>#NAME?</v>
      </c>
      <c r="F123" s="1059" t="e">
        <f ca="1">BDH("BMBL US Equity","ARDR_OPTIONS_CANCELLED_FORFEITED","FY 2021","FY 2021","Currency=USD","Period=FY","BEST_FPERIOD_OVERRIDE=FY","FILING_STATUS=MR","SCALING_FORMAT=MLN","Sort=A","Dates=H","DateFormat=P","Fill=—","Direction=H","UseDPDF=Y")</f>
        <v>#NAME?</v>
      </c>
      <c r="G123" s="1059" t="e">
        <f ca="1">BDH("BMBL US Equity","ARDR_OPTIONS_CANCELLED_FORFEITED","FY 2022","FY 2022","Currency=USD","Period=FY","BEST_FPERIOD_OVERRIDE=FY","FILING_STATUS=MR","SCALING_FORMAT=MLN","Sort=A","Dates=H","DateFormat=P","Fill=—","Direction=H","UseDPDF=Y")</f>
        <v>#NAME?</v>
      </c>
      <c r="H123" s="1059" t="e">
        <f ca="1">BDH("BMBL US Equity","ARDR_OPTIONS_CANCELLED_FORFEITED","FY 2023","FY 2023","Currency=USD","Period=FY","BEST_FPERIOD_OVERRIDE=FY","FILING_STATUS=MR","SCALING_FORMAT=MLN","Sort=A","Dates=H","DateFormat=P","Fill=—","Direction=H","UseDPDF=Y")</f>
        <v>#NAME?</v>
      </c>
    </row>
    <row r="124" spans="1:8">
      <c r="A124" s="1058" t="s">
        <v>217</v>
      </c>
      <c r="B124" s="1058" t="s">
        <v>218</v>
      </c>
      <c r="C124" s="1059" t="e">
        <f ca="1">BDH("BMBL US Equity","ARDR_CONTRACTUAL_OBLIG_YEAR_1","FY 2018","FY 2018","Currency=USD","Period=FY","BEST_FPERIOD_OVERRIDE=FY","FILING_STATUS=MR","SCALING_FORMAT=MLN","Sort=A","Dates=H","DateFormat=P","Fill=—","Direction=H","UseDPDF=Y")</f>
        <v>#NAME?</v>
      </c>
      <c r="D124" s="1059" t="e">
        <f ca="1">BDH("BMBL US Equity","ARDR_CONTRACTUAL_OBLIG_YEAR_1","FY 2019","FY 2019","Currency=USD","Period=FY","BEST_FPERIOD_OVERRIDE=FY","FILING_STATUS=MR","SCALING_FORMAT=MLN","Sort=A","Dates=H","DateFormat=P","Fill=—","Direction=H","UseDPDF=Y")</f>
        <v>#NAME?</v>
      </c>
      <c r="E124" s="1059" t="e">
        <f ca="1">BDH("BMBL US Equity","ARDR_CONTRACTUAL_OBLIG_YEAR_1","FY 2020","FY 2020","Currency=USD","Period=FY","BEST_FPERIOD_OVERRIDE=FY","FILING_STATUS=MR","SCALING_FORMAT=MLN","Sort=A","Dates=H","DateFormat=P","Fill=—","Direction=H","UseDPDF=Y")</f>
        <v>#NAME?</v>
      </c>
      <c r="F124" s="1059" t="e">
        <f ca="1">BDH("BMBL US Equity","ARDR_CONTRACTUAL_OBLIG_YEAR_1","FY 2021","FY 2021","Currency=USD","Period=FY","BEST_FPERIOD_OVERRIDE=FY","FILING_STATUS=MR","SCALING_FORMAT=MLN","Sort=A","Dates=H","DateFormat=P","Fill=—","Direction=H","UseDPDF=Y")</f>
        <v>#NAME?</v>
      </c>
      <c r="G124" s="1059" t="e">
        <f ca="1">BDH("BMBL US Equity","ARDR_CONTRACTUAL_OBLIG_YEAR_1","FY 2022","FY 2022","Currency=USD","Period=FY","BEST_FPERIOD_OVERRIDE=FY","FILING_STATUS=MR","SCALING_FORMAT=MLN","Sort=A","Dates=H","DateFormat=P","Fill=—","Direction=H","UseDPDF=Y")</f>
        <v>#NAME?</v>
      </c>
      <c r="H124" s="1059" t="e">
        <f ca="1">BDH("BMBL US Equity","ARDR_CONTRACTUAL_OBLIG_YEAR_1","FY 2023","FY 2023","Currency=USD","Period=FY","BEST_FPERIOD_OVERRIDE=FY","FILING_STATUS=MR","SCALING_FORMAT=MLN","Sort=A","Dates=H","DateFormat=P","Fill=—","Direction=H","UseDPDF=Y")</f>
        <v>#NAME?</v>
      </c>
    </row>
    <row r="125" spans="1:8">
      <c r="A125" s="1058" t="s">
        <v>219</v>
      </c>
      <c r="B125" s="1058" t="s">
        <v>220</v>
      </c>
      <c r="C125" s="1059" t="e">
        <f ca="1">BDH("BMBL US Equity","ARDR_CONTRACTUAL_OBLIG_YEAR_2_3","FY 2018","FY 2018","Currency=USD","Period=FY","BEST_FPERIOD_OVERRIDE=FY","FILING_STATUS=MR","SCALING_FORMAT=MLN","Sort=A","Dates=H","DateFormat=P","Fill=—","Direction=H","UseDPDF=Y")</f>
        <v>#NAME?</v>
      </c>
      <c r="D125" s="1059" t="e">
        <f ca="1">BDH("BMBL US Equity","ARDR_CONTRACTUAL_OBLIG_YEAR_2_3","FY 2019","FY 2019","Currency=USD","Period=FY","BEST_FPERIOD_OVERRIDE=FY","FILING_STATUS=MR","SCALING_FORMAT=MLN","Sort=A","Dates=H","DateFormat=P","Fill=—","Direction=H","UseDPDF=Y")</f>
        <v>#NAME?</v>
      </c>
      <c r="E125" s="1059" t="e">
        <f ca="1">BDH("BMBL US Equity","ARDR_CONTRACTUAL_OBLIG_YEAR_2_3","FY 2020","FY 2020","Currency=USD","Period=FY","BEST_FPERIOD_OVERRIDE=FY","FILING_STATUS=MR","SCALING_FORMAT=MLN","Sort=A","Dates=H","DateFormat=P","Fill=—","Direction=H","UseDPDF=Y")</f>
        <v>#NAME?</v>
      </c>
      <c r="F125" s="1059" t="e">
        <f ca="1">BDH("BMBL US Equity","ARDR_CONTRACTUAL_OBLIG_YEAR_2_3","FY 2021","FY 2021","Currency=USD","Period=FY","BEST_FPERIOD_OVERRIDE=FY","FILING_STATUS=MR","SCALING_FORMAT=MLN","Sort=A","Dates=H","DateFormat=P","Fill=—","Direction=H","UseDPDF=Y")</f>
        <v>#NAME?</v>
      </c>
      <c r="G125" s="1059" t="e">
        <f ca="1">BDH("BMBL US Equity","ARDR_CONTRACTUAL_OBLIG_YEAR_2_3","FY 2022","FY 2022","Currency=USD","Period=FY","BEST_FPERIOD_OVERRIDE=FY","FILING_STATUS=MR","SCALING_FORMAT=MLN","Sort=A","Dates=H","DateFormat=P","Fill=—","Direction=H","UseDPDF=Y")</f>
        <v>#NAME?</v>
      </c>
      <c r="H125" s="1059" t="e">
        <f ca="1">BDH("BMBL US Equity","ARDR_CONTRACTUAL_OBLIG_YEAR_2_3","FY 2023","FY 2023","Currency=USD","Period=FY","BEST_FPERIOD_OVERRIDE=FY","FILING_STATUS=MR","SCALING_FORMAT=MLN","Sort=A","Dates=H","DateFormat=P","Fill=—","Direction=H","UseDPDF=Y")</f>
        <v>#NAME?</v>
      </c>
    </row>
    <row r="126" spans="1:8">
      <c r="A126" s="1058" t="s">
        <v>221</v>
      </c>
      <c r="B126" s="1058" t="s">
        <v>222</v>
      </c>
      <c r="C126" s="1059" t="e">
        <f ca="1">BDH("BMBL US Equity","ARDR_CONTRACTUAL_OBLIG_YEAR_4_5","FY 2018","FY 2018","Currency=USD","Period=FY","BEST_FPERIOD_OVERRIDE=FY","FILING_STATUS=MR","SCALING_FORMAT=MLN","Sort=A","Dates=H","DateFormat=P","Fill=—","Direction=H","UseDPDF=Y")</f>
        <v>#NAME?</v>
      </c>
      <c r="D126" s="1059" t="e">
        <f ca="1">BDH("BMBL US Equity","ARDR_CONTRACTUAL_OBLIG_YEAR_4_5","FY 2019","FY 2019","Currency=USD","Period=FY","BEST_FPERIOD_OVERRIDE=FY","FILING_STATUS=MR","SCALING_FORMAT=MLN","Sort=A","Dates=H","DateFormat=P","Fill=—","Direction=H","UseDPDF=Y")</f>
        <v>#NAME?</v>
      </c>
      <c r="E126" s="1059" t="e">
        <f ca="1">BDH("BMBL US Equity","ARDR_CONTRACTUAL_OBLIG_YEAR_4_5","FY 2020","FY 2020","Currency=USD","Period=FY","BEST_FPERIOD_OVERRIDE=FY","FILING_STATUS=MR","SCALING_FORMAT=MLN","Sort=A","Dates=H","DateFormat=P","Fill=—","Direction=H","UseDPDF=Y")</f>
        <v>#NAME?</v>
      </c>
      <c r="F126" s="1059" t="e">
        <f ca="1">BDH("BMBL US Equity","ARDR_CONTRACTUAL_OBLIG_YEAR_4_5","FY 2021","FY 2021","Currency=USD","Period=FY","BEST_FPERIOD_OVERRIDE=FY","FILING_STATUS=MR","SCALING_FORMAT=MLN","Sort=A","Dates=H","DateFormat=P","Fill=—","Direction=H","UseDPDF=Y")</f>
        <v>#NAME?</v>
      </c>
      <c r="G126" s="1059" t="e">
        <f ca="1">BDH("BMBL US Equity","ARDR_CONTRACTUAL_OBLIG_YEAR_4_5","FY 2022","FY 2022","Currency=USD","Period=FY","BEST_FPERIOD_OVERRIDE=FY","FILING_STATUS=MR","SCALING_FORMAT=MLN","Sort=A","Dates=H","DateFormat=P","Fill=—","Direction=H","UseDPDF=Y")</f>
        <v>#NAME?</v>
      </c>
      <c r="H126" s="1059" t="e">
        <f ca="1">BDH("BMBL US Equity","ARDR_CONTRACTUAL_OBLIG_YEAR_4_5","FY 2023","FY 2023","Currency=USD","Period=FY","BEST_FPERIOD_OVERRIDE=FY","FILING_STATUS=MR","SCALING_FORMAT=MLN","Sort=A","Dates=H","DateFormat=P","Fill=—","Direction=H","UseDPDF=Y")</f>
        <v>#NAME?</v>
      </c>
    </row>
    <row r="127" spans="1:8">
      <c r="A127" s="1058" t="s">
        <v>223</v>
      </c>
      <c r="B127" s="1058" t="s">
        <v>224</v>
      </c>
      <c r="C127" s="1059" t="e">
        <f ca="1">BDH("BMBL US Equity","ARDR_CONT_OBLIG_BEYOND_YEAR_5","FY 2018","FY 2018","Currency=USD","Period=FY","BEST_FPERIOD_OVERRIDE=FY","FILING_STATUS=MR","SCALING_FORMAT=MLN","Sort=A","Dates=H","DateFormat=P","Fill=—","Direction=H","UseDPDF=Y")</f>
        <v>#NAME?</v>
      </c>
      <c r="D127" s="1059" t="e">
        <f ca="1">BDH("BMBL US Equity","ARDR_CONT_OBLIG_BEYOND_YEAR_5","FY 2019","FY 2019","Currency=USD","Period=FY","BEST_FPERIOD_OVERRIDE=FY","FILING_STATUS=MR","SCALING_FORMAT=MLN","Sort=A","Dates=H","DateFormat=P","Fill=—","Direction=H","UseDPDF=Y")</f>
        <v>#NAME?</v>
      </c>
      <c r="E127" s="1059" t="e">
        <f ca="1">BDH("BMBL US Equity","ARDR_CONT_OBLIG_BEYOND_YEAR_5","FY 2020","FY 2020","Currency=USD","Period=FY","BEST_FPERIOD_OVERRIDE=FY","FILING_STATUS=MR","SCALING_FORMAT=MLN","Sort=A","Dates=H","DateFormat=P","Fill=—","Direction=H","UseDPDF=Y")</f>
        <v>#NAME?</v>
      </c>
      <c r="F127" s="1059" t="e">
        <f ca="1">BDH("BMBL US Equity","ARDR_CONT_OBLIG_BEYOND_YEAR_5","FY 2021","FY 2021","Currency=USD","Period=FY","BEST_FPERIOD_OVERRIDE=FY","FILING_STATUS=MR","SCALING_FORMAT=MLN","Sort=A","Dates=H","DateFormat=P","Fill=—","Direction=H","UseDPDF=Y")</f>
        <v>#NAME?</v>
      </c>
      <c r="G127" s="1059" t="e">
        <f ca="1">BDH("BMBL US Equity","ARDR_CONT_OBLIG_BEYOND_YEAR_5","FY 2022","FY 2022","Currency=USD","Period=FY","BEST_FPERIOD_OVERRIDE=FY","FILING_STATUS=MR","SCALING_FORMAT=MLN","Sort=A","Dates=H","DateFormat=P","Fill=—","Direction=H","UseDPDF=Y")</f>
        <v>#NAME?</v>
      </c>
      <c r="H127" s="1059" t="e">
        <f ca="1">BDH("BMBL US Equity","ARDR_CONT_OBLIG_BEYOND_YEAR_5","FY 2023","FY 2023","Currency=USD","Period=FY","BEST_FPERIOD_OVERRIDE=FY","FILING_STATUS=MR","SCALING_FORMAT=MLN","Sort=A","Dates=H","DateFormat=P","Fill=—","Direction=H","UseDPDF=Y")</f>
        <v>#NAME?</v>
      </c>
    </row>
    <row r="128" spans="1:8">
      <c r="A128" s="1058" t="s">
        <v>225</v>
      </c>
      <c r="B128" s="1058" t="s">
        <v>226</v>
      </c>
      <c r="C128" s="1059" t="e">
        <f ca="1">BDH("BMBL US Equity","ARDR_CONTRACTUAL_OBLIG_TOTAL","FY 2018","FY 2018","Currency=USD","Period=FY","BEST_FPERIOD_OVERRIDE=FY","FILING_STATUS=MR","SCALING_FORMAT=MLN","Sort=A","Dates=H","DateFormat=P","Fill=—","Direction=H","UseDPDF=Y")</f>
        <v>#NAME?</v>
      </c>
      <c r="D128" s="1059" t="e">
        <f ca="1">BDH("BMBL US Equity","ARDR_CONTRACTUAL_OBLIG_TOTAL","FY 2019","FY 2019","Currency=USD","Period=FY","BEST_FPERIOD_OVERRIDE=FY","FILING_STATUS=MR","SCALING_FORMAT=MLN","Sort=A","Dates=H","DateFormat=P","Fill=—","Direction=H","UseDPDF=Y")</f>
        <v>#NAME?</v>
      </c>
      <c r="E128" s="1059" t="e">
        <f ca="1">BDH("BMBL US Equity","ARDR_CONTRACTUAL_OBLIG_TOTAL","FY 2020","FY 2020","Currency=USD","Period=FY","BEST_FPERIOD_OVERRIDE=FY","FILING_STATUS=MR","SCALING_FORMAT=MLN","Sort=A","Dates=H","DateFormat=P","Fill=—","Direction=H","UseDPDF=Y")</f>
        <v>#NAME?</v>
      </c>
      <c r="F128" s="1059" t="e">
        <f ca="1">BDH("BMBL US Equity","ARDR_CONTRACTUAL_OBLIG_TOTAL","FY 2021","FY 2021","Currency=USD","Period=FY","BEST_FPERIOD_OVERRIDE=FY","FILING_STATUS=MR","SCALING_FORMAT=MLN","Sort=A","Dates=H","DateFormat=P","Fill=—","Direction=H","UseDPDF=Y")</f>
        <v>#NAME?</v>
      </c>
      <c r="G128" s="1059" t="e">
        <f ca="1">BDH("BMBL US Equity","ARDR_CONTRACTUAL_OBLIG_TOTAL","FY 2022","FY 2022","Currency=USD","Period=FY","BEST_FPERIOD_OVERRIDE=FY","FILING_STATUS=MR","SCALING_FORMAT=MLN","Sort=A","Dates=H","DateFormat=P","Fill=—","Direction=H","UseDPDF=Y")</f>
        <v>#NAME?</v>
      </c>
      <c r="H128" s="1059" t="e">
        <f ca="1">BDH("BMBL US Equity","ARDR_CONTRACTUAL_OBLIG_TOTAL","FY 2023","FY 2023","Currency=USD","Period=FY","BEST_FPERIOD_OVERRIDE=FY","FILING_STATUS=MR","SCALING_FORMAT=MLN","Sort=A","Dates=H","DateFormat=P","Fill=—","Direction=H","UseDPDF=Y")</f>
        <v>#NAME?</v>
      </c>
    </row>
    <row r="129" spans="1:8">
      <c r="A129" s="1058" t="s">
        <v>227</v>
      </c>
      <c r="B129" s="1058" t="s">
        <v>228</v>
      </c>
      <c r="C129" s="1059" t="e">
        <f ca="1">BDH("BMBL US Equity","ARDR_PV_FUTURE_MIN_OP_LEASE_OBL","FY 2018","FY 2018","Currency=USD","Period=FY","BEST_FPERIOD_OVERRIDE=FY","FILING_STATUS=MR","SCALING_FORMAT=MLN","Sort=A","Dates=H","DateFormat=P","Fill=—","Direction=H","UseDPDF=Y")</f>
        <v>#NAME?</v>
      </c>
      <c r="D129" s="1059" t="e">
        <f ca="1">BDH("BMBL US Equity","ARDR_PV_FUTURE_MIN_OP_LEASE_OBL","FY 2019","FY 2019","Currency=USD","Period=FY","BEST_FPERIOD_OVERRIDE=FY","FILING_STATUS=MR","SCALING_FORMAT=MLN","Sort=A","Dates=H","DateFormat=P","Fill=—","Direction=H","UseDPDF=Y")</f>
        <v>#NAME?</v>
      </c>
      <c r="E129" s="1059" t="e">
        <f ca="1">BDH("BMBL US Equity","ARDR_PV_FUTURE_MIN_OP_LEASE_OBL","FY 2020","FY 2020","Currency=USD","Period=FY","BEST_FPERIOD_OVERRIDE=FY","FILING_STATUS=MR","SCALING_FORMAT=MLN","Sort=A","Dates=H","DateFormat=P","Fill=—","Direction=H","UseDPDF=Y")</f>
        <v>#NAME?</v>
      </c>
      <c r="F129" s="1059" t="e">
        <f ca="1">BDH("BMBL US Equity","ARDR_PV_FUTURE_MIN_OP_LEASE_OBL","FY 2021","FY 2021","Currency=USD","Period=FY","BEST_FPERIOD_OVERRIDE=FY","FILING_STATUS=MR","SCALING_FORMAT=MLN","Sort=A","Dates=H","DateFormat=P","Fill=—","Direction=H","UseDPDF=Y")</f>
        <v>#NAME?</v>
      </c>
      <c r="G129" s="1059" t="e">
        <f ca="1">BDH("BMBL US Equity","ARDR_PV_FUTURE_MIN_OP_LEASE_OBL","FY 2022","FY 2022","Currency=USD","Period=FY","BEST_FPERIOD_OVERRIDE=FY","FILING_STATUS=MR","SCALING_FORMAT=MLN","Sort=A","Dates=H","DateFormat=P","Fill=—","Direction=H","UseDPDF=Y")</f>
        <v>#NAME?</v>
      </c>
      <c r="H129" s="1059" t="e">
        <f ca="1">BDH("BMBL US Equity","ARDR_PV_FUTURE_MIN_OP_LEASE_OBL","FY 2023","FY 2023","Currency=USD","Period=FY","BEST_FPERIOD_OVERRIDE=FY","FILING_STATUS=MR","SCALING_FORMAT=MLN","Sort=A","Dates=H","DateFormat=P","Fill=—","Direction=H","UseDPDF=Y")</f>
        <v>#NAME?</v>
      </c>
    </row>
    <row r="130" spans="1:8">
      <c r="A130" s="1058" t="s">
        <v>229</v>
      </c>
      <c r="B130" s="1058" t="s">
        <v>230</v>
      </c>
      <c r="C130" s="1057" t="e">
        <f ca="1">BDH("BMBL US Equity","ARDR_WEI_AVG_COST_OPTIONS_GRANT","FY 2018","FY 2018","Currency=USD","Period=FY","BEST_FPERIOD_OVERRIDE=FY","FILING_STATUS=MR","Sort=A","Dates=H","DateFormat=P","Fill=—","Direction=H","UseDPDF=Y")</f>
        <v>#NAME?</v>
      </c>
      <c r="D130" s="1057" t="e">
        <f ca="1">BDH("BMBL US Equity","ARDR_WEI_AVG_COST_OPTIONS_GRANT","FY 2019","FY 2019","Currency=USD","Period=FY","BEST_FPERIOD_OVERRIDE=FY","FILING_STATUS=MR","Sort=A","Dates=H","DateFormat=P","Fill=—","Direction=H","UseDPDF=Y")</f>
        <v>#NAME?</v>
      </c>
      <c r="E130" s="1057" t="e">
        <f ca="1">BDH("BMBL US Equity","ARDR_WEI_AVG_COST_OPTIONS_GRANT","FY 2020","FY 2020","Currency=USD","Period=FY","BEST_FPERIOD_OVERRIDE=FY","FILING_STATUS=MR","Sort=A","Dates=H","DateFormat=P","Fill=—","Direction=H","UseDPDF=Y")</f>
        <v>#NAME?</v>
      </c>
      <c r="F130" s="1057" t="e">
        <f ca="1">BDH("BMBL US Equity","ARDR_WEI_AVG_COST_OPTIONS_GRANT","FY 2021","FY 2021","Currency=USD","Period=FY","BEST_FPERIOD_OVERRIDE=FY","FILING_STATUS=MR","Sort=A","Dates=H","DateFormat=P","Fill=—","Direction=H","UseDPDF=Y")</f>
        <v>#NAME?</v>
      </c>
      <c r="G130" s="1057" t="e">
        <f ca="1">BDH("BMBL US Equity","ARDR_WEI_AVG_COST_OPTIONS_GRANT","FY 2022","FY 2022","Currency=USD","Period=FY","BEST_FPERIOD_OVERRIDE=FY","FILING_STATUS=MR","Sort=A","Dates=H","DateFormat=P","Fill=—","Direction=H","UseDPDF=Y")</f>
        <v>#NAME?</v>
      </c>
      <c r="H130" s="1057" t="e">
        <f ca="1">BDH("BMBL US Equity","ARDR_WEI_AVG_COST_OPTIONS_GRANT","FY 2023","FY 2023","Currency=USD","Period=FY","BEST_FPERIOD_OVERRIDE=FY","FILING_STATUS=MR","Sort=A","Dates=H","DateFormat=P","Fill=—","Direction=H","UseDPDF=Y")</f>
        <v>#NAME?</v>
      </c>
    </row>
    <row r="131" spans="1:8">
      <c r="A131" s="1058" t="s">
        <v>231</v>
      </c>
      <c r="B131" s="1058" t="s">
        <v>232</v>
      </c>
      <c r="C131" s="1057" t="e">
        <f ca="1">BDH("BMBL US Equity","ARDR_STOCK_OPTION_VAL_RFR","FY 2018","FY 2018","Currency=USD","Period=FY","BEST_FPERIOD_OVERRIDE=FY","FILING_STATUS=MR","Sort=A","Dates=H","DateFormat=P","Fill=—","Direction=H","UseDPDF=Y")</f>
        <v>#NAME?</v>
      </c>
      <c r="D131" s="1057" t="e">
        <f ca="1">BDH("BMBL US Equity","ARDR_STOCK_OPTION_VAL_RFR","FY 2019","FY 2019","Currency=USD","Period=FY","BEST_FPERIOD_OVERRIDE=FY","FILING_STATUS=MR","Sort=A","Dates=H","DateFormat=P","Fill=—","Direction=H","UseDPDF=Y")</f>
        <v>#NAME?</v>
      </c>
      <c r="E131" s="1057" t="e">
        <f ca="1">BDH("BMBL US Equity","ARDR_STOCK_OPTION_VAL_RFR","FY 2020","FY 2020","Currency=USD","Period=FY","BEST_FPERIOD_OVERRIDE=FY","FILING_STATUS=MR","Sort=A","Dates=H","DateFormat=P","Fill=—","Direction=H","UseDPDF=Y")</f>
        <v>#NAME?</v>
      </c>
      <c r="F131" s="1057" t="e">
        <f ca="1">BDH("BMBL US Equity","ARDR_STOCK_OPTION_VAL_RFR","FY 2021","FY 2021","Currency=USD","Period=FY","BEST_FPERIOD_OVERRIDE=FY","FILING_STATUS=MR","Sort=A","Dates=H","DateFormat=P","Fill=—","Direction=H","UseDPDF=Y")</f>
        <v>#NAME?</v>
      </c>
      <c r="G131" s="1057" t="e">
        <f ca="1">BDH("BMBL US Equity","ARDR_STOCK_OPTION_VAL_RFR","FY 2022","FY 2022","Currency=USD","Period=FY","BEST_FPERIOD_OVERRIDE=FY","FILING_STATUS=MR","Sort=A","Dates=H","DateFormat=P","Fill=—","Direction=H","UseDPDF=Y")</f>
        <v>#NAME?</v>
      </c>
      <c r="H131" s="1057" t="e">
        <f ca="1">BDH("BMBL US Equity","ARDR_STOCK_OPTION_VAL_RFR","FY 2023","FY 2023","Currency=USD","Period=FY","BEST_FPERIOD_OVERRIDE=FY","FILING_STATUS=MR","Sort=A","Dates=H","DateFormat=P","Fill=—","Direction=H","UseDPDF=Y")</f>
        <v>#NAME?</v>
      </c>
    </row>
    <row r="132" spans="1:8">
      <c r="A132" s="1058" t="s">
        <v>233</v>
      </c>
      <c r="B132" s="1058" t="s">
        <v>234</v>
      </c>
      <c r="C132" s="1057" t="e">
        <f ca="1">BDH("BMBL US Equity","ARDR_STOCK_OPTION_VAL_EXP_LIFE","FY 2018","FY 2018","Currency=USD","Period=FY","BEST_FPERIOD_OVERRIDE=FY","FILING_STATUS=MR","Sort=A","Dates=H","DateFormat=P","Fill=—","Direction=H","UseDPDF=Y")</f>
        <v>#NAME?</v>
      </c>
      <c r="D132" s="1057" t="e">
        <f ca="1">BDH("BMBL US Equity","ARDR_STOCK_OPTION_VAL_EXP_LIFE","FY 2019","FY 2019","Currency=USD","Period=FY","BEST_FPERIOD_OVERRIDE=FY","FILING_STATUS=MR","Sort=A","Dates=H","DateFormat=P","Fill=—","Direction=H","UseDPDF=Y")</f>
        <v>#NAME?</v>
      </c>
      <c r="E132" s="1057" t="e">
        <f ca="1">BDH("BMBL US Equity","ARDR_STOCK_OPTION_VAL_EXP_LIFE","FY 2020","FY 2020","Currency=USD","Period=FY","BEST_FPERIOD_OVERRIDE=FY","FILING_STATUS=MR","Sort=A","Dates=H","DateFormat=P","Fill=—","Direction=H","UseDPDF=Y")</f>
        <v>#NAME?</v>
      </c>
      <c r="F132" s="1057" t="e">
        <f ca="1">BDH("BMBL US Equity","ARDR_STOCK_OPTION_VAL_EXP_LIFE","FY 2021","FY 2021","Currency=USD","Period=FY","BEST_FPERIOD_OVERRIDE=FY","FILING_STATUS=MR","Sort=A","Dates=H","DateFormat=P","Fill=—","Direction=H","UseDPDF=Y")</f>
        <v>#NAME?</v>
      </c>
      <c r="G132" s="1057" t="e">
        <f ca="1">BDH("BMBL US Equity","ARDR_STOCK_OPTION_VAL_EXP_LIFE","FY 2022","FY 2022","Currency=USD","Period=FY","BEST_FPERIOD_OVERRIDE=FY","FILING_STATUS=MR","Sort=A","Dates=H","DateFormat=P","Fill=—","Direction=H","UseDPDF=Y")</f>
        <v>#NAME?</v>
      </c>
      <c r="H132" s="1057" t="e">
        <f ca="1">BDH("BMBL US Equity","ARDR_STOCK_OPTION_VAL_EXP_LIFE","FY 2023","FY 2023","Currency=USD","Period=FY","BEST_FPERIOD_OVERRIDE=FY","FILING_STATUS=MR","Sort=A","Dates=H","DateFormat=P","Fill=—","Direction=H","UseDPDF=Y")</f>
        <v>#NAME?</v>
      </c>
    </row>
    <row r="133" spans="1:8">
      <c r="A133" s="1058" t="s">
        <v>235</v>
      </c>
      <c r="B133" s="1058" t="s">
        <v>236</v>
      </c>
      <c r="C133" s="1057" t="e">
        <f ca="1">BDH("BMBL US Equity","ARDR_STOCK_OPTION_VAL_EXP_VOL","FY 2018","FY 2018","Currency=USD","Period=FY","BEST_FPERIOD_OVERRIDE=FY","FILING_STATUS=MR","Sort=A","Dates=H","DateFormat=P","Fill=—","Direction=H","UseDPDF=Y")</f>
        <v>#NAME?</v>
      </c>
      <c r="D133" s="1057" t="e">
        <f ca="1">BDH("BMBL US Equity","ARDR_STOCK_OPTION_VAL_EXP_VOL","FY 2019","FY 2019","Currency=USD","Period=FY","BEST_FPERIOD_OVERRIDE=FY","FILING_STATUS=MR","Sort=A","Dates=H","DateFormat=P","Fill=—","Direction=H","UseDPDF=Y")</f>
        <v>#NAME?</v>
      </c>
      <c r="E133" s="1057" t="e">
        <f ca="1">BDH("BMBL US Equity","ARDR_STOCK_OPTION_VAL_EXP_VOL","FY 2020","FY 2020","Currency=USD","Period=FY","BEST_FPERIOD_OVERRIDE=FY","FILING_STATUS=MR","Sort=A","Dates=H","DateFormat=P","Fill=—","Direction=H","UseDPDF=Y")</f>
        <v>#NAME?</v>
      </c>
      <c r="F133" s="1057" t="e">
        <f ca="1">BDH("BMBL US Equity","ARDR_STOCK_OPTION_VAL_EXP_VOL","FY 2021","FY 2021","Currency=USD","Period=FY","BEST_FPERIOD_OVERRIDE=FY","FILING_STATUS=MR","Sort=A","Dates=H","DateFormat=P","Fill=—","Direction=H","UseDPDF=Y")</f>
        <v>#NAME?</v>
      </c>
      <c r="G133" s="1057" t="e">
        <f ca="1">BDH("BMBL US Equity","ARDR_STOCK_OPTION_VAL_EXP_VOL","FY 2022","FY 2022","Currency=USD","Period=FY","BEST_FPERIOD_OVERRIDE=FY","FILING_STATUS=MR","Sort=A","Dates=H","DateFormat=P","Fill=—","Direction=H","UseDPDF=Y")</f>
        <v>#NAME?</v>
      </c>
      <c r="H133" s="1057" t="e">
        <f ca="1">BDH("BMBL US Equity","ARDR_STOCK_OPTION_VAL_EXP_VOL","FY 2023","FY 2023","Currency=USD","Period=FY","BEST_FPERIOD_OVERRIDE=FY","FILING_STATUS=MR","Sort=A","Dates=H","DateFormat=P","Fill=—","Direction=H","UseDPDF=Y")</f>
        <v>#NAME?</v>
      </c>
    </row>
    <row r="134" spans="1:8">
      <c r="A134" s="1058" t="s">
        <v>237</v>
      </c>
      <c r="B134" s="1058" t="s">
        <v>238</v>
      </c>
      <c r="C134" s="1057" t="e">
        <f ca="1">BDH("BMBL US Equity","ARDR_STOCK_OPTION_VAL_DVD_YLD","FY 2018","FY 2018","Currency=USD","Period=FY","BEST_FPERIOD_OVERRIDE=FY","FILING_STATUS=MR","Sort=A","Dates=H","DateFormat=P","Fill=—","Direction=H","UseDPDF=Y")</f>
        <v>#NAME?</v>
      </c>
      <c r="D134" s="1057" t="e">
        <f ca="1">BDH("BMBL US Equity","ARDR_STOCK_OPTION_VAL_DVD_YLD","FY 2019","FY 2019","Currency=USD","Period=FY","BEST_FPERIOD_OVERRIDE=FY","FILING_STATUS=MR","Sort=A","Dates=H","DateFormat=P","Fill=—","Direction=H","UseDPDF=Y")</f>
        <v>#NAME?</v>
      </c>
      <c r="E134" s="1057" t="e">
        <f ca="1">BDH("BMBL US Equity","ARDR_STOCK_OPTION_VAL_DVD_YLD","FY 2020","FY 2020","Currency=USD","Period=FY","BEST_FPERIOD_OVERRIDE=FY","FILING_STATUS=MR","Sort=A","Dates=H","DateFormat=P","Fill=—","Direction=H","UseDPDF=Y")</f>
        <v>#NAME?</v>
      </c>
      <c r="F134" s="1057" t="e">
        <f ca="1">BDH("BMBL US Equity","ARDR_STOCK_OPTION_VAL_DVD_YLD","FY 2021","FY 2021","Currency=USD","Period=FY","BEST_FPERIOD_OVERRIDE=FY","FILING_STATUS=MR","Sort=A","Dates=H","DateFormat=P","Fill=—","Direction=H","UseDPDF=Y")</f>
        <v>#NAME?</v>
      </c>
      <c r="G134" s="1057" t="e">
        <f ca="1">BDH("BMBL US Equity","ARDR_STOCK_OPTION_VAL_DVD_YLD","FY 2022","FY 2022","Currency=USD","Period=FY","BEST_FPERIOD_OVERRIDE=FY","FILING_STATUS=MR","Sort=A","Dates=H","DateFormat=P","Fill=—","Direction=H","UseDPDF=Y")</f>
        <v>#NAME?</v>
      </c>
      <c r="H134" s="1057" t="e">
        <f ca="1">BDH("BMBL US Equity","ARDR_STOCK_OPTION_VAL_DVD_YLD","FY 2023","FY 2023","Currency=USD","Period=FY","BEST_FPERIOD_OVERRIDE=FY","FILING_STATUS=MR","Sort=A","Dates=H","DateFormat=P","Fill=—","Direction=H","UseDPDF=Y")</f>
        <v>#NAME?</v>
      </c>
    </row>
    <row r="135" spans="1:8">
      <c r="A135" s="1058" t="s">
        <v>239</v>
      </c>
      <c r="B135" s="1058" t="s">
        <v>240</v>
      </c>
      <c r="C135" s="1057" t="e">
        <f ca="1">BDH("BMBL US Equity","ARDR_AVG_EXER_PX_OPT_EXERCISABLE","FY 2018","FY 2018","Currency=USD","Period=FY","BEST_FPERIOD_OVERRIDE=FY","FILING_STATUS=MR","Sort=A","Dates=H","DateFormat=P","Fill=—","Direction=H","UseDPDF=Y")</f>
        <v>#NAME?</v>
      </c>
      <c r="D135" s="1057" t="e">
        <f ca="1">BDH("BMBL US Equity","ARDR_AVG_EXER_PX_OPT_EXERCISABLE","FY 2019","FY 2019","Currency=USD","Period=FY","BEST_FPERIOD_OVERRIDE=FY","FILING_STATUS=MR","Sort=A","Dates=H","DateFormat=P","Fill=—","Direction=H","UseDPDF=Y")</f>
        <v>#NAME?</v>
      </c>
      <c r="E135" s="1057" t="e">
        <f ca="1">BDH("BMBL US Equity","ARDR_AVG_EXER_PX_OPT_EXERCISABLE","FY 2020","FY 2020","Currency=USD","Period=FY","BEST_FPERIOD_OVERRIDE=FY","FILING_STATUS=MR","Sort=A","Dates=H","DateFormat=P","Fill=—","Direction=H","UseDPDF=Y")</f>
        <v>#NAME?</v>
      </c>
      <c r="F135" s="1057" t="e">
        <f ca="1">BDH("BMBL US Equity","ARDR_AVG_EXER_PX_OPT_EXERCISABLE","FY 2021","FY 2021","Currency=USD","Period=FY","BEST_FPERIOD_OVERRIDE=FY","FILING_STATUS=MR","Sort=A","Dates=H","DateFormat=P","Fill=—","Direction=H","UseDPDF=Y")</f>
        <v>#NAME?</v>
      </c>
      <c r="G135" s="1057" t="e">
        <f ca="1">BDH("BMBL US Equity","ARDR_AVG_EXER_PX_OPT_EXERCISABLE","FY 2022","FY 2022","Currency=USD","Period=FY","BEST_FPERIOD_OVERRIDE=FY","FILING_STATUS=MR","Sort=A","Dates=H","DateFormat=P","Fill=—","Direction=H","UseDPDF=Y")</f>
        <v>#NAME?</v>
      </c>
      <c r="H135" s="1057" t="e">
        <f ca="1">BDH("BMBL US Equity","ARDR_AVG_EXER_PX_OPT_EXERCISABLE","FY 2023","FY 2023","Currency=USD","Period=FY","BEST_FPERIOD_OVERRIDE=FY","FILING_STATUS=MR","Sort=A","Dates=H","DateFormat=P","Fill=—","Direction=H","UseDPDF=Y")</f>
        <v>#NAME?</v>
      </c>
    </row>
    <row r="136" spans="1:8">
      <c r="A136" s="1058" t="s">
        <v>241</v>
      </c>
      <c r="B136" s="1058" t="s">
        <v>242</v>
      </c>
      <c r="C136" s="1057" t="e">
        <f ca="1">BDH("BMBL US Equity","ARDR_AVG_EXER_PX_OPT_OUTSTANDING","FY 2018","FY 2018","Currency=USD","Period=FY","BEST_FPERIOD_OVERRIDE=FY","FILING_STATUS=MR","Sort=A","Dates=H","DateFormat=P","Fill=—","Direction=H","UseDPDF=Y")</f>
        <v>#NAME?</v>
      </c>
      <c r="D136" s="1057" t="e">
        <f ca="1">BDH("BMBL US Equity","ARDR_AVG_EXER_PX_OPT_OUTSTANDING","FY 2019","FY 2019","Currency=USD","Period=FY","BEST_FPERIOD_OVERRIDE=FY","FILING_STATUS=MR","Sort=A","Dates=H","DateFormat=P","Fill=—","Direction=H","UseDPDF=Y")</f>
        <v>#NAME?</v>
      </c>
      <c r="E136" s="1057" t="e">
        <f ca="1">BDH("BMBL US Equity","ARDR_AVG_EXER_PX_OPT_OUTSTANDING","FY 2020","FY 2020","Currency=USD","Period=FY","BEST_FPERIOD_OVERRIDE=FY","FILING_STATUS=MR","Sort=A","Dates=H","DateFormat=P","Fill=—","Direction=H","UseDPDF=Y")</f>
        <v>#NAME?</v>
      </c>
      <c r="F136" s="1057" t="e">
        <f ca="1">BDH("BMBL US Equity","ARDR_AVG_EXER_PX_OPT_OUTSTANDING","FY 2021","FY 2021","Currency=USD","Period=FY","BEST_FPERIOD_OVERRIDE=FY","FILING_STATUS=MR","Sort=A","Dates=H","DateFormat=P","Fill=—","Direction=H","UseDPDF=Y")</f>
        <v>#NAME?</v>
      </c>
      <c r="G136" s="1057" t="e">
        <f ca="1">BDH("BMBL US Equity","ARDR_AVG_EXER_PX_OPT_OUTSTANDING","FY 2022","FY 2022","Currency=USD","Period=FY","BEST_FPERIOD_OVERRIDE=FY","FILING_STATUS=MR","Sort=A","Dates=H","DateFormat=P","Fill=—","Direction=H","UseDPDF=Y")</f>
        <v>#NAME?</v>
      </c>
      <c r="H136" s="1057" t="e">
        <f ca="1">BDH("BMBL US Equity","ARDR_AVG_EXER_PX_OPT_OUTSTANDING","FY 2023","FY 2023","Currency=USD","Period=FY","BEST_FPERIOD_OVERRIDE=FY","FILING_STATUS=MR","Sort=A","Dates=H","DateFormat=P","Fill=—","Direction=H","UseDPDF=Y")</f>
        <v>#NAME?</v>
      </c>
    </row>
    <row r="137" spans="1:8">
      <c r="A137" s="1058" t="s">
        <v>243</v>
      </c>
      <c r="B137" s="1058" t="s">
        <v>244</v>
      </c>
      <c r="C137" s="1059" t="e">
        <f ca="1">BDH("BMBL US Equity","ARDR_OPTIONS_EXERCISABLE","FY 2018","FY 2018","Currency=USD","Period=FY","BEST_FPERIOD_OVERRIDE=FY","FILING_STATUS=MR","Sort=A","Dates=H","DateFormat=P","Fill=—","Direction=H","UseDPDF=Y")</f>
        <v>#NAME?</v>
      </c>
      <c r="D137" s="1059" t="e">
        <f ca="1">BDH("BMBL US Equity","ARDR_OPTIONS_EXERCISABLE","FY 2019","FY 2019","Currency=USD","Period=FY","BEST_FPERIOD_OVERRIDE=FY","FILING_STATUS=MR","Sort=A","Dates=H","DateFormat=P","Fill=—","Direction=H","UseDPDF=Y")</f>
        <v>#NAME?</v>
      </c>
      <c r="E137" s="1059" t="e">
        <f ca="1">BDH("BMBL US Equity","ARDR_OPTIONS_EXERCISABLE","FY 2020","FY 2020","Currency=USD","Period=FY","BEST_FPERIOD_OVERRIDE=FY","FILING_STATUS=MR","Sort=A","Dates=H","DateFormat=P","Fill=—","Direction=H","UseDPDF=Y")</f>
        <v>#NAME?</v>
      </c>
      <c r="F137" s="1059" t="e">
        <f ca="1">BDH("BMBL US Equity","ARDR_OPTIONS_EXERCISABLE","FY 2021","FY 2021","Currency=USD","Period=FY","BEST_FPERIOD_OVERRIDE=FY","FILING_STATUS=MR","Sort=A","Dates=H","DateFormat=P","Fill=—","Direction=H","UseDPDF=Y")</f>
        <v>#NAME?</v>
      </c>
      <c r="G137" s="1059" t="e">
        <f ca="1">BDH("BMBL US Equity","ARDR_OPTIONS_EXERCISABLE","FY 2022","FY 2022","Currency=USD","Period=FY","BEST_FPERIOD_OVERRIDE=FY","FILING_STATUS=MR","Sort=A","Dates=H","DateFormat=P","Fill=—","Direction=H","UseDPDF=Y")</f>
        <v>#NAME?</v>
      </c>
      <c r="H137" s="1059" t="e">
        <f ca="1">BDH("BMBL US Equity","ARDR_OPTIONS_EXERCISABLE","FY 2023","FY 2023","Currency=USD","Period=FY","BEST_FPERIOD_OVERRIDE=FY","FILING_STATUS=MR","Sort=A","Dates=H","DateFormat=P","Fill=—","Direction=H","UseDPDF=Y")</f>
        <v>#NAME?</v>
      </c>
    </row>
    <row r="138" spans="1:8">
      <c r="A138" s="1058" t="s">
        <v>245</v>
      </c>
      <c r="B138" s="1058" t="s">
        <v>246</v>
      </c>
      <c r="C138" s="1059" t="e">
        <f ca="1">BDH("BMBL US Equity","ARDR_FV_ASSETS_REC_L1_CASH_SECS","FY 2018","FY 2018","Currency=USD","Period=FY","BEST_FPERIOD_OVERRIDE=FY","FILING_STATUS=MR","SCALING_FORMAT=MLN","Sort=A","Dates=H","DateFormat=P","Fill=—","Direction=H","UseDPDF=Y")</f>
        <v>#NAME?</v>
      </c>
      <c r="D138" s="1059" t="e">
        <f ca="1">BDH("BMBL US Equity","ARDR_FV_ASSETS_REC_L1_CASH_SECS","FY 2019","FY 2019","Currency=USD","Period=FY","BEST_FPERIOD_OVERRIDE=FY","FILING_STATUS=MR","SCALING_FORMAT=MLN","Sort=A","Dates=H","DateFormat=P","Fill=—","Direction=H","UseDPDF=Y")</f>
        <v>#NAME?</v>
      </c>
      <c r="E138" s="1059" t="e">
        <f ca="1">BDH("BMBL US Equity","ARDR_FV_ASSETS_REC_L1_CASH_SECS","FY 2020","FY 2020","Currency=USD","Period=FY","BEST_FPERIOD_OVERRIDE=FY","FILING_STATUS=MR","SCALING_FORMAT=MLN","Sort=A","Dates=H","DateFormat=P","Fill=—","Direction=H","UseDPDF=Y")</f>
        <v>#NAME?</v>
      </c>
      <c r="F138" s="1059" t="e">
        <f ca="1">BDH("BMBL US Equity","ARDR_FV_ASSETS_REC_L1_CASH_SECS","FY 2021","FY 2021","Currency=USD","Period=FY","BEST_FPERIOD_OVERRIDE=FY","FILING_STATUS=MR","SCALING_FORMAT=MLN","Sort=A","Dates=H","DateFormat=P","Fill=—","Direction=H","UseDPDF=Y")</f>
        <v>#NAME?</v>
      </c>
      <c r="G138" s="1059" t="e">
        <f ca="1">BDH("BMBL US Equity","ARDR_FV_ASSETS_REC_L1_CASH_SECS","FY 2022","FY 2022","Currency=USD","Period=FY","BEST_FPERIOD_OVERRIDE=FY","FILING_STATUS=MR","SCALING_FORMAT=MLN","Sort=A","Dates=H","DateFormat=P","Fill=—","Direction=H","UseDPDF=Y")</f>
        <v>#NAME?</v>
      </c>
      <c r="H138" s="1059" t="e">
        <f ca="1">BDH("BMBL US Equity","ARDR_FV_ASSETS_REC_L1_CASH_SECS","FY 2023","FY 2023","Currency=USD","Period=FY","BEST_FPERIOD_OVERRIDE=FY","FILING_STATUS=MR","SCALING_FORMAT=MLN","Sort=A","Dates=H","DateFormat=P","Fill=—","Direction=H","UseDPDF=Y")</f>
        <v>#NAME?</v>
      </c>
    </row>
    <row r="139" spans="1:8">
      <c r="A139" s="1058" t="s">
        <v>247</v>
      </c>
      <c r="B139" s="1058" t="s">
        <v>248</v>
      </c>
      <c r="C139" s="1059" t="e">
        <f ca="1">BDH("BMBL US Equity","ARDR_FV_ASSETS_REC_L1_TRAD_TREAS","FY 2018","FY 2018","Currency=USD","Period=FY","BEST_FPERIOD_OVERRIDE=FY","FILING_STATUS=MR","SCALING_FORMAT=MLN","Sort=A","Dates=H","DateFormat=P","Fill=—","Direction=H","UseDPDF=Y")</f>
        <v>#NAME?</v>
      </c>
      <c r="D139" s="1059" t="e">
        <f ca="1">BDH("BMBL US Equity","ARDR_FV_ASSETS_REC_L1_TRAD_TREAS","FY 2019","FY 2019","Currency=USD","Period=FY","BEST_FPERIOD_OVERRIDE=FY","FILING_STATUS=MR","SCALING_FORMAT=MLN","Sort=A","Dates=H","DateFormat=P","Fill=—","Direction=H","UseDPDF=Y")</f>
        <v>#NAME?</v>
      </c>
      <c r="E139" s="1059" t="e">
        <f ca="1">BDH("BMBL US Equity","ARDR_FV_ASSETS_REC_L1_TRAD_TREAS","FY 2020","FY 2020","Currency=USD","Period=FY","BEST_FPERIOD_OVERRIDE=FY","FILING_STATUS=MR","SCALING_FORMAT=MLN","Sort=A","Dates=H","DateFormat=P","Fill=—","Direction=H","UseDPDF=Y")</f>
        <v>#NAME?</v>
      </c>
      <c r="F139" s="1059" t="e">
        <f ca="1">BDH("BMBL US Equity","ARDR_FV_ASSETS_REC_L1_TRAD_TREAS","FY 2021","FY 2021","Currency=USD","Period=FY","BEST_FPERIOD_OVERRIDE=FY","FILING_STATUS=MR","SCALING_FORMAT=MLN","Sort=A","Dates=H","DateFormat=P","Fill=—","Direction=H","UseDPDF=Y")</f>
        <v>#NAME?</v>
      </c>
      <c r="G139" s="1059" t="e">
        <f ca="1">BDH("BMBL US Equity","ARDR_FV_ASSETS_REC_L1_TRAD_TREAS","FY 2022","FY 2022","Currency=USD","Period=FY","BEST_FPERIOD_OVERRIDE=FY","FILING_STATUS=MR","SCALING_FORMAT=MLN","Sort=A","Dates=H","DateFormat=P","Fill=—","Direction=H","UseDPDF=Y")</f>
        <v>#NAME?</v>
      </c>
      <c r="H139" s="1059" t="e">
        <f ca="1">BDH("BMBL US Equity","ARDR_FV_ASSETS_REC_L1_TRAD_TREAS","FY 2023","FY 2023","Currency=USD","Period=FY","BEST_FPERIOD_OVERRIDE=FY","FILING_STATUS=MR","SCALING_FORMAT=MLN","Sort=A","Dates=H","DateFormat=P","Fill=—","Direction=H","UseDPDF=Y")</f>
        <v>#NAME?</v>
      </c>
    </row>
    <row r="140" spans="1:8">
      <c r="A140" s="1058" t="s">
        <v>249</v>
      </c>
      <c r="B140" s="1058" t="s">
        <v>250</v>
      </c>
      <c r="C140" s="1059" t="e">
        <f ca="1">BDH("BMBL US Equity","ARDR_FV_ASTS_REC_L1_DERIVATIVES","FY 2018","FY 2018","Currency=USD","Period=FY","BEST_FPERIOD_OVERRIDE=FY","FILING_STATUS=MR","SCALING_FORMAT=MLN","Sort=A","Dates=H","DateFormat=P","Fill=—","Direction=H","UseDPDF=Y")</f>
        <v>#NAME?</v>
      </c>
      <c r="D140" s="1059" t="e">
        <f ca="1">BDH("BMBL US Equity","ARDR_FV_ASTS_REC_L1_DERIVATIVES","FY 2019","FY 2019","Currency=USD","Period=FY","BEST_FPERIOD_OVERRIDE=FY","FILING_STATUS=MR","SCALING_FORMAT=MLN","Sort=A","Dates=H","DateFormat=P","Fill=—","Direction=H","UseDPDF=Y")</f>
        <v>#NAME?</v>
      </c>
      <c r="E140" s="1059" t="e">
        <f ca="1">BDH("BMBL US Equity","ARDR_FV_ASTS_REC_L1_DERIVATIVES","FY 2020","FY 2020","Currency=USD","Period=FY","BEST_FPERIOD_OVERRIDE=FY","FILING_STATUS=MR","SCALING_FORMAT=MLN","Sort=A","Dates=H","DateFormat=P","Fill=—","Direction=H","UseDPDF=Y")</f>
        <v>#NAME?</v>
      </c>
      <c r="F140" s="1059" t="e">
        <f ca="1">BDH("BMBL US Equity","ARDR_FV_ASTS_REC_L1_DERIVATIVES","FY 2021","FY 2021","Currency=USD","Period=FY","BEST_FPERIOD_OVERRIDE=FY","FILING_STATUS=MR","SCALING_FORMAT=MLN","Sort=A","Dates=H","DateFormat=P","Fill=—","Direction=H","UseDPDF=Y")</f>
        <v>#NAME?</v>
      </c>
      <c r="G140" s="1059" t="e">
        <f ca="1">BDH("BMBL US Equity","ARDR_FV_ASTS_REC_L1_DERIVATIVES","FY 2022","FY 2022","Currency=USD","Period=FY","BEST_FPERIOD_OVERRIDE=FY","FILING_STATUS=MR","SCALING_FORMAT=MLN","Sort=A","Dates=H","DateFormat=P","Fill=—","Direction=H","UseDPDF=Y")</f>
        <v>#NAME?</v>
      </c>
      <c r="H140" s="1059" t="e">
        <f ca="1">BDH("BMBL US Equity","ARDR_FV_ASTS_REC_L1_DERIVATIVES","FY 2023","FY 2023","Currency=USD","Period=FY","BEST_FPERIOD_OVERRIDE=FY","FILING_STATUS=MR","SCALING_FORMAT=MLN","Sort=A","Dates=H","DateFormat=P","Fill=—","Direction=H","UseDPDF=Y")</f>
        <v>#NAME?</v>
      </c>
    </row>
    <row r="141" spans="1:8">
      <c r="A141" s="1058" t="s">
        <v>251</v>
      </c>
      <c r="B141" s="1058" t="s">
        <v>252</v>
      </c>
      <c r="C141" s="1059" t="e">
        <f ca="1">BDH("BMBL US Equity","ARDR_FV_ASSETS_REC_L1_OTHER","FY 2018","FY 2018","Currency=USD","Period=FY","BEST_FPERIOD_OVERRIDE=FY","FILING_STATUS=MR","SCALING_FORMAT=MLN","Sort=A","Dates=H","DateFormat=P","Fill=—","Direction=H","UseDPDF=Y")</f>
        <v>#NAME?</v>
      </c>
      <c r="D141" s="1059" t="e">
        <f ca="1">BDH("BMBL US Equity","ARDR_FV_ASSETS_REC_L1_OTHER","FY 2019","FY 2019","Currency=USD","Period=FY","BEST_FPERIOD_OVERRIDE=FY","FILING_STATUS=MR","SCALING_FORMAT=MLN","Sort=A","Dates=H","DateFormat=P","Fill=—","Direction=H","UseDPDF=Y")</f>
        <v>#NAME?</v>
      </c>
      <c r="E141" s="1059" t="e">
        <f ca="1">BDH("BMBL US Equity","ARDR_FV_ASSETS_REC_L1_OTHER","FY 2020","FY 2020","Currency=USD","Period=FY","BEST_FPERIOD_OVERRIDE=FY","FILING_STATUS=MR","SCALING_FORMAT=MLN","Sort=A","Dates=H","DateFormat=P","Fill=—","Direction=H","UseDPDF=Y")</f>
        <v>#NAME?</v>
      </c>
      <c r="F141" s="1059" t="e">
        <f ca="1">BDH("BMBL US Equity","ARDR_FV_ASSETS_REC_L1_OTHER","FY 2021","FY 2021","Currency=USD","Period=FY","BEST_FPERIOD_OVERRIDE=FY","FILING_STATUS=MR","SCALING_FORMAT=MLN","Sort=A","Dates=H","DateFormat=P","Fill=—","Direction=H","UseDPDF=Y")</f>
        <v>#NAME?</v>
      </c>
      <c r="G141" s="1059" t="e">
        <f ca="1">BDH("BMBL US Equity","ARDR_FV_ASSETS_REC_L1_OTHER","FY 2022","FY 2022","Currency=USD","Period=FY","BEST_FPERIOD_OVERRIDE=FY","FILING_STATUS=MR","SCALING_FORMAT=MLN","Sort=A","Dates=H","DateFormat=P","Fill=—","Direction=H","UseDPDF=Y")</f>
        <v>#NAME?</v>
      </c>
      <c r="H141" s="1059" t="e">
        <f ca="1">BDH("BMBL US Equity","ARDR_FV_ASSETS_REC_L1_OTHER","FY 2023","FY 2023","Currency=USD","Period=FY","BEST_FPERIOD_OVERRIDE=FY","FILING_STATUS=MR","SCALING_FORMAT=MLN","Sort=A","Dates=H","DateFormat=P","Fill=—","Direction=H","UseDPDF=Y")</f>
        <v>#NAME?</v>
      </c>
    </row>
    <row r="142" spans="1:8">
      <c r="A142" s="1058" t="s">
        <v>253</v>
      </c>
      <c r="B142" s="1058" t="s">
        <v>254</v>
      </c>
      <c r="C142" s="1059" t="e">
        <f ca="1">BDH("BMBL US Equity","ARDR_FV_ASTS_REC_L2_CASH_SECS","FY 2018","FY 2018","Currency=USD","Period=FY","BEST_FPERIOD_OVERRIDE=FY","FILING_STATUS=MR","SCALING_FORMAT=MLN","Sort=A","Dates=H","DateFormat=P","Fill=—","Direction=H","UseDPDF=Y")</f>
        <v>#NAME?</v>
      </c>
      <c r="D142" s="1059" t="e">
        <f ca="1">BDH("BMBL US Equity","ARDR_FV_ASTS_REC_L2_CASH_SECS","FY 2019","FY 2019","Currency=USD","Period=FY","BEST_FPERIOD_OVERRIDE=FY","FILING_STATUS=MR","SCALING_FORMAT=MLN","Sort=A","Dates=H","DateFormat=P","Fill=—","Direction=H","UseDPDF=Y")</f>
        <v>#NAME?</v>
      </c>
      <c r="E142" s="1059" t="e">
        <f ca="1">BDH("BMBL US Equity","ARDR_FV_ASTS_REC_L2_CASH_SECS","FY 2020","FY 2020","Currency=USD","Period=FY","BEST_FPERIOD_OVERRIDE=FY","FILING_STATUS=MR","SCALING_FORMAT=MLN","Sort=A","Dates=H","DateFormat=P","Fill=—","Direction=H","UseDPDF=Y")</f>
        <v>#NAME?</v>
      </c>
      <c r="F142" s="1059" t="e">
        <f ca="1">BDH("BMBL US Equity","ARDR_FV_ASTS_REC_L2_CASH_SECS","FY 2021","FY 2021","Currency=USD","Period=FY","BEST_FPERIOD_OVERRIDE=FY","FILING_STATUS=MR","SCALING_FORMAT=MLN","Sort=A","Dates=H","DateFormat=P","Fill=—","Direction=H","UseDPDF=Y")</f>
        <v>#NAME?</v>
      </c>
      <c r="G142" s="1059" t="e">
        <f ca="1">BDH("BMBL US Equity","ARDR_FV_ASTS_REC_L2_CASH_SECS","FY 2022","FY 2022","Currency=USD","Period=FY","BEST_FPERIOD_OVERRIDE=FY","FILING_STATUS=MR","SCALING_FORMAT=MLN","Sort=A","Dates=H","DateFormat=P","Fill=—","Direction=H","UseDPDF=Y")</f>
        <v>#NAME?</v>
      </c>
      <c r="H142" s="1059" t="e">
        <f ca="1">BDH("BMBL US Equity","ARDR_FV_ASTS_REC_L2_CASH_SECS","FY 2023","FY 2023","Currency=USD","Period=FY","BEST_FPERIOD_OVERRIDE=FY","FILING_STATUS=MR","SCALING_FORMAT=MLN","Sort=A","Dates=H","DateFormat=P","Fill=—","Direction=H","UseDPDF=Y")</f>
        <v>#NAME?</v>
      </c>
    </row>
    <row r="143" spans="1:8">
      <c r="A143" s="1058" t="s">
        <v>255</v>
      </c>
      <c r="B143" s="1058" t="s">
        <v>256</v>
      </c>
      <c r="C143" s="1059" t="e">
        <f ca="1">BDH("BMBL US Equity","ARDR_FV_ASTS_REC_L2_TRAD_TREAS","FY 2018","FY 2018","Currency=USD","Period=FY","BEST_FPERIOD_OVERRIDE=FY","FILING_STATUS=MR","SCALING_FORMAT=MLN","Sort=A","Dates=H","DateFormat=P","Fill=—","Direction=H","UseDPDF=Y")</f>
        <v>#NAME?</v>
      </c>
      <c r="D143" s="1059" t="e">
        <f ca="1">BDH("BMBL US Equity","ARDR_FV_ASTS_REC_L2_TRAD_TREAS","FY 2019","FY 2019","Currency=USD","Period=FY","BEST_FPERIOD_OVERRIDE=FY","FILING_STATUS=MR","SCALING_FORMAT=MLN","Sort=A","Dates=H","DateFormat=P","Fill=—","Direction=H","UseDPDF=Y")</f>
        <v>#NAME?</v>
      </c>
      <c r="E143" s="1059" t="e">
        <f ca="1">BDH("BMBL US Equity","ARDR_FV_ASTS_REC_L2_TRAD_TREAS","FY 2020","FY 2020","Currency=USD","Period=FY","BEST_FPERIOD_OVERRIDE=FY","FILING_STATUS=MR","SCALING_FORMAT=MLN","Sort=A","Dates=H","DateFormat=P","Fill=—","Direction=H","UseDPDF=Y")</f>
        <v>#NAME?</v>
      </c>
      <c r="F143" s="1059" t="e">
        <f ca="1">BDH("BMBL US Equity","ARDR_FV_ASTS_REC_L2_TRAD_TREAS","FY 2021","FY 2021","Currency=USD","Period=FY","BEST_FPERIOD_OVERRIDE=FY","FILING_STATUS=MR","SCALING_FORMAT=MLN","Sort=A","Dates=H","DateFormat=P","Fill=—","Direction=H","UseDPDF=Y")</f>
        <v>#NAME?</v>
      </c>
      <c r="G143" s="1059" t="e">
        <f ca="1">BDH("BMBL US Equity","ARDR_FV_ASTS_REC_L2_TRAD_TREAS","FY 2022","FY 2022","Currency=USD","Period=FY","BEST_FPERIOD_OVERRIDE=FY","FILING_STATUS=MR","SCALING_FORMAT=MLN","Sort=A","Dates=H","DateFormat=P","Fill=—","Direction=H","UseDPDF=Y")</f>
        <v>#NAME?</v>
      </c>
      <c r="H143" s="1059" t="e">
        <f ca="1">BDH("BMBL US Equity","ARDR_FV_ASTS_REC_L2_TRAD_TREAS","FY 2023","FY 2023","Currency=USD","Period=FY","BEST_FPERIOD_OVERRIDE=FY","FILING_STATUS=MR","SCALING_FORMAT=MLN","Sort=A","Dates=H","DateFormat=P","Fill=—","Direction=H","UseDPDF=Y")</f>
        <v>#NAME?</v>
      </c>
    </row>
    <row r="144" spans="1:8">
      <c r="A144" s="1058" t="s">
        <v>257</v>
      </c>
      <c r="B144" s="1058" t="s">
        <v>258</v>
      </c>
      <c r="C144" s="1059" t="e">
        <f ca="1">BDH("BMBL US Equity","ARDR_FV_ASTS_REC_L2_DERIVATIVES","FY 2018","FY 2018","Currency=USD","Period=FY","BEST_FPERIOD_OVERRIDE=FY","FILING_STATUS=MR","SCALING_FORMAT=MLN","Sort=A","Dates=H","DateFormat=P","Fill=—","Direction=H","UseDPDF=Y")</f>
        <v>#NAME?</v>
      </c>
      <c r="D144" s="1059" t="e">
        <f ca="1">BDH("BMBL US Equity","ARDR_FV_ASTS_REC_L2_DERIVATIVES","FY 2019","FY 2019","Currency=USD","Period=FY","BEST_FPERIOD_OVERRIDE=FY","FILING_STATUS=MR","SCALING_FORMAT=MLN","Sort=A","Dates=H","DateFormat=P","Fill=—","Direction=H","UseDPDF=Y")</f>
        <v>#NAME?</v>
      </c>
      <c r="E144" s="1059" t="e">
        <f ca="1">BDH("BMBL US Equity","ARDR_FV_ASTS_REC_L2_DERIVATIVES","FY 2020","FY 2020","Currency=USD","Period=FY","BEST_FPERIOD_OVERRIDE=FY","FILING_STATUS=MR","SCALING_FORMAT=MLN","Sort=A","Dates=H","DateFormat=P","Fill=—","Direction=H","UseDPDF=Y")</f>
        <v>#NAME?</v>
      </c>
      <c r="F144" s="1059" t="e">
        <f ca="1">BDH("BMBL US Equity","ARDR_FV_ASTS_REC_L2_DERIVATIVES","FY 2021","FY 2021","Currency=USD","Period=FY","BEST_FPERIOD_OVERRIDE=FY","FILING_STATUS=MR","SCALING_FORMAT=MLN","Sort=A","Dates=H","DateFormat=P","Fill=—","Direction=H","UseDPDF=Y")</f>
        <v>#NAME?</v>
      </c>
      <c r="G144" s="1059" t="e">
        <f ca="1">BDH("BMBL US Equity","ARDR_FV_ASTS_REC_L2_DERIVATIVES","FY 2022","FY 2022","Currency=USD","Period=FY","BEST_FPERIOD_OVERRIDE=FY","FILING_STATUS=MR","SCALING_FORMAT=MLN","Sort=A","Dates=H","DateFormat=P","Fill=—","Direction=H","UseDPDF=Y")</f>
        <v>#NAME?</v>
      </c>
      <c r="H144" s="1059" t="e">
        <f ca="1">BDH("BMBL US Equity","ARDR_FV_ASTS_REC_L2_DERIVATIVES","FY 2023","FY 2023","Currency=USD","Period=FY","BEST_FPERIOD_OVERRIDE=FY","FILING_STATUS=MR","SCALING_FORMAT=MLN","Sort=A","Dates=H","DateFormat=P","Fill=—","Direction=H","UseDPDF=Y")</f>
        <v>#NAME?</v>
      </c>
    </row>
    <row r="145" spans="1:8">
      <c r="A145" s="1058" t="s">
        <v>259</v>
      </c>
      <c r="B145" s="1058" t="s">
        <v>260</v>
      </c>
      <c r="C145" s="1059" t="e">
        <f ca="1">BDH("BMBL US Equity","ARDR_FV_ASSETS_REC_L2_OTH","FY 2018","FY 2018","Currency=USD","Period=FY","BEST_FPERIOD_OVERRIDE=FY","FILING_STATUS=MR","SCALING_FORMAT=MLN","Sort=A","Dates=H","DateFormat=P","Fill=—","Direction=H","UseDPDF=Y")</f>
        <v>#NAME?</v>
      </c>
      <c r="D145" s="1059" t="e">
        <f ca="1">BDH("BMBL US Equity","ARDR_FV_ASSETS_REC_L2_OTH","FY 2019","FY 2019","Currency=USD","Period=FY","BEST_FPERIOD_OVERRIDE=FY","FILING_STATUS=MR","SCALING_FORMAT=MLN","Sort=A","Dates=H","DateFormat=P","Fill=—","Direction=H","UseDPDF=Y")</f>
        <v>#NAME?</v>
      </c>
      <c r="E145" s="1059" t="e">
        <f ca="1">BDH("BMBL US Equity","ARDR_FV_ASSETS_REC_L2_OTH","FY 2020","FY 2020","Currency=USD","Period=FY","BEST_FPERIOD_OVERRIDE=FY","FILING_STATUS=MR","SCALING_FORMAT=MLN","Sort=A","Dates=H","DateFormat=P","Fill=—","Direction=H","UseDPDF=Y")</f>
        <v>#NAME?</v>
      </c>
      <c r="F145" s="1059" t="e">
        <f ca="1">BDH("BMBL US Equity","ARDR_FV_ASSETS_REC_L2_OTH","FY 2021","FY 2021","Currency=USD","Period=FY","BEST_FPERIOD_OVERRIDE=FY","FILING_STATUS=MR","SCALING_FORMAT=MLN","Sort=A","Dates=H","DateFormat=P","Fill=—","Direction=H","UseDPDF=Y")</f>
        <v>#NAME?</v>
      </c>
      <c r="G145" s="1059" t="e">
        <f ca="1">BDH("BMBL US Equity","ARDR_FV_ASSETS_REC_L2_OTH","FY 2022","FY 2022","Currency=USD","Period=FY","BEST_FPERIOD_OVERRIDE=FY","FILING_STATUS=MR","SCALING_FORMAT=MLN","Sort=A","Dates=H","DateFormat=P","Fill=—","Direction=H","UseDPDF=Y")</f>
        <v>#NAME?</v>
      </c>
      <c r="H145" s="1059" t="e">
        <f ca="1">BDH("BMBL US Equity","ARDR_FV_ASSETS_REC_L2_OTH","FY 2023","FY 2023","Currency=USD","Period=FY","BEST_FPERIOD_OVERRIDE=FY","FILING_STATUS=MR","SCALING_FORMAT=MLN","Sort=A","Dates=H","DateFormat=P","Fill=—","Direction=H","UseDPDF=Y")</f>
        <v>#NAME?</v>
      </c>
    </row>
    <row r="146" spans="1:8">
      <c r="A146" s="1058" t="s">
        <v>261</v>
      </c>
      <c r="B146" s="1058" t="s">
        <v>262</v>
      </c>
      <c r="C146" s="1059" t="e">
        <f ca="1">BDH("BMBL US Equity","ARDR_FV_ASTS_REC_L3_CASH_SECS","FY 2018","FY 2018","Currency=USD","Period=FY","BEST_FPERIOD_OVERRIDE=FY","FILING_STATUS=MR","SCALING_FORMAT=MLN","Sort=A","Dates=H","DateFormat=P","Fill=—","Direction=H","UseDPDF=Y")</f>
        <v>#NAME?</v>
      </c>
      <c r="D146" s="1059" t="e">
        <f ca="1">BDH("BMBL US Equity","ARDR_FV_ASTS_REC_L3_CASH_SECS","FY 2019","FY 2019","Currency=USD","Period=FY","BEST_FPERIOD_OVERRIDE=FY","FILING_STATUS=MR","SCALING_FORMAT=MLN","Sort=A","Dates=H","DateFormat=P","Fill=—","Direction=H","UseDPDF=Y")</f>
        <v>#NAME?</v>
      </c>
      <c r="E146" s="1059" t="e">
        <f ca="1">BDH("BMBL US Equity","ARDR_FV_ASTS_REC_L3_CASH_SECS","FY 2020","FY 2020","Currency=USD","Period=FY","BEST_FPERIOD_OVERRIDE=FY","FILING_STATUS=MR","SCALING_FORMAT=MLN","Sort=A","Dates=H","DateFormat=P","Fill=—","Direction=H","UseDPDF=Y")</f>
        <v>#NAME?</v>
      </c>
      <c r="F146" s="1059" t="e">
        <f ca="1">BDH("BMBL US Equity","ARDR_FV_ASTS_REC_L3_CASH_SECS","FY 2021","FY 2021","Currency=USD","Period=FY","BEST_FPERIOD_OVERRIDE=FY","FILING_STATUS=MR","SCALING_FORMAT=MLN","Sort=A","Dates=H","DateFormat=P","Fill=—","Direction=H","UseDPDF=Y")</f>
        <v>#NAME?</v>
      </c>
      <c r="G146" s="1059" t="e">
        <f ca="1">BDH("BMBL US Equity","ARDR_FV_ASTS_REC_L3_CASH_SECS","FY 2022","FY 2022","Currency=USD","Period=FY","BEST_FPERIOD_OVERRIDE=FY","FILING_STATUS=MR","SCALING_FORMAT=MLN","Sort=A","Dates=H","DateFormat=P","Fill=—","Direction=H","UseDPDF=Y")</f>
        <v>#NAME?</v>
      </c>
      <c r="H146" s="1059" t="e">
        <f ca="1">BDH("BMBL US Equity","ARDR_FV_ASTS_REC_L3_CASH_SECS","FY 2023","FY 2023","Currency=USD","Period=FY","BEST_FPERIOD_OVERRIDE=FY","FILING_STATUS=MR","SCALING_FORMAT=MLN","Sort=A","Dates=H","DateFormat=P","Fill=—","Direction=H","UseDPDF=Y")</f>
        <v>#NAME?</v>
      </c>
    </row>
    <row r="147" spans="1:8">
      <c r="A147" s="1058" t="s">
        <v>263</v>
      </c>
      <c r="B147" s="1058" t="s">
        <v>264</v>
      </c>
      <c r="C147" s="1059" t="e">
        <f ca="1">BDH("BMBL US Equity","ARDR_FV_ASTS_REC_L3_TRAD_TREAS","FY 2018","FY 2018","Currency=USD","Period=FY","BEST_FPERIOD_OVERRIDE=FY","FILING_STATUS=MR","SCALING_FORMAT=MLN","Sort=A","Dates=H","DateFormat=P","Fill=—","Direction=H","UseDPDF=Y")</f>
        <v>#NAME?</v>
      </c>
      <c r="D147" s="1059" t="e">
        <f ca="1">BDH("BMBL US Equity","ARDR_FV_ASTS_REC_L3_TRAD_TREAS","FY 2019","FY 2019","Currency=USD","Period=FY","BEST_FPERIOD_OVERRIDE=FY","FILING_STATUS=MR","SCALING_FORMAT=MLN","Sort=A","Dates=H","DateFormat=P","Fill=—","Direction=H","UseDPDF=Y")</f>
        <v>#NAME?</v>
      </c>
      <c r="E147" s="1059" t="e">
        <f ca="1">BDH("BMBL US Equity","ARDR_FV_ASTS_REC_L3_TRAD_TREAS","FY 2020","FY 2020","Currency=USD","Period=FY","BEST_FPERIOD_OVERRIDE=FY","FILING_STATUS=MR","SCALING_FORMAT=MLN","Sort=A","Dates=H","DateFormat=P","Fill=—","Direction=H","UseDPDF=Y")</f>
        <v>#NAME?</v>
      </c>
      <c r="F147" s="1059" t="e">
        <f ca="1">BDH("BMBL US Equity","ARDR_FV_ASTS_REC_L3_TRAD_TREAS","FY 2021","FY 2021","Currency=USD","Period=FY","BEST_FPERIOD_OVERRIDE=FY","FILING_STATUS=MR","SCALING_FORMAT=MLN","Sort=A","Dates=H","DateFormat=P","Fill=—","Direction=H","UseDPDF=Y")</f>
        <v>#NAME?</v>
      </c>
      <c r="G147" s="1059" t="e">
        <f ca="1">BDH("BMBL US Equity","ARDR_FV_ASTS_REC_L3_TRAD_TREAS","FY 2022","FY 2022","Currency=USD","Period=FY","BEST_FPERIOD_OVERRIDE=FY","FILING_STATUS=MR","SCALING_FORMAT=MLN","Sort=A","Dates=H","DateFormat=P","Fill=—","Direction=H","UseDPDF=Y")</f>
        <v>#NAME?</v>
      </c>
      <c r="H147" s="1059" t="e">
        <f ca="1">BDH("BMBL US Equity","ARDR_FV_ASTS_REC_L3_TRAD_TREAS","FY 2023","FY 2023","Currency=USD","Period=FY","BEST_FPERIOD_OVERRIDE=FY","FILING_STATUS=MR","SCALING_FORMAT=MLN","Sort=A","Dates=H","DateFormat=P","Fill=—","Direction=H","UseDPDF=Y")</f>
        <v>#NAME?</v>
      </c>
    </row>
    <row r="148" spans="1:8">
      <c r="A148" s="1058" t="s">
        <v>265</v>
      </c>
      <c r="B148" s="1058" t="s">
        <v>266</v>
      </c>
      <c r="C148" s="1059" t="e">
        <f ca="1">BDH("BMBL US Equity","ARDR_FV_ASTS_REC_L3_DERIVATIVES","FY 2018","FY 2018","Currency=USD","Period=FY","BEST_FPERIOD_OVERRIDE=FY","FILING_STATUS=MR","SCALING_FORMAT=MLN","Sort=A","Dates=H","DateFormat=P","Fill=—","Direction=H","UseDPDF=Y")</f>
        <v>#NAME?</v>
      </c>
      <c r="D148" s="1059" t="e">
        <f ca="1">BDH("BMBL US Equity","ARDR_FV_ASTS_REC_L3_DERIVATIVES","FY 2019","FY 2019","Currency=USD","Period=FY","BEST_FPERIOD_OVERRIDE=FY","FILING_STATUS=MR","SCALING_FORMAT=MLN","Sort=A","Dates=H","DateFormat=P","Fill=—","Direction=H","UseDPDF=Y")</f>
        <v>#NAME?</v>
      </c>
      <c r="E148" s="1059" t="e">
        <f ca="1">BDH("BMBL US Equity","ARDR_FV_ASTS_REC_L3_DERIVATIVES","FY 2020","FY 2020","Currency=USD","Period=FY","BEST_FPERIOD_OVERRIDE=FY","FILING_STATUS=MR","SCALING_FORMAT=MLN","Sort=A","Dates=H","DateFormat=P","Fill=—","Direction=H","UseDPDF=Y")</f>
        <v>#NAME?</v>
      </c>
      <c r="F148" s="1059" t="e">
        <f ca="1">BDH("BMBL US Equity","ARDR_FV_ASTS_REC_L3_DERIVATIVES","FY 2021","FY 2021","Currency=USD","Period=FY","BEST_FPERIOD_OVERRIDE=FY","FILING_STATUS=MR","SCALING_FORMAT=MLN","Sort=A","Dates=H","DateFormat=P","Fill=—","Direction=H","UseDPDF=Y")</f>
        <v>#NAME?</v>
      </c>
      <c r="G148" s="1059" t="e">
        <f ca="1">BDH("BMBL US Equity","ARDR_FV_ASTS_REC_L3_DERIVATIVES","FY 2022","FY 2022","Currency=USD","Period=FY","BEST_FPERIOD_OVERRIDE=FY","FILING_STATUS=MR","SCALING_FORMAT=MLN","Sort=A","Dates=H","DateFormat=P","Fill=—","Direction=H","UseDPDF=Y")</f>
        <v>#NAME?</v>
      </c>
      <c r="H148" s="1059" t="e">
        <f ca="1">BDH("BMBL US Equity","ARDR_FV_ASTS_REC_L3_DERIVATIVES","FY 2023","FY 2023","Currency=USD","Period=FY","BEST_FPERIOD_OVERRIDE=FY","FILING_STATUS=MR","SCALING_FORMAT=MLN","Sort=A","Dates=H","DateFormat=P","Fill=—","Direction=H","UseDPDF=Y")</f>
        <v>#NAME?</v>
      </c>
    </row>
    <row r="149" spans="1:8">
      <c r="A149" s="1058" t="s">
        <v>267</v>
      </c>
      <c r="B149" s="1058" t="s">
        <v>268</v>
      </c>
      <c r="C149" s="1059" t="e">
        <f ca="1">BDH("BMBL US Equity","ARDR_FV_ASSETS_REC_L3_OTHER","FY 2018","FY 2018","Currency=USD","Period=FY","BEST_FPERIOD_OVERRIDE=FY","FILING_STATUS=MR","SCALING_FORMAT=MLN","Sort=A","Dates=H","DateFormat=P","Fill=—","Direction=H","UseDPDF=Y")</f>
        <v>#NAME?</v>
      </c>
      <c r="D149" s="1059" t="e">
        <f ca="1">BDH("BMBL US Equity","ARDR_FV_ASSETS_REC_L3_OTHER","FY 2019","FY 2019","Currency=USD","Period=FY","BEST_FPERIOD_OVERRIDE=FY","FILING_STATUS=MR","SCALING_FORMAT=MLN","Sort=A","Dates=H","DateFormat=P","Fill=—","Direction=H","UseDPDF=Y")</f>
        <v>#NAME?</v>
      </c>
      <c r="E149" s="1059" t="e">
        <f ca="1">BDH("BMBL US Equity","ARDR_FV_ASSETS_REC_L3_OTHER","FY 2020","FY 2020","Currency=USD","Period=FY","BEST_FPERIOD_OVERRIDE=FY","FILING_STATUS=MR","SCALING_FORMAT=MLN","Sort=A","Dates=H","DateFormat=P","Fill=—","Direction=H","UseDPDF=Y")</f>
        <v>#NAME?</v>
      </c>
      <c r="F149" s="1059" t="e">
        <f ca="1">BDH("BMBL US Equity","ARDR_FV_ASSETS_REC_L3_OTHER","FY 2021","FY 2021","Currency=USD","Period=FY","BEST_FPERIOD_OVERRIDE=FY","FILING_STATUS=MR","SCALING_FORMAT=MLN","Sort=A","Dates=H","DateFormat=P","Fill=—","Direction=H","UseDPDF=Y")</f>
        <v>#NAME?</v>
      </c>
      <c r="G149" s="1059" t="e">
        <f ca="1">BDH("BMBL US Equity","ARDR_FV_ASSETS_REC_L3_OTHER","FY 2022","FY 2022","Currency=USD","Period=FY","BEST_FPERIOD_OVERRIDE=FY","FILING_STATUS=MR","SCALING_FORMAT=MLN","Sort=A","Dates=H","DateFormat=P","Fill=—","Direction=H","UseDPDF=Y")</f>
        <v>#NAME?</v>
      </c>
      <c r="H149" s="1059" t="e">
        <f ca="1">BDH("BMBL US Equity","ARDR_FV_ASSETS_REC_L3_OTHER","FY 2023","FY 2023","Currency=USD","Period=FY","BEST_FPERIOD_OVERRIDE=FY","FILING_STATUS=MR","SCALING_FORMAT=MLN","Sort=A","Dates=H","DateFormat=P","Fill=—","Direction=H","UseDPDF=Y")</f>
        <v>#NAME?</v>
      </c>
    </row>
    <row r="150" spans="1:8">
      <c r="A150" s="1058" t="s">
        <v>269</v>
      </c>
      <c r="B150" s="1058" t="s">
        <v>270</v>
      </c>
      <c r="C150" s="1059" t="e">
        <f ca="1">BDH("BMBL US Equity","ARDR_FV_ASSETS_REC_TOT_CASH_SECS","FY 2018","FY 2018","Currency=USD","Period=FY","BEST_FPERIOD_OVERRIDE=FY","FILING_STATUS=MR","SCALING_FORMAT=MLN","Sort=A","Dates=H","DateFormat=P","Fill=—","Direction=H","UseDPDF=Y")</f>
        <v>#NAME?</v>
      </c>
      <c r="D150" s="1059" t="e">
        <f ca="1">BDH("BMBL US Equity","ARDR_FV_ASSETS_REC_TOT_CASH_SECS","FY 2019","FY 2019","Currency=USD","Period=FY","BEST_FPERIOD_OVERRIDE=FY","FILING_STATUS=MR","SCALING_FORMAT=MLN","Sort=A","Dates=H","DateFormat=P","Fill=—","Direction=H","UseDPDF=Y")</f>
        <v>#NAME?</v>
      </c>
      <c r="E150" s="1059" t="e">
        <f ca="1">BDH("BMBL US Equity","ARDR_FV_ASSETS_REC_TOT_CASH_SECS","FY 2020","FY 2020","Currency=USD","Period=FY","BEST_FPERIOD_OVERRIDE=FY","FILING_STATUS=MR","SCALING_FORMAT=MLN","Sort=A","Dates=H","DateFormat=P","Fill=—","Direction=H","UseDPDF=Y")</f>
        <v>#NAME?</v>
      </c>
      <c r="F150" s="1059" t="e">
        <f ca="1">BDH("BMBL US Equity","ARDR_FV_ASSETS_REC_TOT_CASH_SECS","FY 2021","FY 2021","Currency=USD","Period=FY","BEST_FPERIOD_OVERRIDE=FY","FILING_STATUS=MR","SCALING_FORMAT=MLN","Sort=A","Dates=H","DateFormat=P","Fill=—","Direction=H","UseDPDF=Y")</f>
        <v>#NAME?</v>
      </c>
      <c r="G150" s="1059" t="e">
        <f ca="1">BDH("BMBL US Equity","ARDR_FV_ASSETS_REC_TOT_CASH_SECS","FY 2022","FY 2022","Currency=USD","Period=FY","BEST_FPERIOD_OVERRIDE=FY","FILING_STATUS=MR","SCALING_FORMAT=MLN","Sort=A","Dates=H","DateFormat=P","Fill=—","Direction=H","UseDPDF=Y")</f>
        <v>#NAME?</v>
      </c>
      <c r="H150" s="1059" t="e">
        <f ca="1">BDH("BMBL US Equity","ARDR_FV_ASSETS_REC_TOT_CASH_SECS","FY 2023","FY 2023","Currency=USD","Period=FY","BEST_FPERIOD_OVERRIDE=FY","FILING_STATUS=MR","SCALING_FORMAT=MLN","Sort=A","Dates=H","DateFormat=P","Fill=—","Direction=H","UseDPDF=Y")</f>
        <v>#NAME?</v>
      </c>
    </row>
    <row r="151" spans="1:8">
      <c r="A151" s="1058" t="s">
        <v>271</v>
      </c>
      <c r="B151" s="1058" t="s">
        <v>272</v>
      </c>
      <c r="C151" s="1059" t="e">
        <f ca="1">BDH("BMBL US Equity","ARDR_FV_ASTS_REC_TOT_TRADING_ACC","FY 2018","FY 2018","Currency=USD","Period=FY","BEST_FPERIOD_OVERRIDE=FY","FILING_STATUS=MR","SCALING_FORMAT=MLN","Sort=A","Dates=H","DateFormat=P","Fill=—","Direction=H","UseDPDF=Y")</f>
        <v>#NAME?</v>
      </c>
      <c r="D151" s="1059" t="e">
        <f ca="1">BDH("BMBL US Equity","ARDR_FV_ASTS_REC_TOT_TRADING_ACC","FY 2019","FY 2019","Currency=USD","Period=FY","BEST_FPERIOD_OVERRIDE=FY","FILING_STATUS=MR","SCALING_FORMAT=MLN","Sort=A","Dates=H","DateFormat=P","Fill=—","Direction=H","UseDPDF=Y")</f>
        <v>#NAME?</v>
      </c>
      <c r="E151" s="1059" t="e">
        <f ca="1">BDH("BMBL US Equity","ARDR_FV_ASTS_REC_TOT_TRADING_ACC","FY 2020","FY 2020","Currency=USD","Period=FY","BEST_FPERIOD_OVERRIDE=FY","FILING_STATUS=MR","SCALING_FORMAT=MLN","Sort=A","Dates=H","DateFormat=P","Fill=—","Direction=H","UseDPDF=Y")</f>
        <v>#NAME?</v>
      </c>
      <c r="F151" s="1059" t="e">
        <f ca="1">BDH("BMBL US Equity","ARDR_FV_ASTS_REC_TOT_TRADING_ACC","FY 2021","FY 2021","Currency=USD","Period=FY","BEST_FPERIOD_OVERRIDE=FY","FILING_STATUS=MR","SCALING_FORMAT=MLN","Sort=A","Dates=H","DateFormat=P","Fill=—","Direction=H","UseDPDF=Y")</f>
        <v>#NAME?</v>
      </c>
      <c r="G151" s="1059" t="e">
        <f ca="1">BDH("BMBL US Equity","ARDR_FV_ASTS_REC_TOT_TRADING_ACC","FY 2022","FY 2022","Currency=USD","Period=FY","BEST_FPERIOD_OVERRIDE=FY","FILING_STATUS=MR","SCALING_FORMAT=MLN","Sort=A","Dates=H","DateFormat=P","Fill=—","Direction=H","UseDPDF=Y")</f>
        <v>#NAME?</v>
      </c>
      <c r="H151" s="1059" t="e">
        <f ca="1">BDH("BMBL US Equity","ARDR_FV_ASTS_REC_TOT_TRADING_ACC","FY 2023","FY 2023","Currency=USD","Period=FY","BEST_FPERIOD_OVERRIDE=FY","FILING_STATUS=MR","SCALING_FORMAT=MLN","Sort=A","Dates=H","DateFormat=P","Fill=—","Direction=H","UseDPDF=Y")</f>
        <v>#NAME?</v>
      </c>
    </row>
    <row r="152" spans="1:8">
      <c r="A152" s="1058" t="s">
        <v>273</v>
      </c>
      <c r="B152" s="1058" t="s">
        <v>274</v>
      </c>
      <c r="C152" s="1059" t="e">
        <f ca="1">BDH("BMBL US Equity","ARDR_FV_ASTS_REC_TOT_DERIVATIVES","FY 2018","FY 2018","Currency=USD","Period=FY","BEST_FPERIOD_OVERRIDE=FY","FILING_STATUS=MR","SCALING_FORMAT=MLN","Sort=A","Dates=H","DateFormat=P","Fill=—","Direction=H","UseDPDF=Y")</f>
        <v>#NAME?</v>
      </c>
      <c r="D152" s="1059" t="e">
        <f ca="1">BDH("BMBL US Equity","ARDR_FV_ASTS_REC_TOT_DERIVATIVES","FY 2019","FY 2019","Currency=USD","Period=FY","BEST_FPERIOD_OVERRIDE=FY","FILING_STATUS=MR","SCALING_FORMAT=MLN","Sort=A","Dates=H","DateFormat=P","Fill=—","Direction=H","UseDPDF=Y")</f>
        <v>#NAME?</v>
      </c>
      <c r="E152" s="1059" t="e">
        <f ca="1">BDH("BMBL US Equity","ARDR_FV_ASTS_REC_TOT_DERIVATIVES","FY 2020","FY 2020","Currency=USD","Period=FY","BEST_FPERIOD_OVERRIDE=FY","FILING_STATUS=MR","SCALING_FORMAT=MLN","Sort=A","Dates=H","DateFormat=P","Fill=—","Direction=H","UseDPDF=Y")</f>
        <v>#NAME?</v>
      </c>
      <c r="F152" s="1059" t="e">
        <f ca="1">BDH("BMBL US Equity","ARDR_FV_ASTS_REC_TOT_DERIVATIVES","FY 2021","FY 2021","Currency=USD","Period=FY","BEST_FPERIOD_OVERRIDE=FY","FILING_STATUS=MR","SCALING_FORMAT=MLN","Sort=A","Dates=H","DateFormat=P","Fill=—","Direction=H","UseDPDF=Y")</f>
        <v>#NAME?</v>
      </c>
      <c r="G152" s="1059" t="e">
        <f ca="1">BDH("BMBL US Equity","ARDR_FV_ASTS_REC_TOT_DERIVATIVES","FY 2022","FY 2022","Currency=USD","Period=FY","BEST_FPERIOD_OVERRIDE=FY","FILING_STATUS=MR","SCALING_FORMAT=MLN","Sort=A","Dates=H","DateFormat=P","Fill=—","Direction=H","UseDPDF=Y")</f>
        <v>#NAME?</v>
      </c>
      <c r="H152" s="1059" t="e">
        <f ca="1">BDH("BMBL US Equity","ARDR_FV_ASTS_REC_TOT_DERIVATIVES","FY 2023","FY 2023","Currency=USD","Period=FY","BEST_FPERIOD_OVERRIDE=FY","FILING_STATUS=MR","SCALING_FORMAT=MLN","Sort=A","Dates=H","DateFormat=P","Fill=—","Direction=H","UseDPDF=Y")</f>
        <v>#NAME?</v>
      </c>
    </row>
    <row r="153" spans="1:8">
      <c r="A153" s="1058" t="s">
        <v>275</v>
      </c>
      <c r="B153" s="1058" t="s">
        <v>276</v>
      </c>
      <c r="C153" s="1059" t="e">
        <f ca="1">BDH("BMBL US Equity","ARDR_FV_ASSETS_REC_TOT_OTHER","FY 2018","FY 2018","Currency=USD","Period=FY","BEST_FPERIOD_OVERRIDE=FY","FILING_STATUS=MR","SCALING_FORMAT=MLN","Sort=A","Dates=H","DateFormat=P","Fill=—","Direction=H","UseDPDF=Y")</f>
        <v>#NAME?</v>
      </c>
      <c r="D153" s="1059" t="e">
        <f ca="1">BDH("BMBL US Equity","ARDR_FV_ASSETS_REC_TOT_OTHER","FY 2019","FY 2019","Currency=USD","Period=FY","BEST_FPERIOD_OVERRIDE=FY","FILING_STATUS=MR","SCALING_FORMAT=MLN","Sort=A","Dates=H","DateFormat=P","Fill=—","Direction=H","UseDPDF=Y")</f>
        <v>#NAME?</v>
      </c>
      <c r="E153" s="1059" t="e">
        <f ca="1">BDH("BMBL US Equity","ARDR_FV_ASSETS_REC_TOT_OTHER","FY 2020","FY 2020","Currency=USD","Period=FY","BEST_FPERIOD_OVERRIDE=FY","FILING_STATUS=MR","SCALING_FORMAT=MLN","Sort=A","Dates=H","DateFormat=P","Fill=—","Direction=H","UseDPDF=Y")</f>
        <v>#NAME?</v>
      </c>
      <c r="F153" s="1059" t="e">
        <f ca="1">BDH("BMBL US Equity","ARDR_FV_ASSETS_REC_TOT_OTHER","FY 2021","FY 2021","Currency=USD","Period=FY","BEST_FPERIOD_OVERRIDE=FY","FILING_STATUS=MR","SCALING_FORMAT=MLN","Sort=A","Dates=H","DateFormat=P","Fill=—","Direction=H","UseDPDF=Y")</f>
        <v>#NAME?</v>
      </c>
      <c r="G153" s="1059" t="e">
        <f ca="1">BDH("BMBL US Equity","ARDR_FV_ASSETS_REC_TOT_OTHER","FY 2022","FY 2022","Currency=USD","Period=FY","BEST_FPERIOD_OVERRIDE=FY","FILING_STATUS=MR","SCALING_FORMAT=MLN","Sort=A","Dates=H","DateFormat=P","Fill=—","Direction=H","UseDPDF=Y")</f>
        <v>#NAME?</v>
      </c>
      <c r="H153" s="1059" t="e">
        <f ca="1">BDH("BMBL US Equity","ARDR_FV_ASSETS_REC_TOT_OTHER","FY 2023","FY 2023","Currency=USD","Period=FY","BEST_FPERIOD_OVERRIDE=FY","FILING_STATUS=MR","SCALING_FORMAT=MLN","Sort=A","Dates=H","DateFormat=P","Fill=—","Direction=H","UseDPDF=Y")</f>
        <v>#NAME?</v>
      </c>
    </row>
    <row r="154" spans="1:8">
      <c r="A154" s="1058" t="s">
        <v>277</v>
      </c>
      <c r="B154" s="1058" t="s">
        <v>278</v>
      </c>
      <c r="C154" s="1059" t="e">
        <f ca="1">BDH("BMBL US Equity","ARDR_FV_LIABS_REC_L1_DERIVATIVES","FY 2018","FY 2018","Currency=USD","Period=FY","BEST_FPERIOD_OVERRIDE=FY","FILING_STATUS=MR","SCALING_FORMAT=MLN","Sort=A","Dates=H","DateFormat=P","Fill=—","Direction=H","UseDPDF=Y")</f>
        <v>#NAME?</v>
      </c>
      <c r="D154" s="1059" t="e">
        <f ca="1">BDH("BMBL US Equity","ARDR_FV_LIABS_REC_L1_DERIVATIVES","FY 2019","FY 2019","Currency=USD","Period=FY","BEST_FPERIOD_OVERRIDE=FY","FILING_STATUS=MR","SCALING_FORMAT=MLN","Sort=A","Dates=H","DateFormat=P","Fill=—","Direction=H","UseDPDF=Y")</f>
        <v>#NAME?</v>
      </c>
      <c r="E154" s="1059" t="e">
        <f ca="1">BDH("BMBL US Equity","ARDR_FV_LIABS_REC_L1_DERIVATIVES","FY 2020","FY 2020","Currency=USD","Period=FY","BEST_FPERIOD_OVERRIDE=FY","FILING_STATUS=MR","SCALING_FORMAT=MLN","Sort=A","Dates=H","DateFormat=P","Fill=—","Direction=H","UseDPDF=Y")</f>
        <v>#NAME?</v>
      </c>
      <c r="F154" s="1059" t="e">
        <f ca="1">BDH("BMBL US Equity","ARDR_FV_LIABS_REC_L1_DERIVATIVES","FY 2021","FY 2021","Currency=USD","Period=FY","BEST_FPERIOD_OVERRIDE=FY","FILING_STATUS=MR","SCALING_FORMAT=MLN","Sort=A","Dates=H","DateFormat=P","Fill=—","Direction=H","UseDPDF=Y")</f>
        <v>#NAME?</v>
      </c>
      <c r="G154" s="1059" t="e">
        <f ca="1">BDH("BMBL US Equity","ARDR_FV_LIABS_REC_L1_DERIVATIVES","FY 2022","FY 2022","Currency=USD","Period=FY","BEST_FPERIOD_OVERRIDE=FY","FILING_STATUS=MR","SCALING_FORMAT=MLN","Sort=A","Dates=H","DateFormat=P","Fill=—","Direction=H","UseDPDF=Y")</f>
        <v>#NAME?</v>
      </c>
      <c r="H154" s="1059" t="e">
        <f ca="1">BDH("BMBL US Equity","ARDR_FV_LIABS_REC_L1_DERIVATIVES","FY 2023","FY 2023","Currency=USD","Period=FY","BEST_FPERIOD_OVERRIDE=FY","FILING_STATUS=MR","SCALING_FORMAT=MLN","Sort=A","Dates=H","DateFormat=P","Fill=—","Direction=H","UseDPDF=Y")</f>
        <v>#NAME?</v>
      </c>
    </row>
    <row r="155" spans="1:8">
      <c r="A155" s="1058" t="s">
        <v>279</v>
      </c>
      <c r="B155" s="1058" t="s">
        <v>280</v>
      </c>
      <c r="C155" s="1059" t="e">
        <f ca="1">BDH("BMBL US Equity","ARDR_FV_LIABS_REC_L1_OTHER","FY 2018","FY 2018","Currency=USD","Period=FY","BEST_FPERIOD_OVERRIDE=FY","FILING_STATUS=MR","SCALING_FORMAT=MLN","Sort=A","Dates=H","DateFormat=P","Fill=—","Direction=H","UseDPDF=Y")</f>
        <v>#NAME?</v>
      </c>
      <c r="D155" s="1059" t="e">
        <f ca="1">BDH("BMBL US Equity","ARDR_FV_LIABS_REC_L1_OTHER","FY 2019","FY 2019","Currency=USD","Period=FY","BEST_FPERIOD_OVERRIDE=FY","FILING_STATUS=MR","SCALING_FORMAT=MLN","Sort=A","Dates=H","DateFormat=P","Fill=—","Direction=H","UseDPDF=Y")</f>
        <v>#NAME?</v>
      </c>
      <c r="E155" s="1059" t="e">
        <f ca="1">BDH("BMBL US Equity","ARDR_FV_LIABS_REC_L1_OTHER","FY 2020","FY 2020","Currency=USD","Period=FY","BEST_FPERIOD_OVERRIDE=FY","FILING_STATUS=MR","SCALING_FORMAT=MLN","Sort=A","Dates=H","DateFormat=P","Fill=—","Direction=H","UseDPDF=Y")</f>
        <v>#NAME?</v>
      </c>
      <c r="F155" s="1059" t="e">
        <f ca="1">BDH("BMBL US Equity","ARDR_FV_LIABS_REC_L1_OTHER","FY 2021","FY 2021","Currency=USD","Period=FY","BEST_FPERIOD_OVERRIDE=FY","FILING_STATUS=MR","SCALING_FORMAT=MLN","Sort=A","Dates=H","DateFormat=P","Fill=—","Direction=H","UseDPDF=Y")</f>
        <v>#NAME?</v>
      </c>
      <c r="G155" s="1059" t="e">
        <f ca="1">BDH("BMBL US Equity","ARDR_FV_LIABS_REC_L1_OTHER","FY 2022","FY 2022","Currency=USD","Period=FY","BEST_FPERIOD_OVERRIDE=FY","FILING_STATUS=MR","SCALING_FORMAT=MLN","Sort=A","Dates=H","DateFormat=P","Fill=—","Direction=H","UseDPDF=Y")</f>
        <v>#NAME?</v>
      </c>
      <c r="H155" s="1059" t="e">
        <f ca="1">BDH("BMBL US Equity","ARDR_FV_LIABS_REC_L1_OTHER","FY 2023","FY 2023","Currency=USD","Period=FY","BEST_FPERIOD_OVERRIDE=FY","FILING_STATUS=MR","SCALING_FORMAT=MLN","Sort=A","Dates=H","DateFormat=P","Fill=—","Direction=H","UseDPDF=Y")</f>
        <v>#NAME?</v>
      </c>
    </row>
    <row r="156" spans="1:8">
      <c r="A156" s="1058" t="s">
        <v>281</v>
      </c>
      <c r="B156" s="1058" t="s">
        <v>282</v>
      </c>
      <c r="C156" s="1059" t="e">
        <f ca="1">BDH("BMBL US Equity","ARDR_FV_LIABS_REC_L2_DERIVATIVES","FY 2018","FY 2018","Currency=USD","Period=FY","BEST_FPERIOD_OVERRIDE=FY","FILING_STATUS=MR","SCALING_FORMAT=MLN","Sort=A","Dates=H","DateFormat=P","Fill=—","Direction=H","UseDPDF=Y")</f>
        <v>#NAME?</v>
      </c>
      <c r="D156" s="1059" t="e">
        <f ca="1">BDH("BMBL US Equity","ARDR_FV_LIABS_REC_L2_DERIVATIVES","FY 2019","FY 2019","Currency=USD","Period=FY","BEST_FPERIOD_OVERRIDE=FY","FILING_STATUS=MR","SCALING_FORMAT=MLN","Sort=A","Dates=H","DateFormat=P","Fill=—","Direction=H","UseDPDF=Y")</f>
        <v>#NAME?</v>
      </c>
      <c r="E156" s="1059" t="e">
        <f ca="1">BDH("BMBL US Equity","ARDR_FV_LIABS_REC_L2_DERIVATIVES","FY 2020","FY 2020","Currency=USD","Period=FY","BEST_FPERIOD_OVERRIDE=FY","FILING_STATUS=MR","SCALING_FORMAT=MLN","Sort=A","Dates=H","DateFormat=P","Fill=—","Direction=H","UseDPDF=Y")</f>
        <v>#NAME?</v>
      </c>
      <c r="F156" s="1059" t="e">
        <f ca="1">BDH("BMBL US Equity","ARDR_FV_LIABS_REC_L2_DERIVATIVES","FY 2021","FY 2021","Currency=USD","Period=FY","BEST_FPERIOD_OVERRIDE=FY","FILING_STATUS=MR","SCALING_FORMAT=MLN","Sort=A","Dates=H","DateFormat=P","Fill=—","Direction=H","UseDPDF=Y")</f>
        <v>#NAME?</v>
      </c>
      <c r="G156" s="1059" t="e">
        <f ca="1">BDH("BMBL US Equity","ARDR_FV_LIABS_REC_L2_DERIVATIVES","FY 2022","FY 2022","Currency=USD","Period=FY","BEST_FPERIOD_OVERRIDE=FY","FILING_STATUS=MR","SCALING_FORMAT=MLN","Sort=A","Dates=H","DateFormat=P","Fill=—","Direction=H","UseDPDF=Y")</f>
        <v>#NAME?</v>
      </c>
      <c r="H156" s="1059" t="e">
        <f ca="1">BDH("BMBL US Equity","ARDR_FV_LIABS_REC_L2_DERIVATIVES","FY 2023","FY 2023","Currency=USD","Period=FY","BEST_FPERIOD_OVERRIDE=FY","FILING_STATUS=MR","SCALING_FORMAT=MLN","Sort=A","Dates=H","DateFormat=P","Fill=—","Direction=H","UseDPDF=Y")</f>
        <v>#NAME?</v>
      </c>
    </row>
    <row r="157" spans="1:8">
      <c r="A157" s="1058" t="s">
        <v>283</v>
      </c>
      <c r="B157" s="1058" t="s">
        <v>284</v>
      </c>
      <c r="C157" s="1059" t="e">
        <f ca="1">BDH("BMBL US Equity","ARDR_FV_LIABS_REC_L2_OTHER","FY 2018","FY 2018","Currency=USD","Period=FY","BEST_FPERIOD_OVERRIDE=FY","FILING_STATUS=MR","SCALING_FORMAT=MLN","Sort=A","Dates=H","DateFormat=P","Fill=—","Direction=H","UseDPDF=Y")</f>
        <v>#NAME?</v>
      </c>
      <c r="D157" s="1059" t="e">
        <f ca="1">BDH("BMBL US Equity","ARDR_FV_LIABS_REC_L2_OTHER","FY 2019","FY 2019","Currency=USD","Period=FY","BEST_FPERIOD_OVERRIDE=FY","FILING_STATUS=MR","SCALING_FORMAT=MLN","Sort=A","Dates=H","DateFormat=P","Fill=—","Direction=H","UseDPDF=Y")</f>
        <v>#NAME?</v>
      </c>
      <c r="E157" s="1059" t="e">
        <f ca="1">BDH("BMBL US Equity","ARDR_FV_LIABS_REC_L2_OTHER","FY 2020","FY 2020","Currency=USD","Period=FY","BEST_FPERIOD_OVERRIDE=FY","FILING_STATUS=MR","SCALING_FORMAT=MLN","Sort=A","Dates=H","DateFormat=P","Fill=—","Direction=H","UseDPDF=Y")</f>
        <v>#NAME?</v>
      </c>
      <c r="F157" s="1059" t="e">
        <f ca="1">BDH("BMBL US Equity","ARDR_FV_LIABS_REC_L2_OTHER","FY 2021","FY 2021","Currency=USD","Period=FY","BEST_FPERIOD_OVERRIDE=FY","FILING_STATUS=MR","SCALING_FORMAT=MLN","Sort=A","Dates=H","DateFormat=P","Fill=—","Direction=H","UseDPDF=Y")</f>
        <v>#NAME?</v>
      </c>
      <c r="G157" s="1059" t="e">
        <f ca="1">BDH("BMBL US Equity","ARDR_FV_LIABS_REC_L2_OTHER","FY 2022","FY 2022","Currency=USD","Period=FY","BEST_FPERIOD_OVERRIDE=FY","FILING_STATUS=MR","SCALING_FORMAT=MLN","Sort=A","Dates=H","DateFormat=P","Fill=—","Direction=H","UseDPDF=Y")</f>
        <v>#NAME?</v>
      </c>
      <c r="H157" s="1059" t="e">
        <f ca="1">BDH("BMBL US Equity","ARDR_FV_LIABS_REC_L2_OTHER","FY 2023","FY 2023","Currency=USD","Period=FY","BEST_FPERIOD_OVERRIDE=FY","FILING_STATUS=MR","SCALING_FORMAT=MLN","Sort=A","Dates=H","DateFormat=P","Fill=—","Direction=H","UseDPDF=Y")</f>
        <v>#NAME?</v>
      </c>
    </row>
    <row r="158" spans="1:8">
      <c r="A158" s="1058" t="s">
        <v>285</v>
      </c>
      <c r="B158" s="1058" t="s">
        <v>286</v>
      </c>
      <c r="C158" s="1059" t="e">
        <f ca="1">BDH("BMBL US Equity","ARDR_FV_LIABS_REC_L3_DERIVATIVES","FY 2018","FY 2018","Currency=USD","Period=FY","BEST_FPERIOD_OVERRIDE=FY","FILING_STATUS=MR","SCALING_FORMAT=MLN","Sort=A","Dates=H","DateFormat=P","Fill=—","Direction=H","UseDPDF=Y")</f>
        <v>#NAME?</v>
      </c>
      <c r="D158" s="1059" t="e">
        <f ca="1">BDH("BMBL US Equity","ARDR_FV_LIABS_REC_L3_DERIVATIVES","FY 2019","FY 2019","Currency=USD","Period=FY","BEST_FPERIOD_OVERRIDE=FY","FILING_STATUS=MR","SCALING_FORMAT=MLN","Sort=A","Dates=H","DateFormat=P","Fill=—","Direction=H","UseDPDF=Y")</f>
        <v>#NAME?</v>
      </c>
      <c r="E158" s="1059" t="e">
        <f ca="1">BDH("BMBL US Equity","ARDR_FV_LIABS_REC_L3_DERIVATIVES","FY 2020","FY 2020","Currency=USD","Period=FY","BEST_FPERIOD_OVERRIDE=FY","FILING_STATUS=MR","SCALING_FORMAT=MLN","Sort=A","Dates=H","DateFormat=P","Fill=—","Direction=H","UseDPDF=Y")</f>
        <v>#NAME?</v>
      </c>
      <c r="F158" s="1059" t="e">
        <f ca="1">BDH("BMBL US Equity","ARDR_FV_LIABS_REC_L3_DERIVATIVES","FY 2021","FY 2021","Currency=USD","Period=FY","BEST_FPERIOD_OVERRIDE=FY","FILING_STATUS=MR","SCALING_FORMAT=MLN","Sort=A","Dates=H","DateFormat=P","Fill=—","Direction=H","UseDPDF=Y")</f>
        <v>#NAME?</v>
      </c>
      <c r="G158" s="1059" t="e">
        <f ca="1">BDH("BMBL US Equity","ARDR_FV_LIABS_REC_L3_DERIVATIVES","FY 2022","FY 2022","Currency=USD","Period=FY","BEST_FPERIOD_OVERRIDE=FY","FILING_STATUS=MR","SCALING_FORMAT=MLN","Sort=A","Dates=H","DateFormat=P","Fill=—","Direction=H","UseDPDF=Y")</f>
        <v>#NAME?</v>
      </c>
      <c r="H158" s="1059" t="e">
        <f ca="1">BDH("BMBL US Equity","ARDR_FV_LIABS_REC_L3_DERIVATIVES","FY 2023","FY 2023","Currency=USD","Period=FY","BEST_FPERIOD_OVERRIDE=FY","FILING_STATUS=MR","SCALING_FORMAT=MLN","Sort=A","Dates=H","DateFormat=P","Fill=—","Direction=H","UseDPDF=Y")</f>
        <v>#NAME?</v>
      </c>
    </row>
    <row r="159" spans="1:8">
      <c r="A159" s="1058" t="s">
        <v>287</v>
      </c>
      <c r="B159" s="1058" t="s">
        <v>288</v>
      </c>
      <c r="C159" s="1059" t="e">
        <f ca="1">BDH("BMBL US Equity","ARDR_FV_LIABS_REC_L3_OTHER","FY 2018","FY 2018","Currency=USD","Period=FY","BEST_FPERIOD_OVERRIDE=FY","FILING_STATUS=MR","SCALING_FORMAT=MLN","Sort=A","Dates=H","DateFormat=P","Fill=—","Direction=H","UseDPDF=Y")</f>
        <v>#NAME?</v>
      </c>
      <c r="D159" s="1059" t="e">
        <f ca="1">BDH("BMBL US Equity","ARDR_FV_LIABS_REC_L3_OTHER","FY 2019","FY 2019","Currency=USD","Period=FY","BEST_FPERIOD_OVERRIDE=FY","FILING_STATUS=MR","SCALING_FORMAT=MLN","Sort=A","Dates=H","DateFormat=P","Fill=—","Direction=H","UseDPDF=Y")</f>
        <v>#NAME?</v>
      </c>
      <c r="E159" s="1059" t="e">
        <f ca="1">BDH("BMBL US Equity","ARDR_FV_LIABS_REC_L3_OTHER","FY 2020","FY 2020","Currency=USD","Period=FY","BEST_FPERIOD_OVERRIDE=FY","FILING_STATUS=MR","SCALING_FORMAT=MLN","Sort=A","Dates=H","DateFormat=P","Fill=—","Direction=H","UseDPDF=Y")</f>
        <v>#NAME?</v>
      </c>
      <c r="F159" s="1059" t="e">
        <f ca="1">BDH("BMBL US Equity","ARDR_FV_LIABS_REC_L3_OTHER","FY 2021","FY 2021","Currency=USD","Period=FY","BEST_FPERIOD_OVERRIDE=FY","FILING_STATUS=MR","SCALING_FORMAT=MLN","Sort=A","Dates=H","DateFormat=P","Fill=—","Direction=H","UseDPDF=Y")</f>
        <v>#NAME?</v>
      </c>
      <c r="G159" s="1059" t="e">
        <f ca="1">BDH("BMBL US Equity","ARDR_FV_LIABS_REC_L3_OTHER","FY 2022","FY 2022","Currency=USD","Period=FY","BEST_FPERIOD_OVERRIDE=FY","FILING_STATUS=MR","SCALING_FORMAT=MLN","Sort=A","Dates=H","DateFormat=P","Fill=—","Direction=H","UseDPDF=Y")</f>
        <v>#NAME?</v>
      </c>
      <c r="H159" s="1059" t="e">
        <f ca="1">BDH("BMBL US Equity","ARDR_FV_LIABS_REC_L3_OTHER","FY 2023","FY 2023","Currency=USD","Period=FY","BEST_FPERIOD_OVERRIDE=FY","FILING_STATUS=MR","SCALING_FORMAT=MLN","Sort=A","Dates=H","DateFormat=P","Fill=—","Direction=H","UseDPDF=Y")</f>
        <v>#NAME?</v>
      </c>
    </row>
    <row r="160" spans="1:8">
      <c r="A160" s="1058" t="s">
        <v>289</v>
      </c>
      <c r="B160" s="1058" t="s">
        <v>290</v>
      </c>
      <c r="C160" s="1059" t="e">
        <f ca="1">BDH("BMBL US Equity","ARDR_FV_LIABS_REC_TOT_DERV","FY 2018","FY 2018","Currency=USD","Period=FY","BEST_FPERIOD_OVERRIDE=FY","FILING_STATUS=MR","SCALING_FORMAT=MLN","Sort=A","Dates=H","DateFormat=P","Fill=—","Direction=H","UseDPDF=Y")</f>
        <v>#NAME?</v>
      </c>
      <c r="D160" s="1059" t="e">
        <f ca="1">BDH("BMBL US Equity","ARDR_FV_LIABS_REC_TOT_DERV","FY 2019","FY 2019","Currency=USD","Period=FY","BEST_FPERIOD_OVERRIDE=FY","FILING_STATUS=MR","SCALING_FORMAT=MLN","Sort=A","Dates=H","DateFormat=P","Fill=—","Direction=H","UseDPDF=Y")</f>
        <v>#NAME?</v>
      </c>
      <c r="E160" s="1059" t="e">
        <f ca="1">BDH("BMBL US Equity","ARDR_FV_LIABS_REC_TOT_DERV","FY 2020","FY 2020","Currency=USD","Period=FY","BEST_FPERIOD_OVERRIDE=FY","FILING_STATUS=MR","SCALING_FORMAT=MLN","Sort=A","Dates=H","DateFormat=P","Fill=—","Direction=H","UseDPDF=Y")</f>
        <v>#NAME?</v>
      </c>
      <c r="F160" s="1059" t="e">
        <f ca="1">BDH("BMBL US Equity","ARDR_FV_LIABS_REC_TOT_DERV","FY 2021","FY 2021","Currency=USD","Period=FY","BEST_FPERIOD_OVERRIDE=FY","FILING_STATUS=MR","SCALING_FORMAT=MLN","Sort=A","Dates=H","DateFormat=P","Fill=—","Direction=H","UseDPDF=Y")</f>
        <v>#NAME?</v>
      </c>
      <c r="G160" s="1059" t="e">
        <f ca="1">BDH("BMBL US Equity","ARDR_FV_LIABS_REC_TOT_DERV","FY 2022","FY 2022","Currency=USD","Period=FY","BEST_FPERIOD_OVERRIDE=FY","FILING_STATUS=MR","SCALING_FORMAT=MLN","Sort=A","Dates=H","DateFormat=P","Fill=—","Direction=H","UseDPDF=Y")</f>
        <v>#NAME?</v>
      </c>
      <c r="H160" s="1059" t="e">
        <f ca="1">BDH("BMBL US Equity","ARDR_FV_LIABS_REC_TOT_DERV","FY 2023","FY 2023","Currency=USD","Period=FY","BEST_FPERIOD_OVERRIDE=FY","FILING_STATUS=MR","SCALING_FORMAT=MLN","Sort=A","Dates=H","DateFormat=P","Fill=—","Direction=H","UseDPDF=Y")</f>
        <v>#NAME?</v>
      </c>
    </row>
    <row r="161" spans="1:8">
      <c r="A161" s="1058" t="s">
        <v>291</v>
      </c>
      <c r="B161" s="1058" t="s">
        <v>292</v>
      </c>
      <c r="C161" s="1059" t="e">
        <f ca="1">BDH("BMBL US Equity","ARDR_FV_LIABS_REC_TOT_OTHER","FY 2018","FY 2018","Currency=USD","Period=FY","BEST_FPERIOD_OVERRIDE=FY","FILING_STATUS=MR","SCALING_FORMAT=MLN","Sort=A","Dates=H","DateFormat=P","Fill=—","Direction=H","UseDPDF=Y")</f>
        <v>#NAME?</v>
      </c>
      <c r="D161" s="1059" t="e">
        <f ca="1">BDH("BMBL US Equity","ARDR_FV_LIABS_REC_TOT_OTHER","FY 2019","FY 2019","Currency=USD","Period=FY","BEST_FPERIOD_OVERRIDE=FY","FILING_STATUS=MR","SCALING_FORMAT=MLN","Sort=A","Dates=H","DateFormat=P","Fill=—","Direction=H","UseDPDF=Y")</f>
        <v>#NAME?</v>
      </c>
      <c r="E161" s="1059" t="e">
        <f ca="1">BDH("BMBL US Equity","ARDR_FV_LIABS_REC_TOT_OTHER","FY 2020","FY 2020","Currency=USD","Period=FY","BEST_FPERIOD_OVERRIDE=FY","FILING_STATUS=MR","SCALING_FORMAT=MLN","Sort=A","Dates=H","DateFormat=P","Fill=—","Direction=H","UseDPDF=Y")</f>
        <v>#NAME?</v>
      </c>
      <c r="F161" s="1059" t="e">
        <f ca="1">BDH("BMBL US Equity","ARDR_FV_LIABS_REC_TOT_OTHER","FY 2021","FY 2021","Currency=USD","Period=FY","BEST_FPERIOD_OVERRIDE=FY","FILING_STATUS=MR","SCALING_FORMAT=MLN","Sort=A","Dates=H","DateFormat=P","Fill=—","Direction=H","UseDPDF=Y")</f>
        <v>#NAME?</v>
      </c>
      <c r="G161" s="1059" t="e">
        <f ca="1">BDH("BMBL US Equity","ARDR_FV_LIABS_REC_TOT_OTHER","FY 2022","FY 2022","Currency=USD","Period=FY","BEST_FPERIOD_OVERRIDE=FY","FILING_STATUS=MR","SCALING_FORMAT=MLN","Sort=A","Dates=H","DateFormat=P","Fill=—","Direction=H","UseDPDF=Y")</f>
        <v>#NAME?</v>
      </c>
      <c r="H161" s="1059" t="e">
        <f ca="1">BDH("BMBL US Equity","ARDR_FV_LIABS_REC_TOT_OTHER","FY 2023","FY 2023","Currency=USD","Period=FY","BEST_FPERIOD_OVERRIDE=FY","FILING_STATUS=MR","SCALING_FORMAT=MLN","Sort=A","Dates=H","DateFormat=P","Fill=—","Direction=H","UseDPDF=Y")</f>
        <v>#NAME?</v>
      </c>
    </row>
    <row r="162" spans="1:8">
      <c r="A162" s="1058" t="s">
        <v>293</v>
      </c>
      <c r="B162" s="1058" t="s">
        <v>294</v>
      </c>
      <c r="C162" s="1059" t="e">
        <f ca="1">BDH("BMBL US Equity","ARDR_OPTIONS_BEGINNING_OF_PERIOD","FY 2018","FY 2018","Currency=USD","Period=FY","BEST_FPERIOD_OVERRIDE=FY","FILING_STATUS=MR","Sort=A","Dates=H","DateFormat=P","Fill=—","Direction=H","UseDPDF=Y")</f>
        <v>#NAME?</v>
      </c>
      <c r="D162" s="1059" t="e">
        <f ca="1">BDH("BMBL US Equity","ARDR_OPTIONS_BEGINNING_OF_PERIOD","FY 2019","FY 2019","Currency=USD","Period=FY","BEST_FPERIOD_OVERRIDE=FY","FILING_STATUS=MR","Sort=A","Dates=H","DateFormat=P","Fill=—","Direction=H","UseDPDF=Y")</f>
        <v>#NAME?</v>
      </c>
      <c r="E162" s="1059" t="e">
        <f ca="1">BDH("BMBL US Equity","ARDR_OPTIONS_BEGINNING_OF_PERIOD","FY 2020","FY 2020","Currency=USD","Period=FY","BEST_FPERIOD_OVERRIDE=FY","FILING_STATUS=MR","Sort=A","Dates=H","DateFormat=P","Fill=—","Direction=H","UseDPDF=Y")</f>
        <v>#NAME?</v>
      </c>
      <c r="F162" s="1059" t="e">
        <f ca="1">BDH("BMBL US Equity","ARDR_OPTIONS_BEGINNING_OF_PERIOD","FY 2021","FY 2021","Currency=USD","Period=FY","BEST_FPERIOD_OVERRIDE=FY","FILING_STATUS=MR","Sort=A","Dates=H","DateFormat=P","Fill=—","Direction=H","UseDPDF=Y")</f>
        <v>#NAME?</v>
      </c>
      <c r="G162" s="1059" t="e">
        <f ca="1">BDH("BMBL US Equity","ARDR_OPTIONS_BEGINNING_OF_PERIOD","FY 2022","FY 2022","Currency=USD","Period=FY","BEST_FPERIOD_OVERRIDE=FY","FILING_STATUS=MR","Sort=A","Dates=H","DateFormat=P","Fill=—","Direction=H","UseDPDF=Y")</f>
        <v>#NAME?</v>
      </c>
      <c r="H162" s="1059" t="e">
        <f ca="1">BDH("BMBL US Equity","ARDR_OPTIONS_BEGINNING_OF_PERIOD","FY 2023","FY 2023","Currency=USD","Period=FY","BEST_FPERIOD_OVERRIDE=FY","FILING_STATUS=MR","Sort=A","Dates=H","DateFormat=P","Fill=—","Direction=H","UseDPDF=Y")</f>
        <v>#NAME?</v>
      </c>
    </row>
    <row r="163" spans="1:8">
      <c r="A163" s="1058" t="s">
        <v>295</v>
      </c>
      <c r="B163" s="1058" t="s">
        <v>296</v>
      </c>
      <c r="C163" s="1059" t="e">
        <f ca="1">BDH("BMBL US Equity","ARDR_OPTIONS_ADJUSTMENT","FY 2018","FY 2018","Currency=USD","Period=FY","BEST_FPERIOD_OVERRIDE=FY","FILING_STATUS=MR","Sort=A","Dates=H","DateFormat=P","Fill=—","Direction=H","UseDPDF=Y")</f>
        <v>#NAME?</v>
      </c>
      <c r="D163" s="1059" t="e">
        <f ca="1">BDH("BMBL US Equity","ARDR_OPTIONS_ADJUSTMENT","FY 2019","FY 2019","Currency=USD","Period=FY","BEST_FPERIOD_OVERRIDE=FY","FILING_STATUS=MR","Sort=A","Dates=H","DateFormat=P","Fill=—","Direction=H","UseDPDF=Y")</f>
        <v>#NAME?</v>
      </c>
      <c r="E163" s="1059" t="e">
        <f ca="1">BDH("BMBL US Equity","ARDR_OPTIONS_ADJUSTMENT","FY 2020","FY 2020","Currency=USD","Period=FY","BEST_FPERIOD_OVERRIDE=FY","FILING_STATUS=MR","Sort=A","Dates=H","DateFormat=P","Fill=—","Direction=H","UseDPDF=Y")</f>
        <v>#NAME?</v>
      </c>
      <c r="F163" s="1059" t="e">
        <f ca="1">BDH("BMBL US Equity","ARDR_OPTIONS_ADJUSTMENT","FY 2021","FY 2021","Currency=USD","Period=FY","BEST_FPERIOD_OVERRIDE=FY","FILING_STATUS=MR","Sort=A","Dates=H","DateFormat=P","Fill=—","Direction=H","UseDPDF=Y")</f>
        <v>#NAME?</v>
      </c>
      <c r="G163" s="1059" t="e">
        <f ca="1">BDH("BMBL US Equity","ARDR_OPTIONS_ADJUSTMENT","FY 2022","FY 2022","Currency=USD","Period=FY","BEST_FPERIOD_OVERRIDE=FY","FILING_STATUS=MR","Sort=A","Dates=H","DateFormat=P","Fill=—","Direction=H","UseDPDF=Y")</f>
        <v>#NAME?</v>
      </c>
      <c r="H163" s="1059" t="e">
        <f ca="1">BDH("BMBL US Equity","ARDR_OPTIONS_ADJUSTMENT","FY 2023","FY 2023","Currency=USD","Period=FY","BEST_FPERIOD_OVERRIDE=FY","FILING_STATUS=MR","Sort=A","Dates=H","DateFormat=P","Fill=—","Direction=H","UseDPDF=Y")</f>
        <v>#NAME?</v>
      </c>
    </row>
    <row r="164" spans="1:8">
      <c r="A164" s="1058" t="s">
        <v>297</v>
      </c>
      <c r="B164" s="1058" t="s">
        <v>298</v>
      </c>
      <c r="C164" s="1059" t="e">
        <f ca="1">BDH("BMBL US Equity","ARDR_RESTRICTED_STOCK_UNITS","FY 2018","FY 2018","Currency=USD","Period=FY","BEST_FPERIOD_OVERRIDE=FY","FILING_STATUS=MR","Sort=A","Dates=H","DateFormat=P","Fill=—","Direction=H","UseDPDF=Y")</f>
        <v>#NAME?</v>
      </c>
      <c r="D164" s="1059" t="e">
        <f ca="1">BDH("BMBL US Equity","ARDR_RESTRICTED_STOCK_UNITS","FY 2019","FY 2019","Currency=USD","Period=FY","BEST_FPERIOD_OVERRIDE=FY","FILING_STATUS=MR","Sort=A","Dates=H","DateFormat=P","Fill=—","Direction=H","UseDPDF=Y")</f>
        <v>#NAME?</v>
      </c>
      <c r="E164" s="1059" t="e">
        <f ca="1">BDH("BMBL US Equity","ARDR_RESTRICTED_STOCK_UNITS","FY 2020","FY 2020","Currency=USD","Period=FY","BEST_FPERIOD_OVERRIDE=FY","FILING_STATUS=MR","Sort=A","Dates=H","DateFormat=P","Fill=—","Direction=H","UseDPDF=Y")</f>
        <v>#NAME?</v>
      </c>
      <c r="F164" s="1059" t="e">
        <f ca="1">BDH("BMBL US Equity","ARDR_RESTRICTED_STOCK_UNITS","FY 2021","FY 2021","Currency=USD","Period=FY","BEST_FPERIOD_OVERRIDE=FY","FILING_STATUS=MR","Sort=A","Dates=H","DateFormat=P","Fill=—","Direction=H","UseDPDF=Y")</f>
        <v>#NAME?</v>
      </c>
      <c r="G164" s="1059" t="e">
        <f ca="1">BDH("BMBL US Equity","ARDR_RESTRICTED_STOCK_UNITS","FY 2022","FY 2022","Currency=USD","Period=FY","BEST_FPERIOD_OVERRIDE=FY","FILING_STATUS=MR","Sort=A","Dates=H","DateFormat=P","Fill=—","Direction=H","UseDPDF=Y")</f>
        <v>#NAME?</v>
      </c>
      <c r="H164" s="1059" t="e">
        <f ca="1">BDH("BMBL US Equity","ARDR_RESTRICTED_STOCK_UNITS","FY 2023","FY 2023","Currency=USD","Period=FY","BEST_FPERIOD_OVERRIDE=FY","FILING_STATUS=MR","Sort=A","Dates=H","DateFormat=P","Fill=—","Direction=H","UseDPDF=Y")</f>
        <v>#NAME?</v>
      </c>
    </row>
    <row r="165" spans="1:8">
      <c r="A165" s="1058" t="s">
        <v>299</v>
      </c>
      <c r="B165" s="1058" t="s">
        <v>300</v>
      </c>
      <c r="C165" s="1057" t="e">
        <f ca="1">BDH("BMBL US Equity","ARDR_RSTR_STK_UNIT_WAVG_FV_PS","FY 2018","FY 2018","Currency=USD","Period=FY","BEST_FPERIOD_OVERRIDE=FY","FILING_STATUS=MR","Sort=A","Dates=H","DateFormat=P","Fill=—","Direction=H","UseDPDF=Y")</f>
        <v>#NAME?</v>
      </c>
      <c r="D165" s="1057" t="e">
        <f ca="1">BDH("BMBL US Equity","ARDR_RSTR_STK_UNIT_WAVG_FV_PS","FY 2019","FY 2019","Currency=USD","Period=FY","BEST_FPERIOD_OVERRIDE=FY","FILING_STATUS=MR","Sort=A","Dates=H","DateFormat=P","Fill=—","Direction=H","UseDPDF=Y")</f>
        <v>#NAME?</v>
      </c>
      <c r="E165" s="1057" t="e">
        <f ca="1">BDH("BMBL US Equity","ARDR_RSTR_STK_UNIT_WAVG_FV_PS","FY 2020","FY 2020","Currency=USD","Period=FY","BEST_FPERIOD_OVERRIDE=FY","FILING_STATUS=MR","Sort=A","Dates=H","DateFormat=P","Fill=—","Direction=H","UseDPDF=Y")</f>
        <v>#NAME?</v>
      </c>
      <c r="F165" s="1057" t="e">
        <f ca="1">BDH("BMBL US Equity","ARDR_RSTR_STK_UNIT_WAVG_FV_PS","FY 2021","FY 2021","Currency=USD","Period=FY","BEST_FPERIOD_OVERRIDE=FY","FILING_STATUS=MR","Sort=A","Dates=H","DateFormat=P","Fill=—","Direction=H","UseDPDF=Y")</f>
        <v>#NAME?</v>
      </c>
      <c r="G165" s="1057" t="e">
        <f ca="1">BDH("BMBL US Equity","ARDR_RSTR_STK_UNIT_WAVG_FV_PS","FY 2022","FY 2022","Currency=USD","Period=FY","BEST_FPERIOD_OVERRIDE=FY","FILING_STATUS=MR","Sort=A","Dates=H","DateFormat=P","Fill=—","Direction=H","UseDPDF=Y")</f>
        <v>#NAME?</v>
      </c>
      <c r="H165" s="1057" t="e">
        <f ca="1">BDH("BMBL US Equity","ARDR_RSTR_STK_UNIT_WAVG_FV_PS","FY 2023","FY 2023","Currency=USD","Period=FY","BEST_FPERIOD_OVERRIDE=FY","FILING_STATUS=MR","Sort=A","Dates=H","DateFormat=P","Fill=—","Direction=H","UseDPDF=Y")</f>
        <v>#NAME?</v>
      </c>
    </row>
    <row r="166" spans="1:8">
      <c r="A166" s="1058" t="s">
        <v>301</v>
      </c>
      <c r="B166" s="1058" t="s">
        <v>302</v>
      </c>
      <c r="C166" s="1057" t="e">
        <f ca="1">BDH("BMBL US Equity","ARDR_STK_OPT_VALN_RFR_PCT_LO","FY 2018","FY 2018","Currency=USD","Period=FY","BEST_FPERIOD_OVERRIDE=FY","FILING_STATUS=MR","Sort=A","Dates=H","DateFormat=P","Fill=—","Direction=H","UseDPDF=Y")</f>
        <v>#NAME?</v>
      </c>
      <c r="D166" s="1057" t="e">
        <f ca="1">BDH("BMBL US Equity","ARDR_STK_OPT_VALN_RFR_PCT_LO","FY 2019","FY 2019","Currency=USD","Period=FY","BEST_FPERIOD_OVERRIDE=FY","FILING_STATUS=MR","Sort=A","Dates=H","DateFormat=P","Fill=—","Direction=H","UseDPDF=Y")</f>
        <v>#NAME?</v>
      </c>
      <c r="E166" s="1057" t="e">
        <f ca="1">BDH("BMBL US Equity","ARDR_STK_OPT_VALN_RFR_PCT_LO","FY 2020","FY 2020","Currency=USD","Period=FY","BEST_FPERIOD_OVERRIDE=FY","FILING_STATUS=MR","Sort=A","Dates=H","DateFormat=P","Fill=—","Direction=H","UseDPDF=Y")</f>
        <v>#NAME?</v>
      </c>
      <c r="F166" s="1057" t="e">
        <f ca="1">BDH("BMBL US Equity","ARDR_STK_OPT_VALN_RFR_PCT_LO","FY 2021","FY 2021","Currency=USD","Period=FY","BEST_FPERIOD_OVERRIDE=FY","FILING_STATUS=MR","Sort=A","Dates=H","DateFormat=P","Fill=—","Direction=H","UseDPDF=Y")</f>
        <v>#NAME?</v>
      </c>
      <c r="G166" s="1057" t="e">
        <f ca="1">BDH("BMBL US Equity","ARDR_STK_OPT_VALN_RFR_PCT_LO","FY 2022","FY 2022","Currency=USD","Period=FY","BEST_FPERIOD_OVERRIDE=FY","FILING_STATUS=MR","Sort=A","Dates=H","DateFormat=P","Fill=—","Direction=H","UseDPDF=Y")</f>
        <v>#NAME?</v>
      </c>
      <c r="H166" s="1057" t="e">
        <f ca="1">BDH("BMBL US Equity","ARDR_STK_OPT_VALN_RFR_PCT_LO","FY 2023","FY 2023","Currency=USD","Period=FY","BEST_FPERIOD_OVERRIDE=FY","FILING_STATUS=MR","Sort=A","Dates=H","DateFormat=P","Fill=—","Direction=H","UseDPDF=Y")</f>
        <v>#NAME?</v>
      </c>
    </row>
    <row r="167" spans="1:8">
      <c r="A167" s="1058" t="s">
        <v>303</v>
      </c>
      <c r="B167" s="1058" t="s">
        <v>304</v>
      </c>
      <c r="C167" s="1057" t="e">
        <f ca="1">BDH("BMBL US Equity","ARDR_STK_OPT_VALN_RFR_PCT_HI","FY 2018","FY 2018","Currency=USD","Period=FY","BEST_FPERIOD_OVERRIDE=FY","FILING_STATUS=MR","Sort=A","Dates=H","DateFormat=P","Fill=—","Direction=H","UseDPDF=Y")</f>
        <v>#NAME?</v>
      </c>
      <c r="D167" s="1057" t="e">
        <f ca="1">BDH("BMBL US Equity","ARDR_STK_OPT_VALN_RFR_PCT_HI","FY 2019","FY 2019","Currency=USD","Period=FY","BEST_FPERIOD_OVERRIDE=FY","FILING_STATUS=MR","Sort=A","Dates=H","DateFormat=P","Fill=—","Direction=H","UseDPDF=Y")</f>
        <v>#NAME?</v>
      </c>
      <c r="E167" s="1057" t="e">
        <f ca="1">BDH("BMBL US Equity","ARDR_STK_OPT_VALN_RFR_PCT_HI","FY 2020","FY 2020","Currency=USD","Period=FY","BEST_FPERIOD_OVERRIDE=FY","FILING_STATUS=MR","Sort=A","Dates=H","DateFormat=P","Fill=—","Direction=H","UseDPDF=Y")</f>
        <v>#NAME?</v>
      </c>
      <c r="F167" s="1057" t="e">
        <f ca="1">BDH("BMBL US Equity","ARDR_STK_OPT_VALN_RFR_PCT_HI","FY 2021","FY 2021","Currency=USD","Period=FY","BEST_FPERIOD_OVERRIDE=FY","FILING_STATUS=MR","Sort=A","Dates=H","DateFormat=P","Fill=—","Direction=H","UseDPDF=Y")</f>
        <v>#NAME?</v>
      </c>
      <c r="G167" s="1057" t="e">
        <f ca="1">BDH("BMBL US Equity","ARDR_STK_OPT_VALN_RFR_PCT_HI","FY 2022","FY 2022","Currency=USD","Period=FY","BEST_FPERIOD_OVERRIDE=FY","FILING_STATUS=MR","Sort=A","Dates=H","DateFormat=P","Fill=—","Direction=H","UseDPDF=Y")</f>
        <v>#NAME?</v>
      </c>
      <c r="H167" s="1057" t="e">
        <f ca="1">BDH("BMBL US Equity","ARDR_STK_OPT_VALN_RFR_PCT_HI","FY 2023","FY 2023","Currency=USD","Period=FY","BEST_FPERIOD_OVERRIDE=FY","FILING_STATUS=MR","Sort=A","Dates=H","DateFormat=P","Fill=—","Direction=H","UseDPDF=Y")</f>
        <v>#NAME?</v>
      </c>
    </row>
    <row r="168" spans="1:8">
      <c r="A168" s="1058" t="s">
        <v>305</v>
      </c>
      <c r="B168" s="1058" t="s">
        <v>306</v>
      </c>
      <c r="C168" s="1057" t="e">
        <f ca="1">BDH("BMBL US Equity","ARDR_STK_OPT_VALN_EXPCTD_LF_Y_LO","FY 2018","FY 2018","Currency=USD","Period=FY","BEST_FPERIOD_OVERRIDE=FY","FILING_STATUS=MR","Sort=A","Dates=H","DateFormat=P","Fill=—","Direction=H","UseDPDF=Y")</f>
        <v>#NAME?</v>
      </c>
      <c r="D168" s="1057" t="e">
        <f ca="1">BDH("BMBL US Equity","ARDR_STK_OPT_VALN_EXPCTD_LF_Y_LO","FY 2019","FY 2019","Currency=USD","Period=FY","BEST_FPERIOD_OVERRIDE=FY","FILING_STATUS=MR","Sort=A","Dates=H","DateFormat=P","Fill=—","Direction=H","UseDPDF=Y")</f>
        <v>#NAME?</v>
      </c>
      <c r="E168" s="1057" t="e">
        <f ca="1">BDH("BMBL US Equity","ARDR_STK_OPT_VALN_EXPCTD_LF_Y_LO","FY 2020","FY 2020","Currency=USD","Period=FY","BEST_FPERIOD_OVERRIDE=FY","FILING_STATUS=MR","Sort=A","Dates=H","DateFormat=P","Fill=—","Direction=H","UseDPDF=Y")</f>
        <v>#NAME?</v>
      </c>
      <c r="F168" s="1057" t="e">
        <f ca="1">BDH("BMBL US Equity","ARDR_STK_OPT_VALN_EXPCTD_LF_Y_LO","FY 2021","FY 2021","Currency=USD","Period=FY","BEST_FPERIOD_OVERRIDE=FY","FILING_STATUS=MR","Sort=A","Dates=H","DateFormat=P","Fill=—","Direction=H","UseDPDF=Y")</f>
        <v>#NAME?</v>
      </c>
      <c r="G168" s="1057" t="e">
        <f ca="1">BDH("BMBL US Equity","ARDR_STK_OPT_VALN_EXPCTD_LF_Y_LO","FY 2022","FY 2022","Currency=USD","Period=FY","BEST_FPERIOD_OVERRIDE=FY","FILING_STATUS=MR","Sort=A","Dates=H","DateFormat=P","Fill=—","Direction=H","UseDPDF=Y")</f>
        <v>#NAME?</v>
      </c>
      <c r="H168" s="1057" t="e">
        <f ca="1">BDH("BMBL US Equity","ARDR_STK_OPT_VALN_EXPCTD_LF_Y_LO","FY 2023","FY 2023","Currency=USD","Period=FY","BEST_FPERIOD_OVERRIDE=FY","FILING_STATUS=MR","Sort=A","Dates=H","DateFormat=P","Fill=—","Direction=H","UseDPDF=Y")</f>
        <v>#NAME?</v>
      </c>
    </row>
    <row r="169" spans="1:8">
      <c r="A169" s="1058" t="s">
        <v>307</v>
      </c>
      <c r="B169" s="1058" t="s">
        <v>308</v>
      </c>
      <c r="C169" s="1057" t="e">
        <f ca="1">BDH("BMBL US Equity","ARDR_STK_OPT_VALN_EXPCTD_LF_Y_HI","FY 2018","FY 2018","Currency=USD","Period=FY","BEST_FPERIOD_OVERRIDE=FY","FILING_STATUS=MR","Sort=A","Dates=H","DateFormat=P","Fill=—","Direction=H","UseDPDF=Y")</f>
        <v>#NAME?</v>
      </c>
      <c r="D169" s="1057" t="e">
        <f ca="1">BDH("BMBL US Equity","ARDR_STK_OPT_VALN_EXPCTD_LF_Y_HI","FY 2019","FY 2019","Currency=USD","Period=FY","BEST_FPERIOD_OVERRIDE=FY","FILING_STATUS=MR","Sort=A","Dates=H","DateFormat=P","Fill=—","Direction=H","UseDPDF=Y")</f>
        <v>#NAME?</v>
      </c>
      <c r="E169" s="1057" t="e">
        <f ca="1">BDH("BMBL US Equity","ARDR_STK_OPT_VALN_EXPCTD_LF_Y_HI","FY 2020","FY 2020","Currency=USD","Period=FY","BEST_FPERIOD_OVERRIDE=FY","FILING_STATUS=MR","Sort=A","Dates=H","DateFormat=P","Fill=—","Direction=H","UseDPDF=Y")</f>
        <v>#NAME?</v>
      </c>
      <c r="F169" s="1057" t="e">
        <f ca="1">BDH("BMBL US Equity","ARDR_STK_OPT_VALN_EXPCTD_LF_Y_HI","FY 2021","FY 2021","Currency=USD","Period=FY","BEST_FPERIOD_OVERRIDE=FY","FILING_STATUS=MR","Sort=A","Dates=H","DateFormat=P","Fill=—","Direction=H","UseDPDF=Y")</f>
        <v>#NAME?</v>
      </c>
      <c r="G169" s="1057" t="e">
        <f ca="1">BDH("BMBL US Equity","ARDR_STK_OPT_VALN_EXPCTD_LF_Y_HI","FY 2022","FY 2022","Currency=USD","Period=FY","BEST_FPERIOD_OVERRIDE=FY","FILING_STATUS=MR","Sort=A","Dates=H","DateFormat=P","Fill=—","Direction=H","UseDPDF=Y")</f>
        <v>#NAME?</v>
      </c>
      <c r="H169" s="1057" t="e">
        <f ca="1">BDH("BMBL US Equity","ARDR_STK_OPT_VALN_EXPCTD_LF_Y_HI","FY 2023","FY 2023","Currency=USD","Period=FY","BEST_FPERIOD_OVERRIDE=FY","FILING_STATUS=MR","Sort=A","Dates=H","DateFormat=P","Fill=—","Direction=H","UseDPDF=Y")</f>
        <v>#NAME?</v>
      </c>
    </row>
    <row r="170" spans="1:8">
      <c r="A170" s="1058" t="s">
        <v>309</v>
      </c>
      <c r="B170" s="1058" t="s">
        <v>310</v>
      </c>
      <c r="C170" s="1057" t="e">
        <f ca="1">BDH("BMBL US Equity","ARDR_STK_OPT_VALN_EXP_VOL_PCT_LO","FY 2018","FY 2018","Currency=USD","Period=FY","BEST_FPERIOD_OVERRIDE=FY","FILING_STATUS=MR","Sort=A","Dates=H","DateFormat=P","Fill=—","Direction=H","UseDPDF=Y")</f>
        <v>#NAME?</v>
      </c>
      <c r="D170" s="1057" t="e">
        <f ca="1">BDH("BMBL US Equity","ARDR_STK_OPT_VALN_EXP_VOL_PCT_LO","FY 2019","FY 2019","Currency=USD","Period=FY","BEST_FPERIOD_OVERRIDE=FY","FILING_STATUS=MR","Sort=A","Dates=H","DateFormat=P","Fill=—","Direction=H","UseDPDF=Y")</f>
        <v>#NAME?</v>
      </c>
      <c r="E170" s="1057" t="e">
        <f ca="1">BDH("BMBL US Equity","ARDR_STK_OPT_VALN_EXP_VOL_PCT_LO","FY 2020","FY 2020","Currency=USD","Period=FY","BEST_FPERIOD_OVERRIDE=FY","FILING_STATUS=MR","Sort=A","Dates=H","DateFormat=P","Fill=—","Direction=H","UseDPDF=Y")</f>
        <v>#NAME?</v>
      </c>
      <c r="F170" s="1057" t="e">
        <f ca="1">BDH("BMBL US Equity","ARDR_STK_OPT_VALN_EXP_VOL_PCT_LO","FY 2021","FY 2021","Currency=USD","Period=FY","BEST_FPERIOD_OVERRIDE=FY","FILING_STATUS=MR","Sort=A","Dates=H","DateFormat=P","Fill=—","Direction=H","UseDPDF=Y")</f>
        <v>#NAME?</v>
      </c>
      <c r="G170" s="1057" t="e">
        <f ca="1">BDH("BMBL US Equity","ARDR_STK_OPT_VALN_EXP_VOL_PCT_LO","FY 2022","FY 2022","Currency=USD","Period=FY","BEST_FPERIOD_OVERRIDE=FY","FILING_STATUS=MR","Sort=A","Dates=H","DateFormat=P","Fill=—","Direction=H","UseDPDF=Y")</f>
        <v>#NAME?</v>
      </c>
      <c r="H170" s="1057" t="e">
        <f ca="1">BDH("BMBL US Equity","ARDR_STK_OPT_VALN_EXP_VOL_PCT_LO","FY 2023","FY 2023","Currency=USD","Period=FY","BEST_FPERIOD_OVERRIDE=FY","FILING_STATUS=MR","Sort=A","Dates=H","DateFormat=P","Fill=—","Direction=H","UseDPDF=Y")</f>
        <v>#NAME?</v>
      </c>
    </row>
    <row r="171" spans="1:8">
      <c r="A171" s="1058" t="s">
        <v>311</v>
      </c>
      <c r="B171" s="1058" t="s">
        <v>312</v>
      </c>
      <c r="C171" s="1057" t="e">
        <f ca="1">BDH("BMBL US Equity","ARDR_STK_OPT_VALN_EXP_VOL_PCT_HI","FY 2018","FY 2018","Currency=USD","Period=FY","BEST_FPERIOD_OVERRIDE=FY","FILING_STATUS=MR","Sort=A","Dates=H","DateFormat=P","Fill=—","Direction=H","UseDPDF=Y")</f>
        <v>#NAME?</v>
      </c>
      <c r="D171" s="1057" t="e">
        <f ca="1">BDH("BMBL US Equity","ARDR_STK_OPT_VALN_EXP_VOL_PCT_HI","FY 2019","FY 2019","Currency=USD","Period=FY","BEST_FPERIOD_OVERRIDE=FY","FILING_STATUS=MR","Sort=A","Dates=H","DateFormat=P","Fill=—","Direction=H","UseDPDF=Y")</f>
        <v>#NAME?</v>
      </c>
      <c r="E171" s="1057" t="e">
        <f ca="1">BDH("BMBL US Equity","ARDR_STK_OPT_VALN_EXP_VOL_PCT_HI","FY 2020","FY 2020","Currency=USD","Period=FY","BEST_FPERIOD_OVERRIDE=FY","FILING_STATUS=MR","Sort=A","Dates=H","DateFormat=P","Fill=—","Direction=H","UseDPDF=Y")</f>
        <v>#NAME?</v>
      </c>
      <c r="F171" s="1057" t="e">
        <f ca="1">BDH("BMBL US Equity","ARDR_STK_OPT_VALN_EXP_VOL_PCT_HI","FY 2021","FY 2021","Currency=USD","Period=FY","BEST_FPERIOD_OVERRIDE=FY","FILING_STATUS=MR","Sort=A","Dates=H","DateFormat=P","Fill=—","Direction=H","UseDPDF=Y")</f>
        <v>#NAME?</v>
      </c>
      <c r="G171" s="1057" t="e">
        <f ca="1">BDH("BMBL US Equity","ARDR_STK_OPT_VALN_EXP_VOL_PCT_HI","FY 2022","FY 2022","Currency=USD","Period=FY","BEST_FPERIOD_OVERRIDE=FY","FILING_STATUS=MR","Sort=A","Dates=H","DateFormat=P","Fill=—","Direction=H","UseDPDF=Y")</f>
        <v>#NAME?</v>
      </c>
      <c r="H171" s="1057" t="e">
        <f ca="1">BDH("BMBL US Equity","ARDR_STK_OPT_VALN_EXP_VOL_PCT_HI","FY 2023","FY 2023","Currency=USD","Period=FY","BEST_FPERIOD_OVERRIDE=FY","FILING_STATUS=MR","Sort=A","Dates=H","DateFormat=P","Fill=—","Direction=H","UseDPDF=Y")</f>
        <v>#NAME?</v>
      </c>
    </row>
    <row r="172" spans="1:8">
      <c r="A172" s="1056" t="s">
        <v>313</v>
      </c>
      <c r="B172" s="1056"/>
      <c r="C172" s="1056" t="s">
        <v>314</v>
      </c>
      <c r="D172" s="1056"/>
      <c r="E172" s="1056"/>
      <c r="F172" s="1056"/>
      <c r="G172" s="1056"/>
      <c r="H172" s="105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
  <sheetViews>
    <sheetView topLeftCell="A37" workbookViewId="0">
      <selection activeCell="A69" sqref="A69"/>
    </sheetView>
  </sheetViews>
  <sheetFormatPr defaultColWidth="8.88671875" defaultRowHeight="14.4"/>
  <cols>
    <col min="1" max="1" width="35.109375" customWidth="1"/>
    <col min="2" max="2" width="0" hidden="1" customWidth="1"/>
    <col min="3" max="8" width="11.88671875" customWidth="1"/>
  </cols>
  <sheetData>
    <row r="1" spans="1:8">
      <c r="A1" s="1070"/>
      <c r="B1" s="1070"/>
      <c r="C1" s="1070"/>
      <c r="D1" s="1070"/>
      <c r="E1" s="1070"/>
      <c r="F1" s="1070"/>
      <c r="G1" s="1070"/>
      <c r="H1" s="1070"/>
    </row>
    <row r="2" spans="1:8" ht="21">
      <c r="A2" s="1069" t="s">
        <v>315</v>
      </c>
      <c r="B2" s="1069"/>
      <c r="C2" s="1069"/>
      <c r="D2" s="1069"/>
      <c r="E2" s="1069"/>
      <c r="F2" s="1069"/>
      <c r="G2" s="1069"/>
      <c r="H2" s="1069"/>
    </row>
    <row r="3" spans="1:8">
      <c r="A3" s="1068"/>
      <c r="B3" s="1068"/>
      <c r="C3" s="1068"/>
      <c r="D3" s="1068"/>
      <c r="E3" s="1068"/>
      <c r="F3" s="1068"/>
      <c r="G3" s="1068"/>
      <c r="H3" s="1068"/>
    </row>
    <row r="4" spans="1:8">
      <c r="A4" s="1067" t="s">
        <v>1</v>
      </c>
      <c r="B4" s="1067"/>
      <c r="C4" s="1066" t="s">
        <v>2</v>
      </c>
      <c r="D4" s="1066" t="s">
        <v>3</v>
      </c>
      <c r="E4" s="1066" t="s">
        <v>4</v>
      </c>
      <c r="F4" s="1066" t="s">
        <v>5</v>
      </c>
      <c r="G4" s="1066" t="s">
        <v>6</v>
      </c>
      <c r="H4" s="1066" t="s">
        <v>7</v>
      </c>
    </row>
    <row r="5" spans="1:8">
      <c r="A5" s="1072" t="s">
        <v>8</v>
      </c>
      <c r="B5" s="1072"/>
      <c r="C5" s="1071" t="s">
        <v>9</v>
      </c>
      <c r="D5" s="1071" t="s">
        <v>10</v>
      </c>
      <c r="E5" s="1071" t="s">
        <v>11</v>
      </c>
      <c r="F5" s="1071" t="s">
        <v>12</v>
      </c>
      <c r="G5" s="1071" t="s">
        <v>13</v>
      </c>
      <c r="H5" s="1071" t="s">
        <v>14</v>
      </c>
    </row>
    <row r="6" spans="1:8">
      <c r="A6" s="1062" t="s">
        <v>44</v>
      </c>
      <c r="B6" s="1063"/>
      <c r="C6" s="1063"/>
      <c r="D6" s="1063"/>
      <c r="E6" s="1063"/>
      <c r="F6" s="1063"/>
      <c r="G6" s="1063"/>
      <c r="H6" s="1063"/>
    </row>
    <row r="7" spans="1:8">
      <c r="A7" s="1058" t="s">
        <v>316</v>
      </c>
      <c r="B7" s="1058" t="s">
        <v>317</v>
      </c>
      <c r="C7" s="1059" t="e">
        <f ca="1">BDH("BMBL US Equity","CASH_CASH_EQTY_STI_DETAILED","FY 2018","FY 2018","Currency=USD","Period=FY","BEST_FPERIOD_OVERRIDE=FY","FILING_STATUS=MR","SCALING_FORMAT=MLN","Sort=A","Dates=H","DateFormat=P","Fill=—","Direction=H","UseDPDF=Y")</f>
        <v>#NAME?</v>
      </c>
      <c r="D7" s="1059" t="e">
        <f ca="1">BDH("BMBL US Equity","CASH_CASH_EQTY_STI_DETAILED","FY 2019","FY 2019","Currency=USD","Period=FY","BEST_FPERIOD_OVERRIDE=FY","FILING_STATUS=MR","SCALING_FORMAT=MLN","Sort=A","Dates=H","DateFormat=P","Fill=—","Direction=H","UseDPDF=Y")</f>
        <v>#NAME?</v>
      </c>
      <c r="E7" s="1059" t="e">
        <f ca="1">BDH("BMBL US Equity","CASH_CASH_EQTY_STI_DETAILED","FY 2020","FY 2020","Currency=USD","Period=FY","BEST_FPERIOD_OVERRIDE=FY","FILING_STATUS=MR","SCALING_FORMAT=MLN","Sort=A","Dates=H","DateFormat=P","Fill=—","Direction=H","UseDPDF=Y")</f>
        <v>#NAME?</v>
      </c>
      <c r="F7" s="1059" t="e">
        <f ca="1">BDH("BMBL US Equity","CASH_CASH_EQTY_STI_DETAILED","FY 2021","FY 2021","Currency=USD","Period=FY","BEST_FPERIOD_OVERRIDE=FY","FILING_STATUS=MR","SCALING_FORMAT=MLN","Sort=A","Dates=H","DateFormat=P","Fill=—","Direction=H","UseDPDF=Y")</f>
        <v>#NAME?</v>
      </c>
      <c r="G7" s="1059" t="e">
        <f ca="1">BDH("BMBL US Equity","CASH_CASH_EQTY_STI_DETAILED","FY 2022","FY 2022","Currency=USD","Period=FY","BEST_FPERIOD_OVERRIDE=FY","FILING_STATUS=MR","SCALING_FORMAT=MLN","Sort=A","Dates=H","DateFormat=P","Fill=—","Direction=H","UseDPDF=Y")</f>
        <v>#NAME?</v>
      </c>
      <c r="H7" s="1059" t="e">
        <f ca="1">BDH("BMBL US Equity","CASH_CASH_EQTY_STI_DETAILED","FY 2023","FY 2023","Currency=USD","Period=FY","BEST_FPERIOD_OVERRIDE=FY","FILING_STATUS=MR","SCALING_FORMAT=MLN","Sort=A","Dates=H","DateFormat=P","Fill=—","Direction=H","UseDPDF=Y")</f>
        <v>#NAME?</v>
      </c>
    </row>
    <row r="8" spans="1:8">
      <c r="A8" s="1058" t="s">
        <v>318</v>
      </c>
      <c r="B8" s="1058" t="s">
        <v>319</v>
      </c>
      <c r="C8" s="1059" t="e">
        <f ca="1">BDH("BMBL US Equity","BS_CASH_NEAR_CASH_ITEM","FY 2018","FY 2018","Currency=USD","Period=FY","BEST_FPERIOD_OVERRIDE=FY","FILING_STATUS=MR","SCALING_FORMAT=MLN","Sort=A","Dates=H","DateFormat=P","Fill=—","Direction=H","UseDPDF=Y")</f>
        <v>#NAME?</v>
      </c>
      <c r="D8" s="1059" t="e">
        <f ca="1">BDH("BMBL US Equity","BS_CASH_NEAR_CASH_ITEM","FY 2019","FY 2019","Currency=USD","Period=FY","BEST_FPERIOD_OVERRIDE=FY","FILING_STATUS=MR","SCALING_FORMAT=MLN","Sort=A","Dates=H","DateFormat=P","Fill=—","Direction=H","UseDPDF=Y")</f>
        <v>#NAME?</v>
      </c>
      <c r="E8" s="1059" t="e">
        <f ca="1">BDH("BMBL US Equity","BS_CASH_NEAR_CASH_ITEM","FY 2020","FY 2020","Currency=USD","Period=FY","BEST_FPERIOD_OVERRIDE=FY","FILING_STATUS=MR","SCALING_FORMAT=MLN","Sort=A","Dates=H","DateFormat=P","Fill=—","Direction=H","UseDPDF=Y")</f>
        <v>#NAME?</v>
      </c>
      <c r="F8" s="1059" t="e">
        <f ca="1">BDH("BMBL US Equity","BS_CASH_NEAR_CASH_ITEM","FY 2021","FY 2021","Currency=USD","Period=FY","BEST_FPERIOD_OVERRIDE=FY","FILING_STATUS=MR","SCALING_FORMAT=MLN","Sort=A","Dates=H","DateFormat=P","Fill=—","Direction=H","UseDPDF=Y")</f>
        <v>#NAME?</v>
      </c>
      <c r="G8" s="1059" t="e">
        <f ca="1">BDH("BMBL US Equity","BS_CASH_NEAR_CASH_ITEM","FY 2022","FY 2022","Currency=USD","Period=FY","BEST_FPERIOD_OVERRIDE=FY","FILING_STATUS=MR","SCALING_FORMAT=MLN","Sort=A","Dates=H","DateFormat=P","Fill=—","Direction=H","UseDPDF=Y")</f>
        <v>#NAME?</v>
      </c>
      <c r="H8" s="1059" t="e">
        <f ca="1">BDH("BMBL US Equity","BS_CASH_NEAR_CASH_ITEM","FY 2023","FY 2023","Currency=USD","Period=FY","BEST_FPERIOD_OVERRIDE=FY","FILING_STATUS=MR","SCALING_FORMAT=MLN","Sort=A","Dates=H","DateFormat=P","Fill=—","Direction=H","UseDPDF=Y")</f>
        <v>#NAME?</v>
      </c>
    </row>
    <row r="9" spans="1:8">
      <c r="A9" s="1058" t="s">
        <v>320</v>
      </c>
      <c r="B9" s="1058" t="s">
        <v>321</v>
      </c>
      <c r="C9" s="1059" t="e">
        <f ca="1">BDH("BMBL US Equity","BS_MKT_SEC_OTHER_ST_INVEST","FY 2018","FY 2018","Currency=USD","Period=FY","BEST_FPERIOD_OVERRIDE=FY","FILING_STATUS=MR","SCALING_FORMAT=MLN","Sort=A","Dates=H","DateFormat=P","Fill=—","Direction=H","UseDPDF=Y")</f>
        <v>#NAME?</v>
      </c>
      <c r="D9" s="1059" t="e">
        <f ca="1">BDH("BMBL US Equity","BS_MKT_SEC_OTHER_ST_INVEST","FY 2019","FY 2019","Currency=USD","Period=FY","BEST_FPERIOD_OVERRIDE=FY","FILING_STATUS=MR","SCALING_FORMAT=MLN","Sort=A","Dates=H","DateFormat=P","Fill=—","Direction=H","UseDPDF=Y")</f>
        <v>#NAME?</v>
      </c>
      <c r="E9" s="1059" t="e">
        <f ca="1">BDH("BMBL US Equity","BS_MKT_SEC_OTHER_ST_INVEST","FY 2020","FY 2020","Currency=USD","Period=FY","BEST_FPERIOD_OVERRIDE=FY","FILING_STATUS=MR","SCALING_FORMAT=MLN","Sort=A","Dates=H","DateFormat=P","Fill=—","Direction=H","UseDPDF=Y")</f>
        <v>#NAME?</v>
      </c>
      <c r="F9" s="1059" t="e">
        <f ca="1">BDH("BMBL US Equity","BS_MKT_SEC_OTHER_ST_INVEST","FY 2021","FY 2021","Currency=USD","Period=FY","BEST_FPERIOD_OVERRIDE=FY","FILING_STATUS=MR","SCALING_FORMAT=MLN","Sort=A","Dates=H","DateFormat=P","Fill=—","Direction=H","UseDPDF=Y")</f>
        <v>#NAME?</v>
      </c>
      <c r="G9" s="1059" t="e">
        <f ca="1">BDH("BMBL US Equity","BS_MKT_SEC_OTHER_ST_INVEST","FY 2022","FY 2022","Currency=USD","Period=FY","BEST_FPERIOD_OVERRIDE=FY","FILING_STATUS=MR","SCALING_FORMAT=MLN","Sort=A","Dates=H","DateFormat=P","Fill=—","Direction=H","UseDPDF=Y")</f>
        <v>#NAME?</v>
      </c>
      <c r="H9" s="1059" t="e">
        <f ca="1">BDH("BMBL US Equity","BS_MKT_SEC_OTHER_ST_INVEST","FY 2023","FY 2023","Currency=USD","Period=FY","BEST_FPERIOD_OVERRIDE=FY","FILING_STATUS=MR","SCALING_FORMAT=MLN","Sort=A","Dates=H","DateFormat=P","Fill=—","Direction=H","UseDPDF=Y")</f>
        <v>#NAME?</v>
      </c>
    </row>
    <row r="10" spans="1:8">
      <c r="A10" s="1058" t="s">
        <v>322</v>
      </c>
      <c r="B10" s="1058" t="s">
        <v>323</v>
      </c>
      <c r="C10" s="1059" t="e">
        <f ca="1">BDH("BMBL US Equity","BS_ACCT_NOTE_RCV","FY 2018","FY 2018","Currency=USD","Period=FY","BEST_FPERIOD_OVERRIDE=FY","FILING_STATUS=MR","SCALING_FORMAT=MLN","Sort=A","Dates=H","DateFormat=P","Fill=—","Direction=H","UseDPDF=Y")</f>
        <v>#NAME?</v>
      </c>
      <c r="D10" s="1059" t="e">
        <f ca="1">BDH("BMBL US Equity","BS_ACCT_NOTE_RCV","FY 2019","FY 2019","Currency=USD","Period=FY","BEST_FPERIOD_OVERRIDE=FY","FILING_STATUS=MR","SCALING_FORMAT=MLN","Sort=A","Dates=H","DateFormat=P","Fill=—","Direction=H","UseDPDF=Y")</f>
        <v>#NAME?</v>
      </c>
      <c r="E10" s="1059" t="e">
        <f ca="1">BDH("BMBL US Equity","BS_ACCT_NOTE_RCV","FY 2020","FY 2020","Currency=USD","Period=FY","BEST_FPERIOD_OVERRIDE=FY","FILING_STATUS=MR","SCALING_FORMAT=MLN","Sort=A","Dates=H","DateFormat=P","Fill=—","Direction=H","UseDPDF=Y")</f>
        <v>#NAME?</v>
      </c>
      <c r="F10" s="1059" t="e">
        <f ca="1">BDH("BMBL US Equity","BS_ACCT_NOTE_RCV","FY 2021","FY 2021","Currency=USD","Period=FY","BEST_FPERIOD_OVERRIDE=FY","FILING_STATUS=MR","SCALING_FORMAT=MLN","Sort=A","Dates=H","DateFormat=P","Fill=—","Direction=H","UseDPDF=Y")</f>
        <v>#NAME?</v>
      </c>
      <c r="G10" s="1059" t="e">
        <f ca="1">BDH("BMBL US Equity","BS_ACCT_NOTE_RCV","FY 2022","FY 2022","Currency=USD","Period=FY","BEST_FPERIOD_OVERRIDE=FY","FILING_STATUS=MR","SCALING_FORMAT=MLN","Sort=A","Dates=H","DateFormat=P","Fill=—","Direction=H","UseDPDF=Y")</f>
        <v>#NAME?</v>
      </c>
      <c r="H10" s="1059" t="e">
        <f ca="1">BDH("BMBL US Equity","BS_ACCT_NOTE_RCV","FY 2023","FY 2023","Currency=USD","Period=FY","BEST_FPERIOD_OVERRIDE=FY","FILING_STATUS=MR","SCALING_FORMAT=MLN","Sort=A","Dates=H","DateFormat=P","Fill=—","Direction=H","UseDPDF=Y")</f>
        <v>#NAME?</v>
      </c>
    </row>
    <row r="11" spans="1:8">
      <c r="A11" s="1058" t="s">
        <v>324</v>
      </c>
      <c r="B11" s="1058" t="s">
        <v>325</v>
      </c>
      <c r="C11" s="1059" t="e">
        <f ca="1">BDH("BMBL US Equity","BS_ACCTS_REC_EXCL_NOTES_REC","FY 2018","FY 2018","Currency=USD","Period=FY","BEST_FPERIOD_OVERRIDE=FY","FILING_STATUS=MR","SCALING_FORMAT=MLN","Sort=A","Dates=H","DateFormat=P","Fill=—","Direction=H","UseDPDF=Y")</f>
        <v>#NAME?</v>
      </c>
      <c r="D11" s="1059" t="e">
        <f ca="1">BDH("BMBL US Equity","BS_ACCTS_REC_EXCL_NOTES_REC","FY 2019","FY 2019","Currency=USD","Period=FY","BEST_FPERIOD_OVERRIDE=FY","FILING_STATUS=MR","SCALING_FORMAT=MLN","Sort=A","Dates=H","DateFormat=P","Fill=—","Direction=H","UseDPDF=Y")</f>
        <v>#NAME?</v>
      </c>
      <c r="E11" s="1059" t="e">
        <f ca="1">BDH("BMBL US Equity","BS_ACCTS_REC_EXCL_NOTES_REC","FY 2020","FY 2020","Currency=USD","Period=FY","BEST_FPERIOD_OVERRIDE=FY","FILING_STATUS=MR","SCALING_FORMAT=MLN","Sort=A","Dates=H","DateFormat=P","Fill=—","Direction=H","UseDPDF=Y")</f>
        <v>#NAME?</v>
      </c>
      <c r="F11" s="1059" t="e">
        <f ca="1">BDH("BMBL US Equity","BS_ACCTS_REC_EXCL_NOTES_REC","FY 2021","FY 2021","Currency=USD","Period=FY","BEST_FPERIOD_OVERRIDE=FY","FILING_STATUS=MR","SCALING_FORMAT=MLN","Sort=A","Dates=H","DateFormat=P","Fill=—","Direction=H","UseDPDF=Y")</f>
        <v>#NAME?</v>
      </c>
      <c r="G11" s="1059" t="e">
        <f ca="1">BDH("BMBL US Equity","BS_ACCTS_REC_EXCL_NOTES_REC","FY 2022","FY 2022","Currency=USD","Period=FY","BEST_FPERIOD_OVERRIDE=FY","FILING_STATUS=MR","SCALING_FORMAT=MLN","Sort=A","Dates=H","DateFormat=P","Fill=—","Direction=H","UseDPDF=Y")</f>
        <v>#NAME?</v>
      </c>
      <c r="H11" s="1059" t="e">
        <f ca="1">BDH("BMBL US Equity","BS_ACCTS_REC_EXCL_NOTES_REC","FY 2023","FY 2023","Currency=USD","Period=FY","BEST_FPERIOD_OVERRIDE=FY","FILING_STATUS=MR","SCALING_FORMAT=MLN","Sort=A","Dates=H","DateFormat=P","Fill=—","Direction=H","UseDPDF=Y")</f>
        <v>#NAME?</v>
      </c>
    </row>
    <row r="12" spans="1:8">
      <c r="A12" s="1058" t="s">
        <v>326</v>
      </c>
      <c r="B12" s="1058" t="s">
        <v>327</v>
      </c>
      <c r="C12" s="1059" t="e">
        <f ca="1">BDH("BMBL US Equity","NOTES_RECEIVABLE","FY 2018","FY 2018","Currency=USD","Period=FY","BEST_FPERIOD_OVERRIDE=FY","FILING_STATUS=MR","SCALING_FORMAT=MLN","Sort=A","Dates=H","DateFormat=P","Fill=—","Direction=H","UseDPDF=Y")</f>
        <v>#NAME?</v>
      </c>
      <c r="D12" s="1059" t="e">
        <f ca="1">BDH("BMBL US Equity","NOTES_RECEIVABLE","FY 2019","FY 2019","Currency=USD","Period=FY","BEST_FPERIOD_OVERRIDE=FY","FILING_STATUS=MR","SCALING_FORMAT=MLN","Sort=A","Dates=H","DateFormat=P","Fill=—","Direction=H","UseDPDF=Y")</f>
        <v>#NAME?</v>
      </c>
      <c r="E12" s="1059" t="e">
        <f ca="1">BDH("BMBL US Equity","NOTES_RECEIVABLE","FY 2020","FY 2020","Currency=USD","Period=FY","BEST_FPERIOD_OVERRIDE=FY","FILING_STATUS=MR","SCALING_FORMAT=MLN","Sort=A","Dates=H","DateFormat=P","Fill=—","Direction=H","UseDPDF=Y")</f>
        <v>#NAME?</v>
      </c>
      <c r="F12" s="1059" t="e">
        <f ca="1">BDH("BMBL US Equity","NOTES_RECEIVABLE","FY 2021","FY 2021","Currency=USD","Period=FY","BEST_FPERIOD_OVERRIDE=FY","FILING_STATUS=MR","SCALING_FORMAT=MLN","Sort=A","Dates=H","DateFormat=P","Fill=—","Direction=H","UseDPDF=Y")</f>
        <v>#NAME?</v>
      </c>
      <c r="G12" s="1059" t="e">
        <f ca="1">BDH("BMBL US Equity","NOTES_RECEIVABLE","FY 2022","FY 2022","Currency=USD","Period=FY","BEST_FPERIOD_OVERRIDE=FY","FILING_STATUS=MR","SCALING_FORMAT=MLN","Sort=A","Dates=H","DateFormat=P","Fill=—","Direction=H","UseDPDF=Y")</f>
        <v>#NAME?</v>
      </c>
      <c r="H12" s="1059" t="e">
        <f ca="1">BDH("BMBL US Equity","NOTES_RECEIVABLE","FY 2023","FY 2023","Currency=USD","Period=FY","BEST_FPERIOD_OVERRIDE=FY","FILING_STATUS=MR","SCALING_FORMAT=MLN","Sort=A","Dates=H","DateFormat=P","Fill=—","Direction=H","UseDPDF=Y")</f>
        <v>#NAME?</v>
      </c>
    </row>
    <row r="13" spans="1:8">
      <c r="A13" s="1058" t="s">
        <v>328</v>
      </c>
      <c r="B13" s="1058" t="s">
        <v>329</v>
      </c>
      <c r="C13" s="1059" t="e">
        <f ca="1">BDH("BMBL US Equity","BS_INVENTORIES","FY 2018","FY 2018","Currency=USD","Period=FY","BEST_FPERIOD_OVERRIDE=FY","FILING_STATUS=MR","SCALING_FORMAT=MLN","Sort=A","Dates=H","DateFormat=P","Fill=—","Direction=H","UseDPDF=Y")</f>
        <v>#NAME?</v>
      </c>
      <c r="D13" s="1059" t="e">
        <f ca="1">BDH("BMBL US Equity","BS_INVENTORIES","FY 2019","FY 2019","Currency=USD","Period=FY","BEST_FPERIOD_OVERRIDE=FY","FILING_STATUS=MR","SCALING_FORMAT=MLN","Sort=A","Dates=H","DateFormat=P","Fill=—","Direction=H","UseDPDF=Y")</f>
        <v>#NAME?</v>
      </c>
      <c r="E13" s="1059" t="e">
        <f ca="1">BDH("BMBL US Equity","BS_INVENTORIES","FY 2020","FY 2020","Currency=USD","Period=FY","BEST_FPERIOD_OVERRIDE=FY","FILING_STATUS=MR","SCALING_FORMAT=MLN","Sort=A","Dates=H","DateFormat=P","Fill=—","Direction=H","UseDPDF=Y")</f>
        <v>#NAME?</v>
      </c>
      <c r="F13" s="1059" t="e">
        <f ca="1">BDH("BMBL US Equity","BS_INVENTORIES","FY 2021","FY 2021","Currency=USD","Period=FY","BEST_FPERIOD_OVERRIDE=FY","FILING_STATUS=MR","SCALING_FORMAT=MLN","Sort=A","Dates=H","DateFormat=P","Fill=—","Direction=H","UseDPDF=Y")</f>
        <v>#NAME?</v>
      </c>
      <c r="G13" s="1059" t="e">
        <f ca="1">BDH("BMBL US Equity","BS_INVENTORIES","FY 2022","FY 2022","Currency=USD","Period=FY","BEST_FPERIOD_OVERRIDE=FY","FILING_STATUS=MR","SCALING_FORMAT=MLN","Sort=A","Dates=H","DateFormat=P","Fill=—","Direction=H","UseDPDF=Y")</f>
        <v>#NAME?</v>
      </c>
      <c r="H13" s="1059" t="e">
        <f ca="1">BDH("BMBL US Equity","BS_INVENTORIES","FY 2023","FY 2023","Currency=USD","Period=FY","BEST_FPERIOD_OVERRIDE=FY","FILING_STATUS=MR","SCALING_FORMAT=MLN","Sort=A","Dates=H","DateFormat=P","Fill=—","Direction=H","UseDPDF=Y")</f>
        <v>#NAME?</v>
      </c>
    </row>
    <row r="14" spans="1:8">
      <c r="A14" s="1058" t="s">
        <v>330</v>
      </c>
      <c r="B14" s="1058" t="s">
        <v>331</v>
      </c>
      <c r="C14" s="1059" t="e">
        <f ca="1">BDH("BMBL US Equity","INVTRY_RAW_MATERIALS","FY 2018","FY 2018","Currency=USD","Period=FY","BEST_FPERIOD_OVERRIDE=FY","FILING_STATUS=MR","SCALING_FORMAT=MLN","Sort=A","Dates=H","DateFormat=P","Fill=—","Direction=H","UseDPDF=Y")</f>
        <v>#NAME?</v>
      </c>
      <c r="D14" s="1059" t="e">
        <f ca="1">BDH("BMBL US Equity","INVTRY_RAW_MATERIALS","FY 2019","FY 2019","Currency=USD","Period=FY","BEST_FPERIOD_OVERRIDE=FY","FILING_STATUS=MR","SCALING_FORMAT=MLN","Sort=A","Dates=H","DateFormat=P","Fill=—","Direction=H","UseDPDF=Y")</f>
        <v>#NAME?</v>
      </c>
      <c r="E14" s="1059" t="e">
        <f ca="1">BDH("BMBL US Equity","INVTRY_RAW_MATERIALS","FY 2020","FY 2020","Currency=USD","Period=FY","BEST_FPERIOD_OVERRIDE=FY","FILING_STATUS=MR","SCALING_FORMAT=MLN","Sort=A","Dates=H","DateFormat=P","Fill=—","Direction=H","UseDPDF=Y")</f>
        <v>#NAME?</v>
      </c>
      <c r="F14" s="1059" t="e">
        <f ca="1">BDH("BMBL US Equity","INVTRY_RAW_MATERIALS","FY 2021","FY 2021","Currency=USD","Period=FY","BEST_FPERIOD_OVERRIDE=FY","FILING_STATUS=MR","SCALING_FORMAT=MLN","Sort=A","Dates=H","DateFormat=P","Fill=—","Direction=H","UseDPDF=Y")</f>
        <v>#NAME?</v>
      </c>
      <c r="G14" s="1059" t="e">
        <f ca="1">BDH("BMBL US Equity","INVTRY_RAW_MATERIALS","FY 2022","FY 2022","Currency=USD","Period=FY","BEST_FPERIOD_OVERRIDE=FY","FILING_STATUS=MR","SCALING_FORMAT=MLN","Sort=A","Dates=H","DateFormat=P","Fill=—","Direction=H","UseDPDF=Y")</f>
        <v>#NAME?</v>
      </c>
      <c r="H14" s="1059" t="e">
        <f ca="1">BDH("BMBL US Equity","INVTRY_RAW_MATERIALS","FY 2023","FY 2023","Currency=USD","Period=FY","BEST_FPERIOD_OVERRIDE=FY","FILING_STATUS=MR","SCALING_FORMAT=MLN","Sort=A","Dates=H","DateFormat=P","Fill=—","Direction=H","UseDPDF=Y")</f>
        <v>#NAME?</v>
      </c>
    </row>
    <row r="15" spans="1:8">
      <c r="A15" s="1058" t="s">
        <v>332</v>
      </c>
      <c r="B15" s="1058" t="s">
        <v>333</v>
      </c>
      <c r="C15" s="1059" t="e">
        <f ca="1">BDH("BMBL US Equity","INVTRY_IN_PROGRESS","FY 2018","FY 2018","Currency=USD","Period=FY","BEST_FPERIOD_OVERRIDE=FY","FILING_STATUS=MR","SCALING_FORMAT=MLN","Sort=A","Dates=H","DateFormat=P","Fill=—","Direction=H","UseDPDF=Y")</f>
        <v>#NAME?</v>
      </c>
      <c r="D15" s="1059" t="e">
        <f ca="1">BDH("BMBL US Equity","INVTRY_IN_PROGRESS","FY 2019","FY 2019","Currency=USD","Period=FY","BEST_FPERIOD_OVERRIDE=FY","FILING_STATUS=MR","SCALING_FORMAT=MLN","Sort=A","Dates=H","DateFormat=P","Fill=—","Direction=H","UseDPDF=Y")</f>
        <v>#NAME?</v>
      </c>
      <c r="E15" s="1059" t="e">
        <f ca="1">BDH("BMBL US Equity","INVTRY_IN_PROGRESS","FY 2020","FY 2020","Currency=USD","Period=FY","BEST_FPERIOD_OVERRIDE=FY","FILING_STATUS=MR","SCALING_FORMAT=MLN","Sort=A","Dates=H","DateFormat=P","Fill=—","Direction=H","UseDPDF=Y")</f>
        <v>#NAME?</v>
      </c>
      <c r="F15" s="1059" t="e">
        <f ca="1">BDH("BMBL US Equity","INVTRY_IN_PROGRESS","FY 2021","FY 2021","Currency=USD","Period=FY","BEST_FPERIOD_OVERRIDE=FY","FILING_STATUS=MR","SCALING_FORMAT=MLN","Sort=A","Dates=H","DateFormat=P","Fill=—","Direction=H","UseDPDF=Y")</f>
        <v>#NAME?</v>
      </c>
      <c r="G15" s="1059" t="e">
        <f ca="1">BDH("BMBL US Equity","INVTRY_IN_PROGRESS","FY 2022","FY 2022","Currency=USD","Period=FY","BEST_FPERIOD_OVERRIDE=FY","FILING_STATUS=MR","SCALING_FORMAT=MLN","Sort=A","Dates=H","DateFormat=P","Fill=—","Direction=H","UseDPDF=Y")</f>
        <v>#NAME?</v>
      </c>
      <c r="H15" s="1059" t="e">
        <f ca="1">BDH("BMBL US Equity","INVTRY_IN_PROGRESS","FY 2023","FY 2023","Currency=USD","Period=FY","BEST_FPERIOD_OVERRIDE=FY","FILING_STATUS=MR","SCALING_FORMAT=MLN","Sort=A","Dates=H","DateFormat=P","Fill=—","Direction=H","UseDPDF=Y")</f>
        <v>#NAME?</v>
      </c>
    </row>
    <row r="16" spans="1:8">
      <c r="A16" s="1058" t="s">
        <v>334</v>
      </c>
      <c r="B16" s="1058" t="s">
        <v>335</v>
      </c>
      <c r="C16" s="1059" t="e">
        <f ca="1">BDH("BMBL US Equity","INVTRY_FINISHED_GOODS","FY 2018","FY 2018","Currency=USD","Period=FY","BEST_FPERIOD_OVERRIDE=FY","FILING_STATUS=MR","SCALING_FORMAT=MLN","Sort=A","Dates=H","DateFormat=P","Fill=—","Direction=H","UseDPDF=Y")</f>
        <v>#NAME?</v>
      </c>
      <c r="D16" s="1059" t="e">
        <f ca="1">BDH("BMBL US Equity","INVTRY_FINISHED_GOODS","FY 2019","FY 2019","Currency=USD","Period=FY","BEST_FPERIOD_OVERRIDE=FY","FILING_STATUS=MR","SCALING_FORMAT=MLN","Sort=A","Dates=H","DateFormat=P","Fill=—","Direction=H","UseDPDF=Y")</f>
        <v>#NAME?</v>
      </c>
      <c r="E16" s="1059" t="e">
        <f ca="1">BDH("BMBL US Equity","INVTRY_FINISHED_GOODS","FY 2020","FY 2020","Currency=USD","Period=FY","BEST_FPERIOD_OVERRIDE=FY","FILING_STATUS=MR","SCALING_FORMAT=MLN","Sort=A","Dates=H","DateFormat=P","Fill=—","Direction=H","UseDPDF=Y")</f>
        <v>#NAME?</v>
      </c>
      <c r="F16" s="1059" t="e">
        <f ca="1">BDH("BMBL US Equity","INVTRY_FINISHED_GOODS","FY 2021","FY 2021","Currency=USD","Period=FY","BEST_FPERIOD_OVERRIDE=FY","FILING_STATUS=MR","SCALING_FORMAT=MLN","Sort=A","Dates=H","DateFormat=P","Fill=—","Direction=H","UseDPDF=Y")</f>
        <v>#NAME?</v>
      </c>
      <c r="G16" s="1059" t="e">
        <f ca="1">BDH("BMBL US Equity","INVTRY_FINISHED_GOODS","FY 2022","FY 2022","Currency=USD","Period=FY","BEST_FPERIOD_OVERRIDE=FY","FILING_STATUS=MR","SCALING_FORMAT=MLN","Sort=A","Dates=H","DateFormat=P","Fill=—","Direction=H","UseDPDF=Y")</f>
        <v>#NAME?</v>
      </c>
      <c r="H16" s="1059" t="e">
        <f ca="1">BDH("BMBL US Equity","INVTRY_FINISHED_GOODS","FY 2023","FY 2023","Currency=USD","Period=FY","BEST_FPERIOD_OVERRIDE=FY","FILING_STATUS=MR","SCALING_FORMAT=MLN","Sort=A","Dates=H","DateFormat=P","Fill=—","Direction=H","UseDPDF=Y")</f>
        <v>#NAME?</v>
      </c>
    </row>
    <row r="17" spans="1:8">
      <c r="A17" s="1058" t="s">
        <v>336</v>
      </c>
      <c r="B17" s="1058" t="s">
        <v>337</v>
      </c>
      <c r="C17" s="1059" t="e">
        <f ca="1">BDH("BMBL US Equity","BS_OTHER_INV","FY 2018","FY 2018","Currency=USD","Period=FY","BEST_FPERIOD_OVERRIDE=FY","FILING_STATUS=MR","SCALING_FORMAT=MLN","Sort=A","Dates=H","DateFormat=P","Fill=—","Direction=H","UseDPDF=Y")</f>
        <v>#NAME?</v>
      </c>
      <c r="D17" s="1059" t="e">
        <f ca="1">BDH("BMBL US Equity","BS_OTHER_INV","FY 2019","FY 2019","Currency=USD","Period=FY","BEST_FPERIOD_OVERRIDE=FY","FILING_STATUS=MR","SCALING_FORMAT=MLN","Sort=A","Dates=H","DateFormat=P","Fill=—","Direction=H","UseDPDF=Y")</f>
        <v>#NAME?</v>
      </c>
      <c r="E17" s="1059" t="e">
        <f ca="1">BDH("BMBL US Equity","BS_OTHER_INV","FY 2020","FY 2020","Currency=USD","Period=FY","BEST_FPERIOD_OVERRIDE=FY","FILING_STATUS=MR","SCALING_FORMAT=MLN","Sort=A","Dates=H","DateFormat=P","Fill=—","Direction=H","UseDPDF=Y")</f>
        <v>#NAME?</v>
      </c>
      <c r="F17" s="1059" t="e">
        <f ca="1">BDH("BMBL US Equity","BS_OTHER_INV","FY 2021","FY 2021","Currency=USD","Period=FY","BEST_FPERIOD_OVERRIDE=FY","FILING_STATUS=MR","SCALING_FORMAT=MLN","Sort=A","Dates=H","DateFormat=P","Fill=—","Direction=H","UseDPDF=Y")</f>
        <v>#NAME?</v>
      </c>
      <c r="G17" s="1059" t="e">
        <f ca="1">BDH("BMBL US Equity","BS_OTHER_INV","FY 2022","FY 2022","Currency=USD","Period=FY","BEST_FPERIOD_OVERRIDE=FY","FILING_STATUS=MR","SCALING_FORMAT=MLN","Sort=A","Dates=H","DateFormat=P","Fill=—","Direction=H","UseDPDF=Y")</f>
        <v>#NAME?</v>
      </c>
      <c r="H17" s="1059" t="e">
        <f ca="1">BDH("BMBL US Equity","BS_OTHER_INV","FY 2023","FY 2023","Currency=USD","Period=FY","BEST_FPERIOD_OVERRIDE=FY","FILING_STATUS=MR","SCALING_FORMAT=MLN","Sort=A","Dates=H","DateFormat=P","Fill=—","Direction=H","UseDPDF=Y")</f>
        <v>#NAME?</v>
      </c>
    </row>
    <row r="18" spans="1:8">
      <c r="A18" s="1058" t="s">
        <v>338</v>
      </c>
      <c r="B18" s="1058" t="s">
        <v>339</v>
      </c>
      <c r="C18" s="1059" t="e">
        <f ca="1">BDH("BMBL US Equity","OTHER_CURRENT_ASSETS_DETAILED","FY 2018","FY 2018","Currency=USD","Period=FY","BEST_FPERIOD_OVERRIDE=FY","FILING_STATUS=MR","SCALING_FORMAT=MLN","Sort=A","Dates=H","DateFormat=P","Fill=—","Direction=H","UseDPDF=Y")</f>
        <v>#NAME?</v>
      </c>
      <c r="D18" s="1059" t="e">
        <f ca="1">BDH("BMBL US Equity","OTHER_CURRENT_ASSETS_DETAILED","FY 2019","FY 2019","Currency=USD","Period=FY","BEST_FPERIOD_OVERRIDE=FY","FILING_STATUS=MR","SCALING_FORMAT=MLN","Sort=A","Dates=H","DateFormat=P","Fill=—","Direction=H","UseDPDF=Y")</f>
        <v>#NAME?</v>
      </c>
      <c r="E18" s="1059" t="e">
        <f ca="1">BDH("BMBL US Equity","OTHER_CURRENT_ASSETS_DETAILED","FY 2020","FY 2020","Currency=USD","Period=FY","BEST_FPERIOD_OVERRIDE=FY","FILING_STATUS=MR","SCALING_FORMAT=MLN","Sort=A","Dates=H","DateFormat=P","Fill=—","Direction=H","UseDPDF=Y")</f>
        <v>#NAME?</v>
      </c>
      <c r="F18" s="1059" t="e">
        <f ca="1">BDH("BMBL US Equity","OTHER_CURRENT_ASSETS_DETAILED","FY 2021","FY 2021","Currency=USD","Period=FY","BEST_FPERIOD_OVERRIDE=FY","FILING_STATUS=MR","SCALING_FORMAT=MLN","Sort=A","Dates=H","DateFormat=P","Fill=—","Direction=H","UseDPDF=Y")</f>
        <v>#NAME?</v>
      </c>
      <c r="G18" s="1059" t="e">
        <f ca="1">BDH("BMBL US Equity","OTHER_CURRENT_ASSETS_DETAILED","FY 2022","FY 2022","Currency=USD","Period=FY","BEST_FPERIOD_OVERRIDE=FY","FILING_STATUS=MR","SCALING_FORMAT=MLN","Sort=A","Dates=H","DateFormat=P","Fill=—","Direction=H","UseDPDF=Y")</f>
        <v>#NAME?</v>
      </c>
      <c r="H18" s="1059" t="e">
        <f ca="1">BDH("BMBL US Equity","OTHER_CURRENT_ASSETS_DETAILED","FY 2023","FY 2023","Currency=USD","Period=FY","BEST_FPERIOD_OVERRIDE=FY","FILING_STATUS=MR","SCALING_FORMAT=MLN","Sort=A","Dates=H","DateFormat=P","Fill=—","Direction=H","UseDPDF=Y")</f>
        <v>#NAME?</v>
      </c>
    </row>
    <row r="19" spans="1:8">
      <c r="A19" s="1058" t="s">
        <v>340</v>
      </c>
      <c r="B19" s="1058" t="s">
        <v>341</v>
      </c>
      <c r="C19" s="1059" t="e">
        <f ca="1">BDH("BMBL US Equity","BS_PREPAY","FY 2018","FY 2018","Currency=USD","Period=FY","BEST_FPERIOD_OVERRIDE=FY","FILING_STATUS=MR","SCALING_FORMAT=MLN","Sort=A","Dates=H","DateFormat=P","Fill=—","Direction=H","UseDPDF=Y")</f>
        <v>#NAME?</v>
      </c>
      <c r="D19" s="1059" t="e">
        <f ca="1">BDH("BMBL US Equity","BS_PREPAY","FY 2019","FY 2019","Currency=USD","Period=FY","BEST_FPERIOD_OVERRIDE=FY","FILING_STATUS=MR","SCALING_FORMAT=MLN","Sort=A","Dates=H","DateFormat=P","Fill=—","Direction=H","UseDPDF=Y")</f>
        <v>#NAME?</v>
      </c>
      <c r="E19" s="1059" t="e">
        <f ca="1">BDH("BMBL US Equity","BS_PREPAY","FY 2020","FY 2020","Currency=USD","Period=FY","BEST_FPERIOD_OVERRIDE=FY","FILING_STATUS=MR","SCALING_FORMAT=MLN","Sort=A","Dates=H","DateFormat=P","Fill=—","Direction=H","UseDPDF=Y")</f>
        <v>#NAME?</v>
      </c>
      <c r="F19" s="1059" t="e">
        <f ca="1">BDH("BMBL US Equity","BS_PREPAY","FY 2021","FY 2021","Currency=USD","Period=FY","BEST_FPERIOD_OVERRIDE=FY","FILING_STATUS=MR","SCALING_FORMAT=MLN","Sort=A","Dates=H","DateFormat=P","Fill=—","Direction=H","UseDPDF=Y")</f>
        <v>#NAME?</v>
      </c>
      <c r="G19" s="1059" t="e">
        <f ca="1">BDH("BMBL US Equity","BS_PREPAY","FY 2022","FY 2022","Currency=USD","Period=FY","BEST_FPERIOD_OVERRIDE=FY","FILING_STATUS=MR","SCALING_FORMAT=MLN","Sort=A","Dates=H","DateFormat=P","Fill=—","Direction=H","UseDPDF=Y")</f>
        <v>#NAME?</v>
      </c>
      <c r="H19" s="1059" t="e">
        <f ca="1">BDH("BMBL US Equity","BS_PREPAY","FY 2023","FY 2023","Currency=USD","Period=FY","BEST_FPERIOD_OVERRIDE=FY","FILING_STATUS=MR","SCALING_FORMAT=MLN","Sort=A","Dates=H","DateFormat=P","Fill=—","Direction=H","UseDPDF=Y")</f>
        <v>#NAME?</v>
      </c>
    </row>
    <row r="20" spans="1:8">
      <c r="A20" s="1058" t="s">
        <v>342</v>
      </c>
      <c r="B20" s="1058" t="s">
        <v>343</v>
      </c>
      <c r="C20" s="1059" t="e">
        <f ca="1">BDH("BMBL US Equity","BS_DERIV_HEDGING_ASST_ST","FY 2018","FY 2018","Currency=USD","Period=FY","BEST_FPERIOD_OVERRIDE=FY","FILING_STATUS=MR","SCALING_FORMAT=MLN","Sort=A","Dates=H","DateFormat=P","Fill=—","Direction=H","UseDPDF=Y")</f>
        <v>#NAME?</v>
      </c>
      <c r="D20" s="1059" t="e">
        <f ca="1">BDH("BMBL US Equity","BS_DERIV_HEDGING_ASST_ST","FY 2019","FY 2019","Currency=USD","Period=FY","BEST_FPERIOD_OVERRIDE=FY","FILING_STATUS=MR","SCALING_FORMAT=MLN","Sort=A","Dates=H","DateFormat=P","Fill=—","Direction=H","UseDPDF=Y")</f>
        <v>#NAME?</v>
      </c>
      <c r="E20" s="1059" t="e">
        <f ca="1">BDH("BMBL US Equity","BS_DERIV_HEDGING_ASST_ST","FY 2020","FY 2020","Currency=USD","Period=FY","BEST_FPERIOD_OVERRIDE=FY","FILING_STATUS=MR","SCALING_FORMAT=MLN","Sort=A","Dates=H","DateFormat=P","Fill=—","Direction=H","UseDPDF=Y")</f>
        <v>#NAME?</v>
      </c>
      <c r="F20" s="1059" t="e">
        <f ca="1">BDH("BMBL US Equity","BS_DERIV_HEDGING_ASST_ST","FY 2021","FY 2021","Currency=USD","Period=FY","BEST_FPERIOD_OVERRIDE=FY","FILING_STATUS=MR","SCALING_FORMAT=MLN","Sort=A","Dates=H","DateFormat=P","Fill=—","Direction=H","UseDPDF=Y")</f>
        <v>#NAME?</v>
      </c>
      <c r="G20" s="1059" t="e">
        <f ca="1">BDH("BMBL US Equity","BS_DERIV_HEDGING_ASST_ST","FY 2022","FY 2022","Currency=USD","Period=FY","BEST_FPERIOD_OVERRIDE=FY","FILING_STATUS=MR","SCALING_FORMAT=MLN","Sort=A","Dates=H","DateFormat=P","Fill=—","Direction=H","UseDPDF=Y")</f>
        <v>#NAME?</v>
      </c>
      <c r="H20" s="1059" t="e">
        <f ca="1">BDH("BMBL US Equity","BS_DERIV_HEDGING_ASST_ST","FY 2023","FY 2023","Currency=USD","Period=FY","BEST_FPERIOD_OVERRIDE=FY","FILING_STATUS=MR","SCALING_FORMAT=MLN","Sort=A","Dates=H","DateFormat=P","Fill=—","Direction=H","UseDPDF=Y")</f>
        <v>#NAME?</v>
      </c>
    </row>
    <row r="21" spans="1:8">
      <c r="A21" s="1058" t="s">
        <v>344</v>
      </c>
      <c r="B21" s="1058" t="s">
        <v>345</v>
      </c>
      <c r="C21" s="1059" t="e">
        <f ca="1">BDH("BMBL US Equity","BS_TAXES_RECEIVABLE_SHORT_TERM","FY 2018","FY 2018","Currency=USD","Period=FY","BEST_FPERIOD_OVERRIDE=FY","FILING_STATUS=MR","SCALING_FORMAT=MLN","Sort=A","Dates=H","DateFormat=P","Fill=—","Direction=H","UseDPDF=Y")</f>
        <v>#NAME?</v>
      </c>
      <c r="D21" s="1059" t="e">
        <f ca="1">BDH("BMBL US Equity","BS_TAXES_RECEIVABLE_SHORT_TERM","FY 2019","FY 2019","Currency=USD","Period=FY","BEST_FPERIOD_OVERRIDE=FY","FILING_STATUS=MR","SCALING_FORMAT=MLN","Sort=A","Dates=H","DateFormat=P","Fill=—","Direction=H","UseDPDF=Y")</f>
        <v>#NAME?</v>
      </c>
      <c r="E21" s="1059" t="e">
        <f ca="1">BDH("BMBL US Equity","BS_TAXES_RECEIVABLE_SHORT_TERM","FY 2020","FY 2020","Currency=USD","Period=FY","BEST_FPERIOD_OVERRIDE=FY","FILING_STATUS=MR","SCALING_FORMAT=MLN","Sort=A","Dates=H","DateFormat=P","Fill=—","Direction=H","UseDPDF=Y")</f>
        <v>#NAME?</v>
      </c>
      <c r="F21" s="1059" t="e">
        <f ca="1">BDH("BMBL US Equity","BS_TAXES_RECEIVABLE_SHORT_TERM","FY 2021","FY 2021","Currency=USD","Period=FY","BEST_FPERIOD_OVERRIDE=FY","FILING_STATUS=MR","SCALING_FORMAT=MLN","Sort=A","Dates=H","DateFormat=P","Fill=—","Direction=H","UseDPDF=Y")</f>
        <v>#NAME?</v>
      </c>
      <c r="G21" s="1059" t="e">
        <f ca="1">BDH("BMBL US Equity","BS_TAXES_RECEIVABLE_SHORT_TERM","FY 2022","FY 2022","Currency=USD","Period=FY","BEST_FPERIOD_OVERRIDE=FY","FILING_STATUS=MR","SCALING_FORMAT=MLN","Sort=A","Dates=H","DateFormat=P","Fill=—","Direction=H","UseDPDF=Y")</f>
        <v>#NAME?</v>
      </c>
      <c r="H21" s="1059" t="e">
        <f ca="1">BDH("BMBL US Equity","BS_TAXES_RECEIVABLE_SHORT_TERM","FY 2023","FY 2023","Currency=USD","Period=FY","BEST_FPERIOD_OVERRIDE=FY","FILING_STATUS=MR","SCALING_FORMAT=MLN","Sort=A","Dates=H","DateFormat=P","Fill=—","Direction=H","UseDPDF=Y")</f>
        <v>#NAME?</v>
      </c>
    </row>
    <row r="22" spans="1:8">
      <c r="A22" s="1058" t="s">
        <v>346</v>
      </c>
      <c r="B22" s="1058" t="s">
        <v>347</v>
      </c>
      <c r="C22" s="1059" t="e">
        <f ca="1">BDH("BMBL US Equity","BS_OTHER_CUR_ASSET_LESS_PREPAY","FY 2018","FY 2018","Currency=USD","Period=FY","BEST_FPERIOD_OVERRIDE=FY","FILING_STATUS=MR","SCALING_FORMAT=MLN","Sort=A","Dates=H","DateFormat=P","Fill=—","Direction=H","UseDPDF=Y")</f>
        <v>#NAME?</v>
      </c>
      <c r="D22" s="1059" t="e">
        <f ca="1">BDH("BMBL US Equity","BS_OTHER_CUR_ASSET_LESS_PREPAY","FY 2019","FY 2019","Currency=USD","Period=FY","BEST_FPERIOD_OVERRIDE=FY","FILING_STATUS=MR","SCALING_FORMAT=MLN","Sort=A","Dates=H","DateFormat=P","Fill=—","Direction=H","UseDPDF=Y")</f>
        <v>#NAME?</v>
      </c>
      <c r="E22" s="1059" t="e">
        <f ca="1">BDH("BMBL US Equity","BS_OTHER_CUR_ASSET_LESS_PREPAY","FY 2020","FY 2020","Currency=USD","Period=FY","BEST_FPERIOD_OVERRIDE=FY","FILING_STATUS=MR","SCALING_FORMAT=MLN","Sort=A","Dates=H","DateFormat=P","Fill=—","Direction=H","UseDPDF=Y")</f>
        <v>#NAME?</v>
      </c>
      <c r="F22" s="1059" t="e">
        <f ca="1">BDH("BMBL US Equity","BS_OTHER_CUR_ASSET_LESS_PREPAY","FY 2021","FY 2021","Currency=USD","Period=FY","BEST_FPERIOD_OVERRIDE=FY","FILING_STATUS=MR","SCALING_FORMAT=MLN","Sort=A","Dates=H","DateFormat=P","Fill=—","Direction=H","UseDPDF=Y")</f>
        <v>#NAME?</v>
      </c>
      <c r="G22" s="1059" t="e">
        <f ca="1">BDH("BMBL US Equity","BS_OTHER_CUR_ASSET_LESS_PREPAY","FY 2022","FY 2022","Currency=USD","Period=FY","BEST_FPERIOD_OVERRIDE=FY","FILING_STATUS=MR","SCALING_FORMAT=MLN","Sort=A","Dates=H","DateFormat=P","Fill=—","Direction=H","UseDPDF=Y")</f>
        <v>#NAME?</v>
      </c>
      <c r="H22" s="1059" t="e">
        <f ca="1">BDH("BMBL US Equity","BS_OTHER_CUR_ASSET_LESS_PREPAY","FY 2023","FY 2023","Currency=USD","Period=FY","BEST_FPERIOD_OVERRIDE=FY","FILING_STATUS=MR","SCALING_FORMAT=MLN","Sort=A","Dates=H","DateFormat=P","Fill=—","Direction=H","UseDPDF=Y")</f>
        <v>#NAME?</v>
      </c>
    </row>
    <row r="23" spans="1:8">
      <c r="A23" s="1062" t="s">
        <v>25</v>
      </c>
      <c r="B23" s="1062" t="s">
        <v>348</v>
      </c>
      <c r="C23" s="1061" t="e">
        <f ca="1">BDH("BMBL US Equity","BS_CUR_ASSET_REPORT","FY 2018","FY 2018","Currency=USD","Period=FY","BEST_FPERIOD_OVERRIDE=FY","FILING_STATUS=MR","SCALING_FORMAT=MLN","Sort=A","Dates=H","DateFormat=P","Fill=—","Direction=H","UseDPDF=Y")</f>
        <v>#NAME?</v>
      </c>
      <c r="D23" s="1061" t="e">
        <f ca="1">BDH("BMBL US Equity","BS_CUR_ASSET_REPORT","FY 2019","FY 2019","Currency=USD","Period=FY","BEST_FPERIOD_OVERRIDE=FY","FILING_STATUS=MR","SCALING_FORMAT=MLN","Sort=A","Dates=H","DateFormat=P","Fill=—","Direction=H","UseDPDF=Y")</f>
        <v>#NAME?</v>
      </c>
      <c r="E23" s="1061" t="e">
        <f ca="1">BDH("BMBL US Equity","BS_CUR_ASSET_REPORT","FY 2020","FY 2020","Currency=USD","Period=FY","BEST_FPERIOD_OVERRIDE=FY","FILING_STATUS=MR","SCALING_FORMAT=MLN","Sort=A","Dates=H","DateFormat=P","Fill=—","Direction=H","UseDPDF=Y")</f>
        <v>#NAME?</v>
      </c>
      <c r="F23" s="1061" t="e">
        <f ca="1">BDH("BMBL US Equity","BS_CUR_ASSET_REPORT","FY 2021","FY 2021","Currency=USD","Period=FY","BEST_FPERIOD_OVERRIDE=FY","FILING_STATUS=MR","SCALING_FORMAT=MLN","Sort=A","Dates=H","DateFormat=P","Fill=—","Direction=H","UseDPDF=Y")</f>
        <v>#NAME?</v>
      </c>
      <c r="G23" s="1061" t="e">
        <f ca="1">BDH("BMBL US Equity","BS_CUR_ASSET_REPORT","FY 2022","FY 2022","Currency=USD","Period=FY","BEST_FPERIOD_OVERRIDE=FY","FILING_STATUS=MR","SCALING_FORMAT=MLN","Sort=A","Dates=H","DateFormat=P","Fill=—","Direction=H","UseDPDF=Y")</f>
        <v>#NAME?</v>
      </c>
      <c r="H23" s="1061" t="e">
        <f ca="1">BDH("BMBL US Equity","BS_CUR_ASSET_REPORT","FY 2023","FY 2023","Currency=USD","Period=FY","BEST_FPERIOD_OVERRIDE=FY","FILING_STATUS=MR","SCALING_FORMAT=MLN","Sort=A","Dates=H","DateFormat=P","Fill=—","Direction=H","UseDPDF=Y")</f>
        <v>#NAME?</v>
      </c>
    </row>
    <row r="24" spans="1:8">
      <c r="A24" s="1058" t="s">
        <v>349</v>
      </c>
      <c r="B24" s="1058" t="s">
        <v>350</v>
      </c>
      <c r="C24" s="1059" t="e">
        <f ca="1">BDH("BMBL US Equity","BS_NET_FIX_ASSET","FY 2018","FY 2018","Currency=USD","Period=FY","BEST_FPERIOD_OVERRIDE=FY","FILING_STATUS=MR","SCALING_FORMAT=MLN","Sort=A","Dates=H","DateFormat=P","Fill=—","Direction=H","UseDPDF=Y")</f>
        <v>#NAME?</v>
      </c>
      <c r="D24" s="1059" t="e">
        <f ca="1">BDH("BMBL US Equity","BS_NET_FIX_ASSET","FY 2019","FY 2019","Currency=USD","Period=FY","BEST_FPERIOD_OVERRIDE=FY","FILING_STATUS=MR","SCALING_FORMAT=MLN","Sort=A","Dates=H","DateFormat=P","Fill=—","Direction=H","UseDPDF=Y")</f>
        <v>#NAME?</v>
      </c>
      <c r="E24" s="1059" t="e">
        <f ca="1">BDH("BMBL US Equity","BS_NET_FIX_ASSET","FY 2020","FY 2020","Currency=USD","Period=FY","BEST_FPERIOD_OVERRIDE=FY","FILING_STATUS=MR","SCALING_FORMAT=MLN","Sort=A","Dates=H","DateFormat=P","Fill=—","Direction=H","UseDPDF=Y")</f>
        <v>#NAME?</v>
      </c>
      <c r="F24" s="1059" t="e">
        <f ca="1">BDH("BMBL US Equity","BS_NET_FIX_ASSET","FY 2021","FY 2021","Currency=USD","Period=FY","BEST_FPERIOD_OVERRIDE=FY","FILING_STATUS=MR","SCALING_FORMAT=MLN","Sort=A","Dates=H","DateFormat=P","Fill=—","Direction=H","UseDPDF=Y")</f>
        <v>#NAME?</v>
      </c>
      <c r="G24" s="1059" t="e">
        <f ca="1">BDH("BMBL US Equity","BS_NET_FIX_ASSET","FY 2022","FY 2022","Currency=USD","Period=FY","BEST_FPERIOD_OVERRIDE=FY","FILING_STATUS=MR","SCALING_FORMAT=MLN","Sort=A","Dates=H","DateFormat=P","Fill=—","Direction=H","UseDPDF=Y")</f>
        <v>#NAME?</v>
      </c>
      <c r="H24" s="1059" t="e">
        <f ca="1">BDH("BMBL US Equity","BS_NET_FIX_ASSET","FY 2023","FY 2023","Currency=USD","Period=FY","BEST_FPERIOD_OVERRIDE=FY","FILING_STATUS=MR","SCALING_FORMAT=MLN","Sort=A","Dates=H","DateFormat=P","Fill=—","Direction=H","UseDPDF=Y")</f>
        <v>#NAME?</v>
      </c>
    </row>
    <row r="25" spans="1:8">
      <c r="A25" s="1058" t="s">
        <v>351</v>
      </c>
      <c r="B25" s="1058" t="s">
        <v>352</v>
      </c>
      <c r="C25" s="1059" t="e">
        <f ca="1">BDH("BMBL US Equity","BS_GROSS_FIX_ASSET","FY 2018","FY 2018","Currency=USD","Period=FY","BEST_FPERIOD_OVERRIDE=FY","FILING_STATUS=MR","SCALING_FORMAT=MLN","Sort=A","Dates=H","DateFormat=P","Fill=—","Direction=H","UseDPDF=Y")</f>
        <v>#NAME?</v>
      </c>
      <c r="D25" s="1059" t="e">
        <f ca="1">BDH("BMBL US Equity","BS_GROSS_FIX_ASSET","FY 2019","FY 2019","Currency=USD","Period=FY","BEST_FPERIOD_OVERRIDE=FY","FILING_STATUS=MR","SCALING_FORMAT=MLN","Sort=A","Dates=H","DateFormat=P","Fill=—","Direction=H","UseDPDF=Y")</f>
        <v>#NAME?</v>
      </c>
      <c r="E25" s="1059" t="e">
        <f ca="1">BDH("BMBL US Equity","BS_GROSS_FIX_ASSET","FY 2020","FY 2020","Currency=USD","Period=FY","BEST_FPERIOD_OVERRIDE=FY","FILING_STATUS=MR","SCALING_FORMAT=MLN","Sort=A","Dates=H","DateFormat=P","Fill=—","Direction=H","UseDPDF=Y")</f>
        <v>#NAME?</v>
      </c>
      <c r="F25" s="1059" t="e">
        <f ca="1">BDH("BMBL US Equity","BS_GROSS_FIX_ASSET","FY 2021","FY 2021","Currency=USD","Period=FY","BEST_FPERIOD_OVERRIDE=FY","FILING_STATUS=MR","SCALING_FORMAT=MLN","Sort=A","Dates=H","DateFormat=P","Fill=—","Direction=H","UseDPDF=Y")</f>
        <v>#NAME?</v>
      </c>
      <c r="G25" s="1059" t="e">
        <f ca="1">BDH("BMBL US Equity","BS_GROSS_FIX_ASSET","FY 2022","FY 2022","Currency=USD","Period=FY","BEST_FPERIOD_OVERRIDE=FY","FILING_STATUS=MR","SCALING_FORMAT=MLN","Sort=A","Dates=H","DateFormat=P","Fill=—","Direction=H","UseDPDF=Y")</f>
        <v>#NAME?</v>
      </c>
      <c r="H25" s="1059" t="e">
        <f ca="1">BDH("BMBL US Equity","BS_GROSS_FIX_ASSET","FY 2023","FY 2023","Currency=USD","Period=FY","BEST_FPERIOD_OVERRIDE=FY","FILING_STATUS=MR","SCALING_FORMAT=MLN","Sort=A","Dates=H","DateFormat=P","Fill=—","Direction=H","UseDPDF=Y")</f>
        <v>#NAME?</v>
      </c>
    </row>
    <row r="26" spans="1:8">
      <c r="A26" s="1058" t="s">
        <v>353</v>
      </c>
      <c r="B26" s="1058" t="s">
        <v>354</v>
      </c>
      <c r="C26" s="1059" t="e">
        <f ca="1">BDH("BMBL US Equity","BS_ACCUM_DEPR","FY 2018","FY 2018","Currency=USD","Period=FY","BEST_FPERIOD_OVERRIDE=FY","FILING_STATUS=MR","SCALING_FORMAT=MLN","Sort=A","Dates=H","DateFormat=P","Fill=—","Direction=H","UseDPDF=Y")</f>
        <v>#NAME?</v>
      </c>
      <c r="D26" s="1059" t="e">
        <f ca="1">BDH("BMBL US Equity","BS_ACCUM_DEPR","FY 2019","FY 2019","Currency=USD","Period=FY","BEST_FPERIOD_OVERRIDE=FY","FILING_STATUS=MR","SCALING_FORMAT=MLN","Sort=A","Dates=H","DateFormat=P","Fill=—","Direction=H","UseDPDF=Y")</f>
        <v>#NAME?</v>
      </c>
      <c r="E26" s="1059" t="e">
        <f ca="1">BDH("BMBL US Equity","BS_ACCUM_DEPR","FY 2020","FY 2020","Currency=USD","Period=FY","BEST_FPERIOD_OVERRIDE=FY","FILING_STATUS=MR","SCALING_FORMAT=MLN","Sort=A","Dates=H","DateFormat=P","Fill=—","Direction=H","UseDPDF=Y")</f>
        <v>#NAME?</v>
      </c>
      <c r="F26" s="1059" t="e">
        <f ca="1">BDH("BMBL US Equity","BS_ACCUM_DEPR","FY 2021","FY 2021","Currency=USD","Period=FY","BEST_FPERIOD_OVERRIDE=FY","FILING_STATUS=MR","SCALING_FORMAT=MLN","Sort=A","Dates=H","DateFormat=P","Fill=—","Direction=H","UseDPDF=Y")</f>
        <v>#NAME?</v>
      </c>
      <c r="G26" s="1059" t="e">
        <f ca="1">BDH("BMBL US Equity","BS_ACCUM_DEPR","FY 2022","FY 2022","Currency=USD","Period=FY","BEST_FPERIOD_OVERRIDE=FY","FILING_STATUS=MR","SCALING_FORMAT=MLN","Sort=A","Dates=H","DateFormat=P","Fill=—","Direction=H","UseDPDF=Y")</f>
        <v>#NAME?</v>
      </c>
      <c r="H26" s="1059" t="e">
        <f ca="1">BDH("BMBL US Equity","BS_ACCUM_DEPR","FY 2023","FY 2023","Currency=USD","Period=FY","BEST_FPERIOD_OVERRIDE=FY","FILING_STATUS=MR","SCALING_FORMAT=MLN","Sort=A","Dates=H","DateFormat=P","Fill=—","Direction=H","UseDPDF=Y")</f>
        <v>#NAME?</v>
      </c>
    </row>
    <row r="27" spans="1:8">
      <c r="A27" s="1058" t="s">
        <v>355</v>
      </c>
      <c r="B27" s="1058" t="s">
        <v>356</v>
      </c>
      <c r="C27" s="1059" t="e">
        <f ca="1">BDH("BMBL US Equity","BS_LT_INVEST","FY 2018","FY 2018","Currency=USD","Period=FY","BEST_FPERIOD_OVERRIDE=FY","FILING_STATUS=MR","SCALING_FORMAT=MLN","Sort=A","Dates=H","DateFormat=P","Fill=—","Direction=H","UseDPDF=Y")</f>
        <v>#NAME?</v>
      </c>
      <c r="D27" s="1059" t="e">
        <f ca="1">BDH("BMBL US Equity","BS_LT_INVEST","FY 2019","FY 2019","Currency=USD","Period=FY","BEST_FPERIOD_OVERRIDE=FY","FILING_STATUS=MR","SCALING_FORMAT=MLN","Sort=A","Dates=H","DateFormat=P","Fill=—","Direction=H","UseDPDF=Y")</f>
        <v>#NAME?</v>
      </c>
      <c r="E27" s="1059" t="e">
        <f ca="1">BDH("BMBL US Equity","BS_LT_INVEST","FY 2020","FY 2020","Currency=USD","Period=FY","BEST_FPERIOD_OVERRIDE=FY","FILING_STATUS=MR","SCALING_FORMAT=MLN","Sort=A","Dates=H","DateFormat=P","Fill=—","Direction=H","UseDPDF=Y")</f>
        <v>#NAME?</v>
      </c>
      <c r="F27" s="1059" t="e">
        <f ca="1">BDH("BMBL US Equity","BS_LT_INVEST","FY 2021","FY 2021","Currency=USD","Period=FY","BEST_FPERIOD_OVERRIDE=FY","FILING_STATUS=MR","SCALING_FORMAT=MLN","Sort=A","Dates=H","DateFormat=P","Fill=—","Direction=H","UseDPDF=Y")</f>
        <v>#NAME?</v>
      </c>
      <c r="G27" s="1059" t="e">
        <f ca="1">BDH("BMBL US Equity","BS_LT_INVEST","FY 2022","FY 2022","Currency=USD","Period=FY","BEST_FPERIOD_OVERRIDE=FY","FILING_STATUS=MR","SCALING_FORMAT=MLN","Sort=A","Dates=H","DateFormat=P","Fill=—","Direction=H","UseDPDF=Y")</f>
        <v>#NAME?</v>
      </c>
      <c r="H27" s="1059" t="e">
        <f ca="1">BDH("BMBL US Equity","BS_LT_INVEST","FY 2023","FY 2023","Currency=USD","Period=FY","BEST_FPERIOD_OVERRIDE=FY","FILING_STATUS=MR","SCALING_FORMAT=MLN","Sort=A","Dates=H","DateFormat=P","Fill=—","Direction=H","UseDPDF=Y")</f>
        <v>#NAME?</v>
      </c>
    </row>
    <row r="28" spans="1:8">
      <c r="A28" s="1058" t="s">
        <v>357</v>
      </c>
      <c r="B28" s="1058" t="s">
        <v>358</v>
      </c>
      <c r="C28" s="1059" t="e">
        <f ca="1">BDH("BMBL US Equity","BS_OTHER_ASSETS_DEF_CHRG_OTHER","FY 2018","FY 2018","Currency=USD","Period=FY","BEST_FPERIOD_OVERRIDE=FY","FILING_STATUS=MR","SCALING_FORMAT=MLN","Sort=A","Dates=H","DateFormat=P","Fill=—","Direction=H","UseDPDF=Y")</f>
        <v>#NAME?</v>
      </c>
      <c r="D28" s="1059" t="e">
        <f ca="1">BDH("BMBL US Equity","BS_OTHER_ASSETS_DEF_CHRG_OTHER","FY 2019","FY 2019","Currency=USD","Period=FY","BEST_FPERIOD_OVERRIDE=FY","FILING_STATUS=MR","SCALING_FORMAT=MLN","Sort=A","Dates=H","DateFormat=P","Fill=—","Direction=H","UseDPDF=Y")</f>
        <v>#NAME?</v>
      </c>
      <c r="E28" s="1059" t="e">
        <f ca="1">BDH("BMBL US Equity","BS_OTHER_ASSETS_DEF_CHRG_OTHER","FY 2020","FY 2020","Currency=USD","Period=FY","BEST_FPERIOD_OVERRIDE=FY","FILING_STATUS=MR","SCALING_FORMAT=MLN","Sort=A","Dates=H","DateFormat=P","Fill=—","Direction=H","UseDPDF=Y")</f>
        <v>#NAME?</v>
      </c>
      <c r="F28" s="1059" t="e">
        <f ca="1">BDH("BMBL US Equity","BS_OTHER_ASSETS_DEF_CHRG_OTHER","FY 2021","FY 2021","Currency=USD","Period=FY","BEST_FPERIOD_OVERRIDE=FY","FILING_STATUS=MR","SCALING_FORMAT=MLN","Sort=A","Dates=H","DateFormat=P","Fill=—","Direction=H","UseDPDF=Y")</f>
        <v>#NAME?</v>
      </c>
      <c r="G28" s="1059" t="e">
        <f ca="1">BDH("BMBL US Equity","BS_OTHER_ASSETS_DEF_CHRG_OTHER","FY 2022","FY 2022","Currency=USD","Period=FY","BEST_FPERIOD_OVERRIDE=FY","FILING_STATUS=MR","SCALING_FORMAT=MLN","Sort=A","Dates=H","DateFormat=P","Fill=—","Direction=H","UseDPDF=Y")</f>
        <v>#NAME?</v>
      </c>
      <c r="H28" s="1059" t="e">
        <f ca="1">BDH("BMBL US Equity","BS_OTHER_ASSETS_DEF_CHRG_OTHER","FY 2023","FY 2023","Currency=USD","Period=FY","BEST_FPERIOD_OVERRIDE=FY","FILING_STATUS=MR","SCALING_FORMAT=MLN","Sort=A","Dates=H","DateFormat=P","Fill=—","Direction=H","UseDPDF=Y")</f>
        <v>#NAME?</v>
      </c>
    </row>
    <row r="29" spans="1:8">
      <c r="A29" s="1058" t="s">
        <v>359</v>
      </c>
      <c r="B29" s="1058" t="s">
        <v>360</v>
      </c>
      <c r="C29" s="1059" t="e">
        <f ca="1">BDH("BMBL US Equity","BS_DISCLOSED_INTANGIBLES","FY 2018","FY 2018","Currency=USD","Period=FY","BEST_FPERIOD_OVERRIDE=FY","FILING_STATUS=MR","SCALING_FORMAT=MLN","Sort=A","Dates=H","DateFormat=P","Fill=—","Direction=H","UseDPDF=Y")</f>
        <v>#NAME?</v>
      </c>
      <c r="D29" s="1059" t="e">
        <f ca="1">BDH("BMBL US Equity","BS_DISCLOSED_INTANGIBLES","FY 2019","FY 2019","Currency=USD","Period=FY","BEST_FPERIOD_OVERRIDE=FY","FILING_STATUS=MR","SCALING_FORMAT=MLN","Sort=A","Dates=H","DateFormat=P","Fill=—","Direction=H","UseDPDF=Y")</f>
        <v>#NAME?</v>
      </c>
      <c r="E29" s="1059" t="e">
        <f ca="1">BDH("BMBL US Equity","BS_DISCLOSED_INTANGIBLES","FY 2020","FY 2020","Currency=USD","Period=FY","BEST_FPERIOD_OVERRIDE=FY","FILING_STATUS=MR","SCALING_FORMAT=MLN","Sort=A","Dates=H","DateFormat=P","Fill=—","Direction=H","UseDPDF=Y")</f>
        <v>#NAME?</v>
      </c>
      <c r="F29" s="1059" t="e">
        <f ca="1">BDH("BMBL US Equity","BS_DISCLOSED_INTANGIBLES","FY 2021","FY 2021","Currency=USD","Period=FY","BEST_FPERIOD_OVERRIDE=FY","FILING_STATUS=MR","SCALING_FORMAT=MLN","Sort=A","Dates=H","DateFormat=P","Fill=—","Direction=H","UseDPDF=Y")</f>
        <v>#NAME?</v>
      </c>
      <c r="G29" s="1059" t="e">
        <f ca="1">BDH("BMBL US Equity","BS_DISCLOSED_INTANGIBLES","FY 2022","FY 2022","Currency=USD","Period=FY","BEST_FPERIOD_OVERRIDE=FY","FILING_STATUS=MR","SCALING_FORMAT=MLN","Sort=A","Dates=H","DateFormat=P","Fill=—","Direction=H","UseDPDF=Y")</f>
        <v>#NAME?</v>
      </c>
      <c r="H29" s="1059" t="e">
        <f ca="1">BDH("BMBL US Equity","BS_DISCLOSED_INTANGIBLES","FY 2023","FY 2023","Currency=USD","Period=FY","BEST_FPERIOD_OVERRIDE=FY","FILING_STATUS=MR","SCALING_FORMAT=MLN","Sort=A","Dates=H","DateFormat=P","Fill=—","Direction=H","UseDPDF=Y")</f>
        <v>#NAME?</v>
      </c>
    </row>
    <row r="30" spans="1:8">
      <c r="A30" s="1082" t="s">
        <v>361</v>
      </c>
      <c r="B30" s="1082" t="s">
        <v>362</v>
      </c>
      <c r="C30" s="1081" t="e">
        <f ca="1">BDH("BMBL US Equity","BS_GOODWILL","FY 2018","FY 2018","Currency=USD","Period=FY","BEST_FPERIOD_OVERRIDE=FY","FILING_STATUS=MR","SCALING_FORMAT=MLN","Sort=A","Dates=H","DateFormat=P","Fill=—","Direction=H","UseDPDF=Y")</f>
        <v>#NAME?</v>
      </c>
      <c r="D30" s="1081" t="e">
        <f ca="1">BDH("BMBL US Equity","BS_GOODWILL","FY 2019","FY 2019","Currency=USD","Period=FY","BEST_FPERIOD_OVERRIDE=FY","FILING_STATUS=MR","SCALING_FORMAT=MLN","Sort=A","Dates=H","DateFormat=P","Fill=—","Direction=H","UseDPDF=Y")</f>
        <v>#NAME?</v>
      </c>
      <c r="E30" s="1081" t="e">
        <f ca="1">BDH("BMBL US Equity","BS_GOODWILL","FY 2020","FY 2020","Currency=USD","Period=FY","BEST_FPERIOD_OVERRIDE=FY","FILING_STATUS=MR","SCALING_FORMAT=MLN","Sort=A","Dates=H","DateFormat=P","Fill=—","Direction=H","UseDPDF=Y")</f>
        <v>#NAME?</v>
      </c>
      <c r="F30" s="1081" t="e">
        <f ca="1">BDH("BMBL US Equity","BS_GOODWILL","FY 2021","FY 2021","Currency=USD","Period=FY","BEST_FPERIOD_OVERRIDE=FY","FILING_STATUS=MR","SCALING_FORMAT=MLN","Sort=A","Dates=H","DateFormat=P","Fill=—","Direction=H","UseDPDF=Y")</f>
        <v>#NAME?</v>
      </c>
      <c r="G30" s="1081" t="e">
        <f ca="1">BDH("BMBL US Equity","BS_GOODWILL","FY 2022","FY 2022","Currency=USD","Period=FY","BEST_FPERIOD_OVERRIDE=FY","FILING_STATUS=MR","SCALING_FORMAT=MLN","Sort=A","Dates=H","DateFormat=P","Fill=—","Direction=H","UseDPDF=Y")</f>
        <v>#NAME?</v>
      </c>
      <c r="H30" s="1081" t="e">
        <f ca="1">BDH("BMBL US Equity","BS_GOODWILL","FY 2023","FY 2023","Currency=USD","Period=FY","BEST_FPERIOD_OVERRIDE=FY","FILING_STATUS=MR","SCALING_FORMAT=MLN","Sort=A","Dates=H","DateFormat=P","Fill=—","Direction=H","UseDPDF=Y")</f>
        <v>#NAME?</v>
      </c>
    </row>
    <row r="31" spans="1:8">
      <c r="A31" s="1082" t="s">
        <v>363</v>
      </c>
      <c r="B31" s="1082" t="s">
        <v>364</v>
      </c>
      <c r="C31" s="1081" t="e">
        <f ca="1">BDH("BMBL US Equity","OTHER_INTANGIBLE_ASSETS_DETAILED","FY 2018","FY 2018","Currency=USD","Period=FY","BEST_FPERIOD_OVERRIDE=FY","FILING_STATUS=MR","SCALING_FORMAT=MLN","Sort=A","Dates=H","DateFormat=P","Fill=—","Direction=H","UseDPDF=Y")</f>
        <v>#NAME?</v>
      </c>
      <c r="D31" s="1081" t="e">
        <f ca="1">BDH("BMBL US Equity","OTHER_INTANGIBLE_ASSETS_DETAILED","FY 2019","FY 2019","Currency=USD","Period=FY","BEST_FPERIOD_OVERRIDE=FY","FILING_STATUS=MR","SCALING_FORMAT=MLN","Sort=A","Dates=H","DateFormat=P","Fill=—","Direction=H","UseDPDF=Y")</f>
        <v>#NAME?</v>
      </c>
      <c r="E31" s="1081" t="e">
        <f ca="1">BDH("BMBL US Equity","OTHER_INTANGIBLE_ASSETS_DETAILED","FY 2020","FY 2020","Currency=USD","Period=FY","BEST_FPERIOD_OVERRIDE=FY","FILING_STATUS=MR","SCALING_FORMAT=MLN","Sort=A","Dates=H","DateFormat=P","Fill=—","Direction=H","UseDPDF=Y")</f>
        <v>#NAME?</v>
      </c>
      <c r="F31" s="1081" t="e">
        <f ca="1">BDH("BMBL US Equity","OTHER_INTANGIBLE_ASSETS_DETAILED","FY 2021","FY 2021","Currency=USD","Period=FY","BEST_FPERIOD_OVERRIDE=FY","FILING_STATUS=MR","SCALING_FORMAT=MLN","Sort=A","Dates=H","DateFormat=P","Fill=—","Direction=H","UseDPDF=Y")</f>
        <v>#NAME?</v>
      </c>
      <c r="G31" s="1081" t="e">
        <f ca="1">BDH("BMBL US Equity","OTHER_INTANGIBLE_ASSETS_DETAILED","FY 2022","FY 2022","Currency=USD","Period=FY","BEST_FPERIOD_OVERRIDE=FY","FILING_STATUS=MR","SCALING_FORMAT=MLN","Sort=A","Dates=H","DateFormat=P","Fill=—","Direction=H","UseDPDF=Y")</f>
        <v>#NAME?</v>
      </c>
      <c r="H31" s="1081" t="e">
        <f ca="1">BDH("BMBL US Equity","OTHER_INTANGIBLE_ASSETS_DETAILED","FY 2023","FY 2023","Currency=USD","Period=FY","BEST_FPERIOD_OVERRIDE=FY","FILING_STATUS=MR","SCALING_FORMAT=MLN","Sort=A","Dates=H","DateFormat=P","Fill=—","Direction=H","UseDPDF=Y")</f>
        <v>#NAME?</v>
      </c>
    </row>
    <row r="32" spans="1:8">
      <c r="A32" s="1058" t="s">
        <v>365</v>
      </c>
      <c r="B32" s="1058" t="s">
        <v>366</v>
      </c>
      <c r="C32" s="1059" t="e">
        <f ca="1">BDH("BMBL US Equity","BS_DEFERRED_TAX_ASSETS_LT","FY 2018","FY 2018","Currency=USD","Period=FY","BEST_FPERIOD_OVERRIDE=FY","FILING_STATUS=MR","SCALING_FORMAT=MLN","Sort=A","Dates=H","DateFormat=P","Fill=—","Direction=H","UseDPDF=Y")</f>
        <v>#NAME?</v>
      </c>
      <c r="D32" s="1059" t="e">
        <f ca="1">BDH("BMBL US Equity","BS_DEFERRED_TAX_ASSETS_LT","FY 2019","FY 2019","Currency=USD","Period=FY","BEST_FPERIOD_OVERRIDE=FY","FILING_STATUS=MR","SCALING_FORMAT=MLN","Sort=A","Dates=H","DateFormat=P","Fill=—","Direction=H","UseDPDF=Y")</f>
        <v>#NAME?</v>
      </c>
      <c r="E32" s="1059" t="e">
        <f ca="1">BDH("BMBL US Equity","BS_DEFERRED_TAX_ASSETS_LT","FY 2020","FY 2020","Currency=USD","Period=FY","BEST_FPERIOD_OVERRIDE=FY","FILING_STATUS=MR","SCALING_FORMAT=MLN","Sort=A","Dates=H","DateFormat=P","Fill=—","Direction=H","UseDPDF=Y")</f>
        <v>#NAME?</v>
      </c>
      <c r="F32" s="1059" t="e">
        <f ca="1">BDH("BMBL US Equity","BS_DEFERRED_TAX_ASSETS_LT","FY 2021","FY 2021","Currency=USD","Period=FY","BEST_FPERIOD_OVERRIDE=FY","FILING_STATUS=MR","SCALING_FORMAT=MLN","Sort=A","Dates=H","DateFormat=P","Fill=—","Direction=H","UseDPDF=Y")</f>
        <v>#NAME?</v>
      </c>
      <c r="G32" s="1059" t="e">
        <f ca="1">BDH("BMBL US Equity","BS_DEFERRED_TAX_ASSETS_LT","FY 2022","FY 2022","Currency=USD","Period=FY","BEST_FPERIOD_OVERRIDE=FY","FILING_STATUS=MR","SCALING_FORMAT=MLN","Sort=A","Dates=H","DateFormat=P","Fill=—","Direction=H","UseDPDF=Y")</f>
        <v>#NAME?</v>
      </c>
      <c r="H32" s="1059" t="e">
        <f ca="1">BDH("BMBL US Equity","BS_DEFERRED_TAX_ASSETS_LT","FY 2023","FY 2023","Currency=USD","Period=FY","BEST_FPERIOD_OVERRIDE=FY","FILING_STATUS=MR","SCALING_FORMAT=MLN","Sort=A","Dates=H","DateFormat=P","Fill=—","Direction=H","UseDPDF=Y")</f>
        <v>#NAME?</v>
      </c>
    </row>
    <row r="33" spans="1:8">
      <c r="A33" s="1058" t="s">
        <v>342</v>
      </c>
      <c r="B33" s="1058" t="s">
        <v>367</v>
      </c>
      <c r="C33" s="1059" t="e">
        <f ca="1">BDH("BMBL US Equity","BS_DERIV_HEDGING_ASST_LT","FY 2018","FY 2018","Currency=USD","Period=FY","BEST_FPERIOD_OVERRIDE=FY","FILING_STATUS=MR","SCALING_FORMAT=MLN","Sort=A","Dates=H","DateFormat=P","Fill=—","Direction=H","UseDPDF=Y")</f>
        <v>#NAME?</v>
      </c>
      <c r="D33" s="1059" t="e">
        <f ca="1">BDH("BMBL US Equity","BS_DERIV_HEDGING_ASST_LT","FY 2019","FY 2019","Currency=USD","Period=FY","BEST_FPERIOD_OVERRIDE=FY","FILING_STATUS=MR","SCALING_FORMAT=MLN","Sort=A","Dates=H","DateFormat=P","Fill=—","Direction=H","UseDPDF=Y")</f>
        <v>#NAME?</v>
      </c>
      <c r="E33" s="1059" t="e">
        <f ca="1">BDH("BMBL US Equity","BS_DERIV_HEDGING_ASST_LT","FY 2020","FY 2020","Currency=USD","Period=FY","BEST_FPERIOD_OVERRIDE=FY","FILING_STATUS=MR","SCALING_FORMAT=MLN","Sort=A","Dates=H","DateFormat=P","Fill=—","Direction=H","UseDPDF=Y")</f>
        <v>#NAME?</v>
      </c>
      <c r="F33" s="1059" t="e">
        <f ca="1">BDH("BMBL US Equity","BS_DERIV_HEDGING_ASST_LT","FY 2021","FY 2021","Currency=USD","Period=FY","BEST_FPERIOD_OVERRIDE=FY","FILING_STATUS=MR","SCALING_FORMAT=MLN","Sort=A","Dates=H","DateFormat=P","Fill=—","Direction=H","UseDPDF=Y")</f>
        <v>#NAME?</v>
      </c>
      <c r="G33" s="1059" t="e">
        <f ca="1">BDH("BMBL US Equity","BS_DERIV_HEDGING_ASST_LT","FY 2022","FY 2022","Currency=USD","Period=FY","BEST_FPERIOD_OVERRIDE=FY","FILING_STATUS=MR","SCALING_FORMAT=MLN","Sort=A","Dates=H","DateFormat=P","Fill=—","Direction=H","UseDPDF=Y")</f>
        <v>#NAME?</v>
      </c>
      <c r="H33" s="1059" t="e">
        <f ca="1">BDH("BMBL US Equity","BS_DERIV_HEDGING_ASST_LT","FY 2023","FY 2023","Currency=USD","Period=FY","BEST_FPERIOD_OVERRIDE=FY","FILING_STATUS=MR","SCALING_FORMAT=MLN","Sort=A","Dates=H","DateFormat=P","Fill=—","Direction=H","UseDPDF=Y")</f>
        <v>#NAME?</v>
      </c>
    </row>
    <row r="34" spans="1:8">
      <c r="A34" s="1058" t="s">
        <v>368</v>
      </c>
      <c r="B34" s="1058" t="s">
        <v>369</v>
      </c>
      <c r="C34" s="1059" t="e">
        <f ca="1">BDH("BMBL US Equity","OTHER_NONCURRENT_ASSETS_DETAILED","FY 2018","FY 2018","Currency=USD","Period=FY","BEST_FPERIOD_OVERRIDE=FY","FILING_STATUS=MR","SCALING_FORMAT=MLN","Sort=A","Dates=H","DateFormat=P","Fill=—","Direction=H","UseDPDF=Y")</f>
        <v>#NAME?</v>
      </c>
      <c r="D34" s="1059" t="e">
        <f ca="1">BDH("BMBL US Equity","OTHER_NONCURRENT_ASSETS_DETAILED","FY 2019","FY 2019","Currency=USD","Period=FY","BEST_FPERIOD_OVERRIDE=FY","FILING_STATUS=MR","SCALING_FORMAT=MLN","Sort=A","Dates=H","DateFormat=P","Fill=—","Direction=H","UseDPDF=Y")</f>
        <v>#NAME?</v>
      </c>
      <c r="E34" s="1059" t="e">
        <f ca="1">BDH("BMBL US Equity","OTHER_NONCURRENT_ASSETS_DETAILED","FY 2020","FY 2020","Currency=USD","Period=FY","BEST_FPERIOD_OVERRIDE=FY","FILING_STATUS=MR","SCALING_FORMAT=MLN","Sort=A","Dates=H","DateFormat=P","Fill=—","Direction=H","UseDPDF=Y")</f>
        <v>#NAME?</v>
      </c>
      <c r="F34" s="1059" t="e">
        <f ca="1">BDH("BMBL US Equity","OTHER_NONCURRENT_ASSETS_DETAILED","FY 2021","FY 2021","Currency=USD","Period=FY","BEST_FPERIOD_OVERRIDE=FY","FILING_STATUS=MR","SCALING_FORMAT=MLN","Sort=A","Dates=H","DateFormat=P","Fill=—","Direction=H","UseDPDF=Y")</f>
        <v>#NAME?</v>
      </c>
      <c r="G34" s="1059" t="e">
        <f ca="1">BDH("BMBL US Equity","OTHER_NONCURRENT_ASSETS_DETAILED","FY 2022","FY 2022","Currency=USD","Period=FY","BEST_FPERIOD_OVERRIDE=FY","FILING_STATUS=MR","SCALING_FORMAT=MLN","Sort=A","Dates=H","DateFormat=P","Fill=—","Direction=H","UseDPDF=Y")</f>
        <v>#NAME?</v>
      </c>
      <c r="H34" s="1059" t="e">
        <f ca="1">BDH("BMBL US Equity","OTHER_NONCURRENT_ASSETS_DETAILED","FY 2023","FY 2023","Currency=USD","Period=FY","BEST_FPERIOD_OVERRIDE=FY","FILING_STATUS=MR","SCALING_FORMAT=MLN","Sort=A","Dates=H","DateFormat=P","Fill=—","Direction=H","UseDPDF=Y")</f>
        <v>#NAME?</v>
      </c>
    </row>
    <row r="35" spans="1:8">
      <c r="A35" s="1062" t="s">
        <v>370</v>
      </c>
      <c r="B35" s="1062" t="s">
        <v>371</v>
      </c>
      <c r="C35" s="1061" t="e">
        <f ca="1">BDH("BMBL US Equity","BS_TOT_NON_CUR_ASSET","FY 2018","FY 2018","Currency=USD","Period=FY","BEST_FPERIOD_OVERRIDE=FY","FILING_STATUS=MR","SCALING_FORMAT=MLN","Sort=A","Dates=H","DateFormat=P","Fill=—","Direction=H","UseDPDF=Y")</f>
        <v>#NAME?</v>
      </c>
      <c r="D35" s="1061" t="e">
        <f ca="1">BDH("BMBL US Equity","BS_TOT_NON_CUR_ASSET","FY 2019","FY 2019","Currency=USD","Period=FY","BEST_FPERIOD_OVERRIDE=FY","FILING_STATUS=MR","SCALING_FORMAT=MLN","Sort=A","Dates=H","DateFormat=P","Fill=—","Direction=H","UseDPDF=Y")</f>
        <v>#NAME?</v>
      </c>
      <c r="E35" s="1061" t="e">
        <f ca="1">BDH("BMBL US Equity","BS_TOT_NON_CUR_ASSET","FY 2020","FY 2020","Currency=USD","Period=FY","BEST_FPERIOD_OVERRIDE=FY","FILING_STATUS=MR","SCALING_FORMAT=MLN","Sort=A","Dates=H","DateFormat=P","Fill=—","Direction=H","UseDPDF=Y")</f>
        <v>#NAME?</v>
      </c>
      <c r="F35" s="1061" t="e">
        <f ca="1">BDH("BMBL US Equity","BS_TOT_NON_CUR_ASSET","FY 2021","FY 2021","Currency=USD","Period=FY","BEST_FPERIOD_OVERRIDE=FY","FILING_STATUS=MR","SCALING_FORMAT=MLN","Sort=A","Dates=H","DateFormat=P","Fill=—","Direction=H","UseDPDF=Y")</f>
        <v>#NAME?</v>
      </c>
      <c r="G35" s="1061" t="e">
        <f ca="1">BDH("BMBL US Equity","BS_TOT_NON_CUR_ASSET","FY 2022","FY 2022","Currency=USD","Period=FY","BEST_FPERIOD_OVERRIDE=FY","FILING_STATUS=MR","SCALING_FORMAT=MLN","Sort=A","Dates=H","DateFormat=P","Fill=—","Direction=H","UseDPDF=Y")</f>
        <v>#NAME?</v>
      </c>
      <c r="H35" s="1061" t="e">
        <f ca="1">BDH("BMBL US Equity","BS_TOT_NON_CUR_ASSET","FY 2023","FY 2023","Currency=USD","Period=FY","BEST_FPERIOD_OVERRIDE=FY","FILING_STATUS=MR","SCALING_FORMAT=MLN","Sort=A","Dates=H","DateFormat=P","Fill=—","Direction=H","UseDPDF=Y")</f>
        <v>#NAME?</v>
      </c>
    </row>
    <row r="36" spans="1:8">
      <c r="A36" s="1062" t="s">
        <v>44</v>
      </c>
      <c r="B36" s="1062" t="s">
        <v>372</v>
      </c>
      <c r="C36" s="1061" t="e">
        <f ca="1">BDH("BMBL US Equity","BS_TOT_ASSET","FY 2018","FY 2018","Currency=USD","Period=FY","BEST_FPERIOD_OVERRIDE=FY","FILING_STATUS=MR","SCALING_FORMAT=MLN","Sort=A","Dates=H","DateFormat=P","Fill=—","Direction=H","UseDPDF=Y")</f>
        <v>#NAME?</v>
      </c>
      <c r="D36" s="1061" t="e">
        <f ca="1">BDH("BMBL US Equity","BS_TOT_ASSET","FY 2019","FY 2019","Currency=USD","Period=FY","BEST_FPERIOD_OVERRIDE=FY","FILING_STATUS=MR","SCALING_FORMAT=MLN","Sort=A","Dates=H","DateFormat=P","Fill=—","Direction=H","UseDPDF=Y")</f>
        <v>#NAME?</v>
      </c>
      <c r="E36" s="1061" t="e">
        <f ca="1">BDH("BMBL US Equity","BS_TOT_ASSET","FY 2020","FY 2020","Currency=USD","Period=FY","BEST_FPERIOD_OVERRIDE=FY","FILING_STATUS=MR","SCALING_FORMAT=MLN","Sort=A","Dates=H","DateFormat=P","Fill=—","Direction=H","UseDPDF=Y")</f>
        <v>#NAME?</v>
      </c>
      <c r="F36" s="1061" t="e">
        <f ca="1">BDH("BMBL US Equity","BS_TOT_ASSET","FY 2021","FY 2021","Currency=USD","Period=FY","BEST_FPERIOD_OVERRIDE=FY","FILING_STATUS=MR","SCALING_FORMAT=MLN","Sort=A","Dates=H","DateFormat=P","Fill=—","Direction=H","UseDPDF=Y")</f>
        <v>#NAME?</v>
      </c>
      <c r="G36" s="1061" t="e">
        <f ca="1">BDH("BMBL US Equity","BS_TOT_ASSET","FY 2022","FY 2022","Currency=USD","Period=FY","BEST_FPERIOD_OVERRIDE=FY","FILING_STATUS=MR","SCALING_FORMAT=MLN","Sort=A","Dates=H","DateFormat=P","Fill=—","Direction=H","UseDPDF=Y")</f>
        <v>#NAME?</v>
      </c>
      <c r="H36" s="1061" t="e">
        <f ca="1">BDH("BMBL US Equity","BS_TOT_ASSET","FY 2023","FY 2023","Currency=USD","Period=FY","BEST_FPERIOD_OVERRIDE=FY","FILING_STATUS=MR","SCALING_FORMAT=MLN","Sort=A","Dates=H","DateFormat=P","Fill=—","Direction=H","UseDPDF=Y")</f>
        <v>#NAME?</v>
      </c>
    </row>
    <row r="37" spans="1:8">
      <c r="A37" s="1062"/>
      <c r="B37" s="1063"/>
      <c r="C37" s="1063"/>
      <c r="D37" s="1063"/>
      <c r="E37" s="1063"/>
      <c r="F37" s="1063"/>
      <c r="G37" s="1063"/>
      <c r="H37" s="1063"/>
    </row>
    <row r="38" spans="1:8">
      <c r="A38" s="1062" t="s">
        <v>373</v>
      </c>
      <c r="B38" s="1063"/>
      <c r="C38" s="1063"/>
      <c r="D38" s="1063"/>
      <c r="E38" s="1063"/>
      <c r="F38" s="1063"/>
      <c r="G38" s="1063"/>
      <c r="H38" s="1063"/>
    </row>
    <row r="39" spans="1:8">
      <c r="A39" s="1058" t="s">
        <v>374</v>
      </c>
      <c r="B39" s="1058" t="s">
        <v>375</v>
      </c>
      <c r="C39" s="1059" t="e">
        <f ca="1">BDH("BMBL US Equity","ACCT_PAYABLE_ACCRUALS_DETAILED","FY 2018","FY 2018","Currency=USD","Period=FY","BEST_FPERIOD_OVERRIDE=FY","FILING_STATUS=MR","SCALING_FORMAT=MLN","Sort=A","Dates=H","DateFormat=P","Fill=—","Direction=H","UseDPDF=Y")</f>
        <v>#NAME?</v>
      </c>
      <c r="D39" s="1059" t="e">
        <f ca="1">BDH("BMBL US Equity","ACCT_PAYABLE_ACCRUALS_DETAILED","FY 2019","FY 2019","Currency=USD","Period=FY","BEST_FPERIOD_OVERRIDE=FY","FILING_STATUS=MR","SCALING_FORMAT=MLN","Sort=A","Dates=H","DateFormat=P","Fill=—","Direction=H","UseDPDF=Y")</f>
        <v>#NAME?</v>
      </c>
      <c r="E39" s="1059" t="e">
        <f ca="1">BDH("BMBL US Equity","ACCT_PAYABLE_ACCRUALS_DETAILED","FY 2020","FY 2020","Currency=USD","Period=FY","BEST_FPERIOD_OVERRIDE=FY","FILING_STATUS=MR","SCALING_FORMAT=MLN","Sort=A","Dates=H","DateFormat=P","Fill=—","Direction=H","UseDPDF=Y")</f>
        <v>#NAME?</v>
      </c>
      <c r="F39" s="1059" t="e">
        <f ca="1">BDH("BMBL US Equity","ACCT_PAYABLE_ACCRUALS_DETAILED","FY 2021","FY 2021","Currency=USD","Period=FY","BEST_FPERIOD_OVERRIDE=FY","FILING_STATUS=MR","SCALING_FORMAT=MLN","Sort=A","Dates=H","DateFormat=P","Fill=—","Direction=H","UseDPDF=Y")</f>
        <v>#NAME?</v>
      </c>
      <c r="G39" s="1059" t="e">
        <f ca="1">BDH("BMBL US Equity","ACCT_PAYABLE_ACCRUALS_DETAILED","FY 2022","FY 2022","Currency=USD","Period=FY","BEST_FPERIOD_OVERRIDE=FY","FILING_STATUS=MR","SCALING_FORMAT=MLN","Sort=A","Dates=H","DateFormat=P","Fill=—","Direction=H","UseDPDF=Y")</f>
        <v>#NAME?</v>
      </c>
      <c r="H39" s="1059" t="e">
        <f ca="1">BDH("BMBL US Equity","ACCT_PAYABLE_ACCRUALS_DETAILED","FY 2023","FY 2023","Currency=USD","Period=FY","BEST_FPERIOD_OVERRIDE=FY","FILING_STATUS=MR","SCALING_FORMAT=MLN","Sort=A","Dates=H","DateFormat=P","Fill=—","Direction=H","UseDPDF=Y")</f>
        <v>#NAME?</v>
      </c>
    </row>
    <row r="40" spans="1:8">
      <c r="A40" s="1058" t="s">
        <v>376</v>
      </c>
      <c r="B40" s="1058" t="s">
        <v>377</v>
      </c>
      <c r="C40" s="1059" t="e">
        <f ca="1">BDH("BMBL US Equity","BS_ACCT_PAYABLE","FY 2018","FY 2018","Currency=USD","Period=FY","BEST_FPERIOD_OVERRIDE=FY","FILING_STATUS=MR","SCALING_FORMAT=MLN","Sort=A","Dates=H","DateFormat=P","Fill=—","Direction=H","UseDPDF=Y")</f>
        <v>#NAME?</v>
      </c>
      <c r="D40" s="1059" t="e">
        <f ca="1">BDH("BMBL US Equity","BS_ACCT_PAYABLE","FY 2019","FY 2019","Currency=USD","Period=FY","BEST_FPERIOD_OVERRIDE=FY","FILING_STATUS=MR","SCALING_FORMAT=MLN","Sort=A","Dates=H","DateFormat=P","Fill=—","Direction=H","UseDPDF=Y")</f>
        <v>#NAME?</v>
      </c>
      <c r="E40" s="1059" t="e">
        <f ca="1">BDH("BMBL US Equity","BS_ACCT_PAYABLE","FY 2020","FY 2020","Currency=USD","Period=FY","BEST_FPERIOD_OVERRIDE=FY","FILING_STATUS=MR","SCALING_FORMAT=MLN","Sort=A","Dates=H","DateFormat=P","Fill=—","Direction=H","UseDPDF=Y")</f>
        <v>#NAME?</v>
      </c>
      <c r="F40" s="1059" t="e">
        <f ca="1">BDH("BMBL US Equity","BS_ACCT_PAYABLE","FY 2021","FY 2021","Currency=USD","Period=FY","BEST_FPERIOD_OVERRIDE=FY","FILING_STATUS=MR","SCALING_FORMAT=MLN","Sort=A","Dates=H","DateFormat=P","Fill=—","Direction=H","UseDPDF=Y")</f>
        <v>#NAME?</v>
      </c>
      <c r="G40" s="1059" t="e">
        <f ca="1">BDH("BMBL US Equity","BS_ACCT_PAYABLE","FY 2022","FY 2022","Currency=USD","Period=FY","BEST_FPERIOD_OVERRIDE=FY","FILING_STATUS=MR","SCALING_FORMAT=MLN","Sort=A","Dates=H","DateFormat=P","Fill=—","Direction=H","UseDPDF=Y")</f>
        <v>#NAME?</v>
      </c>
      <c r="H40" s="1059" t="e">
        <f ca="1">BDH("BMBL US Equity","BS_ACCT_PAYABLE","FY 2023","FY 2023","Currency=USD","Period=FY","BEST_FPERIOD_OVERRIDE=FY","FILING_STATUS=MR","SCALING_FORMAT=MLN","Sort=A","Dates=H","DateFormat=P","Fill=—","Direction=H","UseDPDF=Y")</f>
        <v>#NAME?</v>
      </c>
    </row>
    <row r="41" spans="1:8">
      <c r="A41" s="1058" t="s">
        <v>378</v>
      </c>
      <c r="B41" s="1058" t="s">
        <v>379</v>
      </c>
      <c r="C41" s="1059" t="e">
        <f ca="1">BDH("BMBL US Equity","BS_ACCRUAL","FY 2018","FY 2018","Currency=USD","Period=FY","BEST_FPERIOD_OVERRIDE=FY","FILING_STATUS=MR","SCALING_FORMAT=MLN","Sort=A","Dates=H","DateFormat=P","Fill=—","Direction=H","UseDPDF=Y")</f>
        <v>#NAME?</v>
      </c>
      <c r="D41" s="1059" t="e">
        <f ca="1">BDH("BMBL US Equity","BS_ACCRUAL","FY 2019","FY 2019","Currency=USD","Period=FY","BEST_FPERIOD_OVERRIDE=FY","FILING_STATUS=MR","SCALING_FORMAT=MLN","Sort=A","Dates=H","DateFormat=P","Fill=—","Direction=H","UseDPDF=Y")</f>
        <v>#NAME?</v>
      </c>
      <c r="E41" s="1059" t="e">
        <f ca="1">BDH("BMBL US Equity","BS_ACCRUAL","FY 2020","FY 2020","Currency=USD","Period=FY","BEST_FPERIOD_OVERRIDE=FY","FILING_STATUS=MR","SCALING_FORMAT=MLN","Sort=A","Dates=H","DateFormat=P","Fill=—","Direction=H","UseDPDF=Y")</f>
        <v>#NAME?</v>
      </c>
      <c r="F41" s="1059" t="e">
        <f ca="1">BDH("BMBL US Equity","BS_ACCRUAL","FY 2021","FY 2021","Currency=USD","Period=FY","BEST_FPERIOD_OVERRIDE=FY","FILING_STATUS=MR","SCALING_FORMAT=MLN","Sort=A","Dates=H","DateFormat=P","Fill=—","Direction=H","UseDPDF=Y")</f>
        <v>#NAME?</v>
      </c>
      <c r="G41" s="1059" t="e">
        <f ca="1">BDH("BMBL US Equity","BS_ACCRUAL","FY 2022","FY 2022","Currency=USD","Period=FY","BEST_FPERIOD_OVERRIDE=FY","FILING_STATUS=MR","SCALING_FORMAT=MLN","Sort=A","Dates=H","DateFormat=P","Fill=—","Direction=H","UseDPDF=Y")</f>
        <v>#NAME?</v>
      </c>
      <c r="H41" s="1059" t="e">
        <f ca="1">BDH("BMBL US Equity","BS_ACCRUAL","FY 2023","FY 2023","Currency=USD","Period=FY","BEST_FPERIOD_OVERRIDE=FY","FILING_STATUS=MR","SCALING_FORMAT=MLN","Sort=A","Dates=H","DateFormat=P","Fill=—","Direction=H","UseDPDF=Y")</f>
        <v>#NAME?</v>
      </c>
    </row>
    <row r="42" spans="1:8">
      <c r="A42" s="1058" t="s">
        <v>380</v>
      </c>
      <c r="B42" s="1058" t="s">
        <v>381</v>
      </c>
      <c r="C42" s="1059" t="e">
        <f ca="1">BDH("BMBL US Equity","BS_ST_BORROW","FY 2018","FY 2018","Currency=USD","Period=FY","BEST_FPERIOD_OVERRIDE=FY","FILING_STATUS=MR","SCALING_FORMAT=MLN","Sort=A","Dates=H","DateFormat=P","Fill=—","Direction=H","UseDPDF=Y")</f>
        <v>#NAME?</v>
      </c>
      <c r="D42" s="1059" t="e">
        <f ca="1">BDH("BMBL US Equity","BS_ST_BORROW","FY 2019","FY 2019","Currency=USD","Period=FY","BEST_FPERIOD_OVERRIDE=FY","FILING_STATUS=MR","SCALING_FORMAT=MLN","Sort=A","Dates=H","DateFormat=P","Fill=—","Direction=H","UseDPDF=Y")</f>
        <v>#NAME?</v>
      </c>
      <c r="E42" s="1059" t="e">
        <f ca="1">BDH("BMBL US Equity","BS_ST_BORROW","FY 2020","FY 2020","Currency=USD","Period=FY","BEST_FPERIOD_OVERRIDE=FY","FILING_STATUS=MR","SCALING_FORMAT=MLN","Sort=A","Dates=H","DateFormat=P","Fill=—","Direction=H","UseDPDF=Y")</f>
        <v>#NAME?</v>
      </c>
      <c r="F42" s="1059" t="e">
        <f ca="1">BDH("BMBL US Equity","BS_ST_BORROW","FY 2021","FY 2021","Currency=USD","Period=FY","BEST_FPERIOD_OVERRIDE=FY","FILING_STATUS=MR","SCALING_FORMAT=MLN","Sort=A","Dates=H","DateFormat=P","Fill=—","Direction=H","UseDPDF=Y")</f>
        <v>#NAME?</v>
      </c>
      <c r="G42" s="1059" t="e">
        <f ca="1">BDH("BMBL US Equity","BS_ST_BORROW","FY 2022","FY 2022","Currency=USD","Period=FY","BEST_FPERIOD_OVERRIDE=FY","FILING_STATUS=MR","SCALING_FORMAT=MLN","Sort=A","Dates=H","DateFormat=P","Fill=—","Direction=H","UseDPDF=Y")</f>
        <v>#NAME?</v>
      </c>
      <c r="H42" s="1059" t="e">
        <f ca="1">BDH("BMBL US Equity","BS_ST_BORROW","FY 2023","FY 2023","Currency=USD","Period=FY","BEST_FPERIOD_OVERRIDE=FY","FILING_STATUS=MR","SCALING_FORMAT=MLN","Sort=A","Dates=H","DateFormat=P","Fill=—","Direction=H","UseDPDF=Y")</f>
        <v>#NAME?</v>
      </c>
    </row>
    <row r="43" spans="1:8">
      <c r="A43" s="1058" t="s">
        <v>382</v>
      </c>
      <c r="B43" s="1058" t="s">
        <v>383</v>
      </c>
      <c r="C43" s="1059" t="e">
        <f ca="1">BDH("BMBL US Equity","SHORT_TERM_DEBT_DETAILED","FY 2018","FY 2018","Currency=USD","Period=FY","BEST_FPERIOD_OVERRIDE=FY","FILING_STATUS=MR","SCALING_FORMAT=MLN","Sort=A","Dates=H","DateFormat=P","Fill=—","Direction=H","UseDPDF=Y")</f>
        <v>#NAME?</v>
      </c>
      <c r="D43" s="1059" t="e">
        <f ca="1">BDH("BMBL US Equity","SHORT_TERM_DEBT_DETAILED","FY 2019","FY 2019","Currency=USD","Period=FY","BEST_FPERIOD_OVERRIDE=FY","FILING_STATUS=MR","SCALING_FORMAT=MLN","Sort=A","Dates=H","DateFormat=P","Fill=—","Direction=H","UseDPDF=Y")</f>
        <v>#NAME?</v>
      </c>
      <c r="E43" s="1059" t="e">
        <f ca="1">BDH("BMBL US Equity","SHORT_TERM_DEBT_DETAILED","FY 2020","FY 2020","Currency=USD","Period=FY","BEST_FPERIOD_OVERRIDE=FY","FILING_STATUS=MR","SCALING_FORMAT=MLN","Sort=A","Dates=H","DateFormat=P","Fill=—","Direction=H","UseDPDF=Y")</f>
        <v>#NAME?</v>
      </c>
      <c r="F43" s="1059" t="e">
        <f ca="1">BDH("BMBL US Equity","SHORT_TERM_DEBT_DETAILED","FY 2021","FY 2021","Currency=USD","Period=FY","BEST_FPERIOD_OVERRIDE=FY","FILING_STATUS=MR","SCALING_FORMAT=MLN","Sort=A","Dates=H","DateFormat=P","Fill=—","Direction=H","UseDPDF=Y")</f>
        <v>#NAME?</v>
      </c>
      <c r="G43" s="1059" t="e">
        <f ca="1">BDH("BMBL US Equity","SHORT_TERM_DEBT_DETAILED","FY 2022","FY 2022","Currency=USD","Period=FY","BEST_FPERIOD_OVERRIDE=FY","FILING_STATUS=MR","SCALING_FORMAT=MLN","Sort=A","Dates=H","DateFormat=P","Fill=—","Direction=H","UseDPDF=Y")</f>
        <v>#NAME?</v>
      </c>
      <c r="H43" s="1059" t="e">
        <f ca="1">BDH("BMBL US Equity","SHORT_TERM_DEBT_DETAILED","FY 2023","FY 2023","Currency=USD","Period=FY","BEST_FPERIOD_OVERRIDE=FY","FILING_STATUS=MR","SCALING_FORMAT=MLN","Sort=A","Dates=H","DateFormat=P","Fill=—","Direction=H","UseDPDF=Y")</f>
        <v>#NAME?</v>
      </c>
    </row>
    <row r="44" spans="1:8">
      <c r="A44" s="1058" t="s">
        <v>384</v>
      </c>
      <c r="B44" s="1058" t="s">
        <v>385</v>
      </c>
      <c r="C44" s="1059" t="e">
        <f ca="1">BDH("BMBL US Equity","ST_CAPITALIZED_LEASE_LIABILITIES","FY 2018","FY 2018","Currency=USD","Period=FY","BEST_FPERIOD_OVERRIDE=FY","FILING_STATUS=MR","SCALING_FORMAT=MLN","Sort=A","Dates=H","DateFormat=P","Fill=—","Direction=H","UseDPDF=Y")</f>
        <v>#NAME?</v>
      </c>
      <c r="D44" s="1059" t="e">
        <f ca="1">BDH("BMBL US Equity","ST_CAPITALIZED_LEASE_LIABILITIES","FY 2019","FY 2019","Currency=USD","Period=FY","BEST_FPERIOD_OVERRIDE=FY","FILING_STATUS=MR","SCALING_FORMAT=MLN","Sort=A","Dates=H","DateFormat=P","Fill=—","Direction=H","UseDPDF=Y")</f>
        <v>#NAME?</v>
      </c>
      <c r="E44" s="1059" t="e">
        <f ca="1">BDH("BMBL US Equity","ST_CAPITALIZED_LEASE_LIABILITIES","FY 2020","FY 2020","Currency=USD","Period=FY","BEST_FPERIOD_OVERRIDE=FY","FILING_STATUS=MR","SCALING_FORMAT=MLN","Sort=A","Dates=H","DateFormat=P","Fill=—","Direction=H","UseDPDF=Y")</f>
        <v>#NAME?</v>
      </c>
      <c r="F44" s="1059" t="e">
        <f ca="1">BDH("BMBL US Equity","ST_CAPITALIZED_LEASE_LIABILITIES","FY 2021","FY 2021","Currency=USD","Period=FY","BEST_FPERIOD_OVERRIDE=FY","FILING_STATUS=MR","SCALING_FORMAT=MLN","Sort=A","Dates=H","DateFormat=P","Fill=—","Direction=H","UseDPDF=Y")</f>
        <v>#NAME?</v>
      </c>
      <c r="G44" s="1059" t="e">
        <f ca="1">BDH("BMBL US Equity","ST_CAPITALIZED_LEASE_LIABILITIES","FY 2022","FY 2022","Currency=USD","Period=FY","BEST_FPERIOD_OVERRIDE=FY","FILING_STATUS=MR","SCALING_FORMAT=MLN","Sort=A","Dates=H","DateFormat=P","Fill=—","Direction=H","UseDPDF=Y")</f>
        <v>#NAME?</v>
      </c>
      <c r="H44" s="1059" t="e">
        <f ca="1">BDH("BMBL US Equity","ST_CAPITALIZED_LEASE_LIABILITIES","FY 2023","FY 2023","Currency=USD","Period=FY","BEST_FPERIOD_OVERRIDE=FY","FILING_STATUS=MR","SCALING_FORMAT=MLN","Sort=A","Dates=H","DateFormat=P","Fill=—","Direction=H","UseDPDF=Y")</f>
        <v>#NAME?</v>
      </c>
    </row>
    <row r="45" spans="1:8">
      <c r="A45" s="1082" t="s">
        <v>386</v>
      </c>
      <c r="B45" s="1082" t="s">
        <v>387</v>
      </c>
      <c r="C45" s="1081" t="e">
        <f ca="1">BDH("BMBL US Equity","ST_CAPITAL_LEASE_OBLIGATIONS","FY 2018","FY 2018","Currency=USD","Period=FY","BEST_FPERIOD_OVERRIDE=FY","FILING_STATUS=MR","SCALING_FORMAT=MLN","Sort=A","Dates=H","DateFormat=P","Fill=—","Direction=H","UseDPDF=Y")</f>
        <v>#NAME?</v>
      </c>
      <c r="D45" s="1081" t="e">
        <f ca="1">BDH("BMBL US Equity","ST_CAPITAL_LEASE_OBLIGATIONS","FY 2019","FY 2019","Currency=USD","Period=FY","BEST_FPERIOD_OVERRIDE=FY","FILING_STATUS=MR","SCALING_FORMAT=MLN","Sort=A","Dates=H","DateFormat=P","Fill=—","Direction=H","UseDPDF=Y")</f>
        <v>#NAME?</v>
      </c>
      <c r="E45" s="1081" t="e">
        <f ca="1">BDH("BMBL US Equity","ST_CAPITAL_LEASE_OBLIGATIONS","FY 2020","FY 2020","Currency=USD","Period=FY","BEST_FPERIOD_OVERRIDE=FY","FILING_STATUS=MR","SCALING_FORMAT=MLN","Sort=A","Dates=H","DateFormat=P","Fill=—","Direction=H","UseDPDF=Y")</f>
        <v>#NAME?</v>
      </c>
      <c r="F45" s="1081" t="e">
        <f ca="1">BDH("BMBL US Equity","ST_CAPITAL_LEASE_OBLIGATIONS","FY 2021","FY 2021","Currency=USD","Period=FY","BEST_FPERIOD_OVERRIDE=FY","FILING_STATUS=MR","SCALING_FORMAT=MLN","Sort=A","Dates=H","DateFormat=P","Fill=—","Direction=H","UseDPDF=Y")</f>
        <v>#NAME?</v>
      </c>
      <c r="G45" s="1081" t="e">
        <f ca="1">BDH("BMBL US Equity","ST_CAPITAL_LEASE_OBLIGATIONS","FY 2022","FY 2022","Currency=USD","Period=FY","BEST_FPERIOD_OVERRIDE=FY","FILING_STATUS=MR","SCALING_FORMAT=MLN","Sort=A","Dates=H","DateFormat=P","Fill=—","Direction=H","UseDPDF=Y")</f>
        <v>#NAME?</v>
      </c>
      <c r="H45" s="1081" t="e">
        <f ca="1">BDH("BMBL US Equity","ST_CAPITAL_LEASE_OBLIGATIONS","FY 2023","FY 2023","Currency=USD","Period=FY","BEST_FPERIOD_OVERRIDE=FY","FILING_STATUS=MR","SCALING_FORMAT=MLN","Sort=A","Dates=H","DateFormat=P","Fill=—","Direction=H","UseDPDF=Y")</f>
        <v>#NAME?</v>
      </c>
    </row>
    <row r="46" spans="1:8">
      <c r="A46" s="1082" t="s">
        <v>388</v>
      </c>
      <c r="B46" s="1082" t="s">
        <v>389</v>
      </c>
      <c r="C46" s="1081" t="e">
        <f ca="1">BDH("BMBL US Equity","BS_ST_OPERATING_LEASE_LIABS","FY 2018","FY 2018","Currency=USD","Period=FY","BEST_FPERIOD_OVERRIDE=FY","FILING_STATUS=MR","SCALING_FORMAT=MLN","Sort=A","Dates=H","DateFormat=P","Fill=—","Direction=H","UseDPDF=Y")</f>
        <v>#NAME?</v>
      </c>
      <c r="D46" s="1081" t="e">
        <f ca="1">BDH("BMBL US Equity","BS_ST_OPERATING_LEASE_LIABS","FY 2019","FY 2019","Currency=USD","Period=FY","BEST_FPERIOD_OVERRIDE=FY","FILING_STATUS=MR","SCALING_FORMAT=MLN","Sort=A","Dates=H","DateFormat=P","Fill=—","Direction=H","UseDPDF=Y")</f>
        <v>#NAME?</v>
      </c>
      <c r="E46" s="1081" t="e">
        <f ca="1">BDH("BMBL US Equity","BS_ST_OPERATING_LEASE_LIABS","FY 2020","FY 2020","Currency=USD","Period=FY","BEST_FPERIOD_OVERRIDE=FY","FILING_STATUS=MR","SCALING_FORMAT=MLN","Sort=A","Dates=H","DateFormat=P","Fill=—","Direction=H","UseDPDF=Y")</f>
        <v>#NAME?</v>
      </c>
      <c r="F46" s="1081" t="e">
        <f ca="1">BDH("BMBL US Equity","BS_ST_OPERATING_LEASE_LIABS","FY 2021","FY 2021","Currency=USD","Period=FY","BEST_FPERIOD_OVERRIDE=FY","FILING_STATUS=MR","SCALING_FORMAT=MLN","Sort=A","Dates=H","DateFormat=P","Fill=—","Direction=H","UseDPDF=Y")</f>
        <v>#NAME?</v>
      </c>
      <c r="G46" s="1081" t="e">
        <f ca="1">BDH("BMBL US Equity","BS_ST_OPERATING_LEASE_LIABS","FY 2022","FY 2022","Currency=USD","Period=FY","BEST_FPERIOD_OVERRIDE=FY","FILING_STATUS=MR","SCALING_FORMAT=MLN","Sort=A","Dates=H","DateFormat=P","Fill=—","Direction=H","UseDPDF=Y")</f>
        <v>#NAME?</v>
      </c>
      <c r="H46" s="1081" t="e">
        <f ca="1">BDH("BMBL US Equity","BS_ST_OPERATING_LEASE_LIABS","FY 2023","FY 2023","Currency=USD","Period=FY","BEST_FPERIOD_OVERRIDE=FY","FILING_STATUS=MR","SCALING_FORMAT=MLN","Sort=A","Dates=H","DateFormat=P","Fill=—","Direction=H","UseDPDF=Y")</f>
        <v>#NAME?</v>
      </c>
    </row>
    <row r="47" spans="1:8">
      <c r="A47" s="1058" t="s">
        <v>390</v>
      </c>
      <c r="B47" s="1058" t="s">
        <v>391</v>
      </c>
      <c r="C47" s="1059" t="e">
        <f ca="1">BDH("BMBL US Equity","BS_CURR_PORTION_LT_DEBT","FY 2018","FY 2018","Currency=USD","Period=FY","BEST_FPERIOD_OVERRIDE=FY","FILING_STATUS=MR","SCALING_FORMAT=MLN","Sort=A","Dates=H","DateFormat=P","Fill=—","Direction=H","UseDPDF=Y")</f>
        <v>#NAME?</v>
      </c>
      <c r="D47" s="1059" t="e">
        <f ca="1">BDH("BMBL US Equity","BS_CURR_PORTION_LT_DEBT","FY 2019","FY 2019","Currency=USD","Period=FY","BEST_FPERIOD_OVERRIDE=FY","FILING_STATUS=MR","SCALING_FORMAT=MLN","Sort=A","Dates=H","DateFormat=P","Fill=—","Direction=H","UseDPDF=Y")</f>
        <v>#NAME?</v>
      </c>
      <c r="E47" s="1059" t="e">
        <f ca="1">BDH("BMBL US Equity","BS_CURR_PORTION_LT_DEBT","FY 2020","FY 2020","Currency=USD","Period=FY","BEST_FPERIOD_OVERRIDE=FY","FILING_STATUS=MR","SCALING_FORMAT=MLN","Sort=A","Dates=H","DateFormat=P","Fill=—","Direction=H","UseDPDF=Y")</f>
        <v>#NAME?</v>
      </c>
      <c r="F47" s="1059" t="e">
        <f ca="1">BDH("BMBL US Equity","BS_CURR_PORTION_LT_DEBT","FY 2021","FY 2021","Currency=USD","Period=FY","BEST_FPERIOD_OVERRIDE=FY","FILING_STATUS=MR","SCALING_FORMAT=MLN","Sort=A","Dates=H","DateFormat=P","Fill=—","Direction=H","UseDPDF=Y")</f>
        <v>#NAME?</v>
      </c>
      <c r="G47" s="1059" t="e">
        <f ca="1">BDH("BMBL US Equity","BS_CURR_PORTION_LT_DEBT","FY 2022","FY 2022","Currency=USD","Period=FY","BEST_FPERIOD_OVERRIDE=FY","FILING_STATUS=MR","SCALING_FORMAT=MLN","Sort=A","Dates=H","DateFormat=P","Fill=—","Direction=H","UseDPDF=Y")</f>
        <v>#NAME?</v>
      </c>
      <c r="H47" s="1059" t="e">
        <f ca="1">BDH("BMBL US Equity","BS_CURR_PORTION_LT_DEBT","FY 2023","FY 2023","Currency=USD","Period=FY","BEST_FPERIOD_OVERRIDE=FY","FILING_STATUS=MR","SCALING_FORMAT=MLN","Sort=A","Dates=H","DateFormat=P","Fill=—","Direction=H","UseDPDF=Y")</f>
        <v>#NAME?</v>
      </c>
    </row>
    <row r="48" spans="1:8">
      <c r="A48" s="1058" t="s">
        <v>392</v>
      </c>
      <c r="B48" s="1058" t="s">
        <v>393</v>
      </c>
      <c r="C48" s="1059" t="e">
        <f ca="1">BDH("BMBL US Equity","OTHER_CURRENT_LIABS_SUB_DETAILED","FY 2018","FY 2018","Currency=USD","Period=FY","BEST_FPERIOD_OVERRIDE=FY","FILING_STATUS=MR","SCALING_FORMAT=MLN","Sort=A","Dates=H","DateFormat=P","Fill=—","Direction=H","UseDPDF=Y")</f>
        <v>#NAME?</v>
      </c>
      <c r="D48" s="1059" t="e">
        <f ca="1">BDH("BMBL US Equity","OTHER_CURRENT_LIABS_SUB_DETAILED","FY 2019","FY 2019","Currency=USD","Period=FY","BEST_FPERIOD_OVERRIDE=FY","FILING_STATUS=MR","SCALING_FORMAT=MLN","Sort=A","Dates=H","DateFormat=P","Fill=—","Direction=H","UseDPDF=Y")</f>
        <v>#NAME?</v>
      </c>
      <c r="E48" s="1059" t="e">
        <f ca="1">BDH("BMBL US Equity","OTHER_CURRENT_LIABS_SUB_DETAILED","FY 2020","FY 2020","Currency=USD","Period=FY","BEST_FPERIOD_OVERRIDE=FY","FILING_STATUS=MR","SCALING_FORMAT=MLN","Sort=A","Dates=H","DateFormat=P","Fill=—","Direction=H","UseDPDF=Y")</f>
        <v>#NAME?</v>
      </c>
      <c r="F48" s="1059" t="e">
        <f ca="1">BDH("BMBL US Equity","OTHER_CURRENT_LIABS_SUB_DETAILED","FY 2021","FY 2021","Currency=USD","Period=FY","BEST_FPERIOD_OVERRIDE=FY","FILING_STATUS=MR","SCALING_FORMAT=MLN","Sort=A","Dates=H","DateFormat=P","Fill=—","Direction=H","UseDPDF=Y")</f>
        <v>#NAME?</v>
      </c>
      <c r="G48" s="1059" t="e">
        <f ca="1">BDH("BMBL US Equity","OTHER_CURRENT_LIABS_SUB_DETAILED","FY 2022","FY 2022","Currency=USD","Period=FY","BEST_FPERIOD_OVERRIDE=FY","FILING_STATUS=MR","SCALING_FORMAT=MLN","Sort=A","Dates=H","DateFormat=P","Fill=—","Direction=H","UseDPDF=Y")</f>
        <v>#NAME?</v>
      </c>
      <c r="H48" s="1059" t="e">
        <f ca="1">BDH("BMBL US Equity","OTHER_CURRENT_LIABS_SUB_DETAILED","FY 2023","FY 2023","Currency=USD","Period=FY","BEST_FPERIOD_OVERRIDE=FY","FILING_STATUS=MR","SCALING_FORMAT=MLN","Sort=A","Dates=H","DateFormat=P","Fill=—","Direction=H","UseDPDF=Y")</f>
        <v>#NAME?</v>
      </c>
    </row>
    <row r="49" spans="1:8">
      <c r="A49" s="1058" t="s">
        <v>394</v>
      </c>
      <c r="B49" s="1058" t="s">
        <v>395</v>
      </c>
      <c r="C49" s="1059" t="e">
        <f ca="1">BDH("BMBL US Equity","ST_DEFERRED_REVENUE","FY 2018","FY 2018","Currency=USD","Period=FY","BEST_FPERIOD_OVERRIDE=FY","FILING_STATUS=MR","SCALING_FORMAT=MLN","Sort=A","Dates=H","DateFormat=P","Fill=—","Direction=H","UseDPDF=Y")</f>
        <v>#NAME?</v>
      </c>
      <c r="D49" s="1059" t="e">
        <f ca="1">BDH("BMBL US Equity","ST_DEFERRED_REVENUE","FY 2019","FY 2019","Currency=USD","Period=FY","BEST_FPERIOD_OVERRIDE=FY","FILING_STATUS=MR","SCALING_FORMAT=MLN","Sort=A","Dates=H","DateFormat=P","Fill=—","Direction=H","UseDPDF=Y")</f>
        <v>#NAME?</v>
      </c>
      <c r="E49" s="1059" t="e">
        <f ca="1">BDH("BMBL US Equity","ST_DEFERRED_REVENUE","FY 2020","FY 2020","Currency=USD","Period=FY","BEST_FPERIOD_OVERRIDE=FY","FILING_STATUS=MR","SCALING_FORMAT=MLN","Sort=A","Dates=H","DateFormat=P","Fill=—","Direction=H","UseDPDF=Y")</f>
        <v>#NAME?</v>
      </c>
      <c r="F49" s="1059" t="e">
        <f ca="1">BDH("BMBL US Equity","ST_DEFERRED_REVENUE","FY 2021","FY 2021","Currency=USD","Period=FY","BEST_FPERIOD_OVERRIDE=FY","FILING_STATUS=MR","SCALING_FORMAT=MLN","Sort=A","Dates=H","DateFormat=P","Fill=—","Direction=H","UseDPDF=Y")</f>
        <v>#NAME?</v>
      </c>
      <c r="G49" s="1059" t="e">
        <f ca="1">BDH("BMBL US Equity","ST_DEFERRED_REVENUE","FY 2022","FY 2022","Currency=USD","Period=FY","BEST_FPERIOD_OVERRIDE=FY","FILING_STATUS=MR","SCALING_FORMAT=MLN","Sort=A","Dates=H","DateFormat=P","Fill=—","Direction=H","UseDPDF=Y")</f>
        <v>#NAME?</v>
      </c>
      <c r="H49" s="1059" t="e">
        <f ca="1">BDH("BMBL US Equity","ST_DEFERRED_REVENUE","FY 2023","FY 2023","Currency=USD","Period=FY","BEST_FPERIOD_OVERRIDE=FY","FILING_STATUS=MR","SCALING_FORMAT=MLN","Sort=A","Dates=H","DateFormat=P","Fill=—","Direction=H","UseDPDF=Y")</f>
        <v>#NAME?</v>
      </c>
    </row>
    <row r="50" spans="1:8">
      <c r="A50" s="1058" t="s">
        <v>396</v>
      </c>
      <c r="B50" s="1058" t="s">
        <v>397</v>
      </c>
      <c r="C50" s="1059" t="e">
        <f ca="1">BDH("BMBL US Equity","BS_DERIV_HEDGING_LIAB_ST","FY 2018","FY 2018","Currency=USD","Period=FY","BEST_FPERIOD_OVERRIDE=FY","FILING_STATUS=MR","SCALING_FORMAT=MLN","Sort=A","Dates=H","DateFormat=P","Fill=—","Direction=H","UseDPDF=Y")</f>
        <v>#NAME?</v>
      </c>
      <c r="D50" s="1059" t="e">
        <f ca="1">BDH("BMBL US Equity","BS_DERIV_HEDGING_LIAB_ST","FY 2019","FY 2019","Currency=USD","Period=FY","BEST_FPERIOD_OVERRIDE=FY","FILING_STATUS=MR","SCALING_FORMAT=MLN","Sort=A","Dates=H","DateFormat=P","Fill=—","Direction=H","UseDPDF=Y")</f>
        <v>#NAME?</v>
      </c>
      <c r="E50" s="1059" t="e">
        <f ca="1">BDH("BMBL US Equity","BS_DERIV_HEDGING_LIAB_ST","FY 2020","FY 2020","Currency=USD","Period=FY","BEST_FPERIOD_OVERRIDE=FY","FILING_STATUS=MR","SCALING_FORMAT=MLN","Sort=A","Dates=H","DateFormat=P","Fill=—","Direction=H","UseDPDF=Y")</f>
        <v>#NAME?</v>
      </c>
      <c r="F50" s="1059" t="e">
        <f ca="1">BDH("BMBL US Equity","BS_DERIV_HEDGING_LIAB_ST","FY 2021","FY 2021","Currency=USD","Period=FY","BEST_FPERIOD_OVERRIDE=FY","FILING_STATUS=MR","SCALING_FORMAT=MLN","Sort=A","Dates=H","DateFormat=P","Fill=—","Direction=H","UseDPDF=Y")</f>
        <v>#NAME?</v>
      </c>
      <c r="G50" s="1059" t="e">
        <f ca="1">BDH("BMBL US Equity","BS_DERIV_HEDGING_LIAB_ST","FY 2022","FY 2022","Currency=USD","Period=FY","BEST_FPERIOD_OVERRIDE=FY","FILING_STATUS=MR","SCALING_FORMAT=MLN","Sort=A","Dates=H","DateFormat=P","Fill=—","Direction=H","UseDPDF=Y")</f>
        <v>#NAME?</v>
      </c>
      <c r="H50" s="1059" t="e">
        <f ca="1">BDH("BMBL US Equity","BS_DERIV_HEDGING_LIAB_ST","FY 2023","FY 2023","Currency=USD","Period=FY","BEST_FPERIOD_OVERRIDE=FY","FILING_STATUS=MR","SCALING_FORMAT=MLN","Sort=A","Dates=H","DateFormat=P","Fill=—","Direction=H","UseDPDF=Y")</f>
        <v>#NAME?</v>
      </c>
    </row>
    <row r="51" spans="1:8">
      <c r="A51" s="1058" t="s">
        <v>398</v>
      </c>
      <c r="B51" s="1058" t="s">
        <v>399</v>
      </c>
      <c r="C51" s="1059" t="e">
        <f ca="1">BDH("BMBL US Equity","OTHER_CURRENT_LIABS_DETAILED","FY 2018","FY 2018","Currency=USD","Period=FY","BEST_FPERIOD_OVERRIDE=FY","FILING_STATUS=MR","SCALING_FORMAT=MLN","Sort=A","Dates=H","DateFormat=P","Fill=—","Direction=H","UseDPDF=Y")</f>
        <v>#NAME?</v>
      </c>
      <c r="D51" s="1059" t="e">
        <f ca="1">BDH("BMBL US Equity","OTHER_CURRENT_LIABS_DETAILED","FY 2019","FY 2019","Currency=USD","Period=FY","BEST_FPERIOD_OVERRIDE=FY","FILING_STATUS=MR","SCALING_FORMAT=MLN","Sort=A","Dates=H","DateFormat=P","Fill=—","Direction=H","UseDPDF=Y")</f>
        <v>#NAME?</v>
      </c>
      <c r="E51" s="1059" t="e">
        <f ca="1">BDH("BMBL US Equity","OTHER_CURRENT_LIABS_DETAILED","FY 2020","FY 2020","Currency=USD","Period=FY","BEST_FPERIOD_OVERRIDE=FY","FILING_STATUS=MR","SCALING_FORMAT=MLN","Sort=A","Dates=H","DateFormat=P","Fill=—","Direction=H","UseDPDF=Y")</f>
        <v>#NAME?</v>
      </c>
      <c r="F51" s="1059" t="e">
        <f ca="1">BDH("BMBL US Equity","OTHER_CURRENT_LIABS_DETAILED","FY 2021","FY 2021","Currency=USD","Period=FY","BEST_FPERIOD_OVERRIDE=FY","FILING_STATUS=MR","SCALING_FORMAT=MLN","Sort=A","Dates=H","DateFormat=P","Fill=—","Direction=H","UseDPDF=Y")</f>
        <v>#NAME?</v>
      </c>
      <c r="G51" s="1059" t="e">
        <f ca="1">BDH("BMBL US Equity","OTHER_CURRENT_LIABS_DETAILED","FY 2022","FY 2022","Currency=USD","Period=FY","BEST_FPERIOD_OVERRIDE=FY","FILING_STATUS=MR","SCALING_FORMAT=MLN","Sort=A","Dates=H","DateFormat=P","Fill=—","Direction=H","UseDPDF=Y")</f>
        <v>#NAME?</v>
      </c>
      <c r="H51" s="1059" t="e">
        <f ca="1">BDH("BMBL US Equity","OTHER_CURRENT_LIABS_DETAILED","FY 2023","FY 2023","Currency=USD","Period=FY","BEST_FPERIOD_OVERRIDE=FY","FILING_STATUS=MR","SCALING_FORMAT=MLN","Sort=A","Dates=H","DateFormat=P","Fill=—","Direction=H","UseDPDF=Y")</f>
        <v>#NAME?</v>
      </c>
    </row>
    <row r="52" spans="1:8">
      <c r="A52" s="1062" t="s">
        <v>55</v>
      </c>
      <c r="B52" s="1062" t="s">
        <v>400</v>
      </c>
      <c r="C52" s="1061" t="e">
        <f ca="1">BDH("BMBL US Equity","BS_CUR_LIAB","FY 2018","FY 2018","Currency=USD","Period=FY","BEST_FPERIOD_OVERRIDE=FY","FILING_STATUS=MR","SCALING_FORMAT=MLN","Sort=A","Dates=H","DateFormat=P","Fill=—","Direction=H","UseDPDF=Y")</f>
        <v>#NAME?</v>
      </c>
      <c r="D52" s="1061" t="e">
        <f ca="1">BDH("BMBL US Equity","BS_CUR_LIAB","FY 2019","FY 2019","Currency=USD","Period=FY","BEST_FPERIOD_OVERRIDE=FY","FILING_STATUS=MR","SCALING_FORMAT=MLN","Sort=A","Dates=H","DateFormat=P","Fill=—","Direction=H","UseDPDF=Y")</f>
        <v>#NAME?</v>
      </c>
      <c r="E52" s="1061" t="e">
        <f ca="1">BDH("BMBL US Equity","BS_CUR_LIAB","FY 2020","FY 2020","Currency=USD","Period=FY","BEST_FPERIOD_OVERRIDE=FY","FILING_STATUS=MR","SCALING_FORMAT=MLN","Sort=A","Dates=H","DateFormat=P","Fill=—","Direction=H","UseDPDF=Y")</f>
        <v>#NAME?</v>
      </c>
      <c r="F52" s="1061" t="e">
        <f ca="1">BDH("BMBL US Equity","BS_CUR_LIAB","FY 2021","FY 2021","Currency=USD","Period=FY","BEST_FPERIOD_OVERRIDE=FY","FILING_STATUS=MR","SCALING_FORMAT=MLN","Sort=A","Dates=H","DateFormat=P","Fill=—","Direction=H","UseDPDF=Y")</f>
        <v>#NAME?</v>
      </c>
      <c r="G52" s="1061" t="e">
        <f ca="1">BDH("BMBL US Equity","BS_CUR_LIAB","FY 2022","FY 2022","Currency=USD","Period=FY","BEST_FPERIOD_OVERRIDE=FY","FILING_STATUS=MR","SCALING_FORMAT=MLN","Sort=A","Dates=H","DateFormat=P","Fill=—","Direction=H","UseDPDF=Y")</f>
        <v>#NAME?</v>
      </c>
      <c r="H52" s="1061" t="e">
        <f ca="1">BDH("BMBL US Equity","BS_CUR_LIAB","FY 2023","FY 2023","Currency=USD","Period=FY","BEST_FPERIOD_OVERRIDE=FY","FILING_STATUS=MR","SCALING_FORMAT=MLN","Sort=A","Dates=H","DateFormat=P","Fill=—","Direction=H","UseDPDF=Y")</f>
        <v>#NAME?</v>
      </c>
    </row>
    <row r="53" spans="1:8">
      <c r="A53" s="1058" t="s">
        <v>401</v>
      </c>
      <c r="B53" s="1058" t="s">
        <v>402</v>
      </c>
      <c r="C53" s="1059" t="e">
        <f ca="1">BDH("BMBL US Equity","BS_LT_BORROW","FY 2018","FY 2018","Currency=USD","Period=FY","BEST_FPERIOD_OVERRIDE=FY","FILING_STATUS=MR","SCALING_FORMAT=MLN","Sort=A","Dates=H","DateFormat=P","Fill=—","Direction=H","UseDPDF=Y")</f>
        <v>#NAME?</v>
      </c>
      <c r="D53" s="1059" t="e">
        <f ca="1">BDH("BMBL US Equity","BS_LT_BORROW","FY 2019","FY 2019","Currency=USD","Period=FY","BEST_FPERIOD_OVERRIDE=FY","FILING_STATUS=MR","SCALING_FORMAT=MLN","Sort=A","Dates=H","DateFormat=P","Fill=—","Direction=H","UseDPDF=Y")</f>
        <v>#NAME?</v>
      </c>
      <c r="E53" s="1059" t="e">
        <f ca="1">BDH("BMBL US Equity","BS_LT_BORROW","FY 2020","FY 2020","Currency=USD","Period=FY","BEST_FPERIOD_OVERRIDE=FY","FILING_STATUS=MR","SCALING_FORMAT=MLN","Sort=A","Dates=H","DateFormat=P","Fill=—","Direction=H","UseDPDF=Y")</f>
        <v>#NAME?</v>
      </c>
      <c r="F53" s="1059" t="e">
        <f ca="1">BDH("BMBL US Equity","BS_LT_BORROW","FY 2021","FY 2021","Currency=USD","Period=FY","BEST_FPERIOD_OVERRIDE=FY","FILING_STATUS=MR","SCALING_FORMAT=MLN","Sort=A","Dates=H","DateFormat=P","Fill=—","Direction=H","UseDPDF=Y")</f>
        <v>#NAME?</v>
      </c>
      <c r="G53" s="1059" t="e">
        <f ca="1">BDH("BMBL US Equity","BS_LT_BORROW","FY 2022","FY 2022","Currency=USD","Period=FY","BEST_FPERIOD_OVERRIDE=FY","FILING_STATUS=MR","SCALING_FORMAT=MLN","Sort=A","Dates=H","DateFormat=P","Fill=—","Direction=H","UseDPDF=Y")</f>
        <v>#NAME?</v>
      </c>
      <c r="H53" s="1059" t="e">
        <f ca="1">BDH("BMBL US Equity","BS_LT_BORROW","FY 2023","FY 2023","Currency=USD","Period=FY","BEST_FPERIOD_OVERRIDE=FY","FILING_STATUS=MR","SCALING_FORMAT=MLN","Sort=A","Dates=H","DateFormat=P","Fill=—","Direction=H","UseDPDF=Y")</f>
        <v>#NAME?</v>
      </c>
    </row>
    <row r="54" spans="1:8">
      <c r="A54" s="1058" t="s">
        <v>403</v>
      </c>
      <c r="B54" s="1058" t="s">
        <v>404</v>
      </c>
      <c r="C54" s="1059" t="e">
        <f ca="1">BDH("BMBL US Equity","LONG_TERM_BORROWINGS_DETAILED","FY 2018","FY 2018","Currency=USD","Period=FY","BEST_FPERIOD_OVERRIDE=FY","FILING_STATUS=MR","SCALING_FORMAT=MLN","Sort=A","Dates=H","DateFormat=P","Fill=—","Direction=H","UseDPDF=Y")</f>
        <v>#NAME?</v>
      </c>
      <c r="D54" s="1059" t="e">
        <f ca="1">BDH("BMBL US Equity","LONG_TERM_BORROWINGS_DETAILED","FY 2019","FY 2019","Currency=USD","Period=FY","BEST_FPERIOD_OVERRIDE=FY","FILING_STATUS=MR","SCALING_FORMAT=MLN","Sort=A","Dates=H","DateFormat=P","Fill=—","Direction=H","UseDPDF=Y")</f>
        <v>#NAME?</v>
      </c>
      <c r="E54" s="1059" t="e">
        <f ca="1">BDH("BMBL US Equity","LONG_TERM_BORROWINGS_DETAILED","FY 2020","FY 2020","Currency=USD","Period=FY","BEST_FPERIOD_OVERRIDE=FY","FILING_STATUS=MR","SCALING_FORMAT=MLN","Sort=A","Dates=H","DateFormat=P","Fill=—","Direction=H","UseDPDF=Y")</f>
        <v>#NAME?</v>
      </c>
      <c r="F54" s="1059" t="e">
        <f ca="1">BDH("BMBL US Equity","LONG_TERM_BORROWINGS_DETAILED","FY 2021","FY 2021","Currency=USD","Period=FY","BEST_FPERIOD_OVERRIDE=FY","FILING_STATUS=MR","SCALING_FORMAT=MLN","Sort=A","Dates=H","DateFormat=P","Fill=—","Direction=H","UseDPDF=Y")</f>
        <v>#NAME?</v>
      </c>
      <c r="G54" s="1059" t="e">
        <f ca="1">BDH("BMBL US Equity","LONG_TERM_BORROWINGS_DETAILED","FY 2022","FY 2022","Currency=USD","Period=FY","BEST_FPERIOD_OVERRIDE=FY","FILING_STATUS=MR","SCALING_FORMAT=MLN","Sort=A","Dates=H","DateFormat=P","Fill=—","Direction=H","UseDPDF=Y")</f>
        <v>#NAME?</v>
      </c>
      <c r="H54" s="1059" t="e">
        <f ca="1">BDH("BMBL US Equity","LONG_TERM_BORROWINGS_DETAILED","FY 2023","FY 2023","Currency=USD","Period=FY","BEST_FPERIOD_OVERRIDE=FY","FILING_STATUS=MR","SCALING_FORMAT=MLN","Sort=A","Dates=H","DateFormat=P","Fill=—","Direction=H","UseDPDF=Y")</f>
        <v>#NAME?</v>
      </c>
    </row>
    <row r="55" spans="1:8">
      <c r="A55" s="1058" t="s">
        <v>405</v>
      </c>
      <c r="B55" s="1058" t="s">
        <v>406</v>
      </c>
      <c r="C55" s="1059" t="e">
        <f ca="1">BDH("BMBL US Equity","LT_CAPITALIZED_LEASE_LIABILITIES","FY 2018","FY 2018","Currency=USD","Period=FY","BEST_FPERIOD_OVERRIDE=FY","FILING_STATUS=MR","SCALING_FORMAT=MLN","Sort=A","Dates=H","DateFormat=P","Fill=—","Direction=H","UseDPDF=Y")</f>
        <v>#NAME?</v>
      </c>
      <c r="D55" s="1059" t="e">
        <f ca="1">BDH("BMBL US Equity","LT_CAPITALIZED_LEASE_LIABILITIES","FY 2019","FY 2019","Currency=USD","Period=FY","BEST_FPERIOD_OVERRIDE=FY","FILING_STATUS=MR","SCALING_FORMAT=MLN","Sort=A","Dates=H","DateFormat=P","Fill=—","Direction=H","UseDPDF=Y")</f>
        <v>#NAME?</v>
      </c>
      <c r="E55" s="1059" t="e">
        <f ca="1">BDH("BMBL US Equity","LT_CAPITALIZED_LEASE_LIABILITIES","FY 2020","FY 2020","Currency=USD","Period=FY","BEST_FPERIOD_OVERRIDE=FY","FILING_STATUS=MR","SCALING_FORMAT=MLN","Sort=A","Dates=H","DateFormat=P","Fill=—","Direction=H","UseDPDF=Y")</f>
        <v>#NAME?</v>
      </c>
      <c r="F55" s="1059" t="e">
        <f ca="1">BDH("BMBL US Equity","LT_CAPITALIZED_LEASE_LIABILITIES","FY 2021","FY 2021","Currency=USD","Period=FY","BEST_FPERIOD_OVERRIDE=FY","FILING_STATUS=MR","SCALING_FORMAT=MLN","Sort=A","Dates=H","DateFormat=P","Fill=—","Direction=H","UseDPDF=Y")</f>
        <v>#NAME?</v>
      </c>
      <c r="G55" s="1059" t="e">
        <f ca="1">BDH("BMBL US Equity","LT_CAPITALIZED_LEASE_LIABILITIES","FY 2022","FY 2022","Currency=USD","Period=FY","BEST_FPERIOD_OVERRIDE=FY","FILING_STATUS=MR","SCALING_FORMAT=MLN","Sort=A","Dates=H","DateFormat=P","Fill=—","Direction=H","UseDPDF=Y")</f>
        <v>#NAME?</v>
      </c>
      <c r="H55" s="1059" t="e">
        <f ca="1">BDH("BMBL US Equity","LT_CAPITALIZED_LEASE_LIABILITIES","FY 2023","FY 2023","Currency=USD","Period=FY","BEST_FPERIOD_OVERRIDE=FY","FILING_STATUS=MR","SCALING_FORMAT=MLN","Sort=A","Dates=H","DateFormat=P","Fill=—","Direction=H","UseDPDF=Y")</f>
        <v>#NAME?</v>
      </c>
    </row>
    <row r="56" spans="1:8">
      <c r="A56" s="1082" t="s">
        <v>407</v>
      </c>
      <c r="B56" s="1082" t="s">
        <v>408</v>
      </c>
      <c r="C56" s="1081" t="e">
        <f ca="1">BDH("BMBL US Equity","LT_CAPITAL_LEASE_OBLIGATIONS","FY 2018","FY 2018","Currency=USD","Period=FY","BEST_FPERIOD_OVERRIDE=FY","FILING_STATUS=MR","SCALING_FORMAT=MLN","Sort=A","Dates=H","DateFormat=P","Fill=—","Direction=H","UseDPDF=Y")</f>
        <v>#NAME?</v>
      </c>
      <c r="D56" s="1081" t="e">
        <f ca="1">BDH("BMBL US Equity","LT_CAPITAL_LEASE_OBLIGATIONS","FY 2019","FY 2019","Currency=USD","Period=FY","BEST_FPERIOD_OVERRIDE=FY","FILING_STATUS=MR","SCALING_FORMAT=MLN","Sort=A","Dates=H","DateFormat=P","Fill=—","Direction=H","UseDPDF=Y")</f>
        <v>#NAME?</v>
      </c>
      <c r="E56" s="1081" t="e">
        <f ca="1">BDH("BMBL US Equity","LT_CAPITAL_LEASE_OBLIGATIONS","FY 2020","FY 2020","Currency=USD","Period=FY","BEST_FPERIOD_OVERRIDE=FY","FILING_STATUS=MR","SCALING_FORMAT=MLN","Sort=A","Dates=H","DateFormat=P","Fill=—","Direction=H","UseDPDF=Y")</f>
        <v>#NAME?</v>
      </c>
      <c r="F56" s="1081" t="e">
        <f ca="1">BDH("BMBL US Equity","LT_CAPITAL_LEASE_OBLIGATIONS","FY 2021","FY 2021","Currency=USD","Period=FY","BEST_FPERIOD_OVERRIDE=FY","FILING_STATUS=MR","SCALING_FORMAT=MLN","Sort=A","Dates=H","DateFormat=P","Fill=—","Direction=H","UseDPDF=Y")</f>
        <v>#NAME?</v>
      </c>
      <c r="G56" s="1081" t="e">
        <f ca="1">BDH("BMBL US Equity","LT_CAPITAL_LEASE_OBLIGATIONS","FY 2022","FY 2022","Currency=USD","Period=FY","BEST_FPERIOD_OVERRIDE=FY","FILING_STATUS=MR","SCALING_FORMAT=MLN","Sort=A","Dates=H","DateFormat=P","Fill=—","Direction=H","UseDPDF=Y")</f>
        <v>#NAME?</v>
      </c>
      <c r="H56" s="1081" t="e">
        <f ca="1">BDH("BMBL US Equity","LT_CAPITAL_LEASE_OBLIGATIONS","FY 2023","FY 2023","Currency=USD","Period=FY","BEST_FPERIOD_OVERRIDE=FY","FILING_STATUS=MR","SCALING_FORMAT=MLN","Sort=A","Dates=H","DateFormat=P","Fill=—","Direction=H","UseDPDF=Y")</f>
        <v>#NAME?</v>
      </c>
    </row>
    <row r="57" spans="1:8">
      <c r="A57" s="1082" t="s">
        <v>409</v>
      </c>
      <c r="B57" s="1082" t="s">
        <v>410</v>
      </c>
      <c r="C57" s="1081" t="e">
        <f ca="1">BDH("BMBL US Equity","BS_LT_OPERATING_LEASE_LIABS","FY 2018","FY 2018","Currency=USD","Period=FY","BEST_FPERIOD_OVERRIDE=FY","FILING_STATUS=MR","SCALING_FORMAT=MLN","Sort=A","Dates=H","DateFormat=P","Fill=—","Direction=H","UseDPDF=Y")</f>
        <v>#NAME?</v>
      </c>
      <c r="D57" s="1081" t="e">
        <f ca="1">BDH("BMBL US Equity","BS_LT_OPERATING_LEASE_LIABS","FY 2019","FY 2019","Currency=USD","Period=FY","BEST_FPERIOD_OVERRIDE=FY","FILING_STATUS=MR","SCALING_FORMAT=MLN","Sort=A","Dates=H","DateFormat=P","Fill=—","Direction=H","UseDPDF=Y")</f>
        <v>#NAME?</v>
      </c>
      <c r="E57" s="1081" t="e">
        <f ca="1">BDH("BMBL US Equity","BS_LT_OPERATING_LEASE_LIABS","FY 2020","FY 2020","Currency=USD","Period=FY","BEST_FPERIOD_OVERRIDE=FY","FILING_STATUS=MR","SCALING_FORMAT=MLN","Sort=A","Dates=H","DateFormat=P","Fill=—","Direction=H","UseDPDF=Y")</f>
        <v>#NAME?</v>
      </c>
      <c r="F57" s="1081" t="e">
        <f ca="1">BDH("BMBL US Equity","BS_LT_OPERATING_LEASE_LIABS","FY 2021","FY 2021","Currency=USD","Period=FY","BEST_FPERIOD_OVERRIDE=FY","FILING_STATUS=MR","SCALING_FORMAT=MLN","Sort=A","Dates=H","DateFormat=P","Fill=—","Direction=H","UseDPDF=Y")</f>
        <v>#NAME?</v>
      </c>
      <c r="G57" s="1081" t="e">
        <f ca="1">BDH("BMBL US Equity","BS_LT_OPERATING_LEASE_LIABS","FY 2022","FY 2022","Currency=USD","Period=FY","BEST_FPERIOD_OVERRIDE=FY","FILING_STATUS=MR","SCALING_FORMAT=MLN","Sort=A","Dates=H","DateFormat=P","Fill=—","Direction=H","UseDPDF=Y")</f>
        <v>#NAME?</v>
      </c>
      <c r="H57" s="1081" t="e">
        <f ca="1">BDH("BMBL US Equity","BS_LT_OPERATING_LEASE_LIABS","FY 2023","FY 2023","Currency=USD","Period=FY","BEST_FPERIOD_OVERRIDE=FY","FILING_STATUS=MR","SCALING_FORMAT=MLN","Sort=A","Dates=H","DateFormat=P","Fill=—","Direction=H","UseDPDF=Y")</f>
        <v>#NAME?</v>
      </c>
    </row>
    <row r="58" spans="1:8">
      <c r="A58" s="1058" t="s">
        <v>411</v>
      </c>
      <c r="B58" s="1058" t="s">
        <v>412</v>
      </c>
      <c r="C58" s="1059" t="e">
        <f ca="1">BDH("BMBL US Equity","OTHER_NONCUR_LIABS_SUB_DETAILED","FY 2018","FY 2018","Currency=USD","Period=FY","BEST_FPERIOD_OVERRIDE=FY","FILING_STATUS=MR","SCALING_FORMAT=MLN","Sort=A","Dates=H","DateFormat=P","Fill=—","Direction=H","UseDPDF=Y")</f>
        <v>#NAME?</v>
      </c>
      <c r="D58" s="1059" t="e">
        <f ca="1">BDH("BMBL US Equity","OTHER_NONCUR_LIABS_SUB_DETAILED","FY 2019","FY 2019","Currency=USD","Period=FY","BEST_FPERIOD_OVERRIDE=FY","FILING_STATUS=MR","SCALING_FORMAT=MLN","Sort=A","Dates=H","DateFormat=P","Fill=—","Direction=H","UseDPDF=Y")</f>
        <v>#NAME?</v>
      </c>
      <c r="E58" s="1059" t="e">
        <f ca="1">BDH("BMBL US Equity","OTHER_NONCUR_LIABS_SUB_DETAILED","FY 2020","FY 2020","Currency=USD","Period=FY","BEST_FPERIOD_OVERRIDE=FY","FILING_STATUS=MR","SCALING_FORMAT=MLN","Sort=A","Dates=H","DateFormat=P","Fill=—","Direction=H","UseDPDF=Y")</f>
        <v>#NAME?</v>
      </c>
      <c r="F58" s="1059" t="e">
        <f ca="1">BDH("BMBL US Equity","OTHER_NONCUR_LIABS_SUB_DETAILED","FY 2021","FY 2021","Currency=USD","Period=FY","BEST_FPERIOD_OVERRIDE=FY","FILING_STATUS=MR","SCALING_FORMAT=MLN","Sort=A","Dates=H","DateFormat=P","Fill=—","Direction=H","UseDPDF=Y")</f>
        <v>#NAME?</v>
      </c>
      <c r="G58" s="1059" t="e">
        <f ca="1">BDH("BMBL US Equity","OTHER_NONCUR_LIABS_SUB_DETAILED","FY 2022","FY 2022","Currency=USD","Period=FY","BEST_FPERIOD_OVERRIDE=FY","FILING_STATUS=MR","SCALING_FORMAT=MLN","Sort=A","Dates=H","DateFormat=P","Fill=—","Direction=H","UseDPDF=Y")</f>
        <v>#NAME?</v>
      </c>
      <c r="H58" s="1059" t="e">
        <f ca="1">BDH("BMBL US Equity","OTHER_NONCUR_LIABS_SUB_DETAILED","FY 2023","FY 2023","Currency=USD","Period=FY","BEST_FPERIOD_OVERRIDE=FY","FILING_STATUS=MR","SCALING_FORMAT=MLN","Sort=A","Dates=H","DateFormat=P","Fill=—","Direction=H","UseDPDF=Y")</f>
        <v>#NAME?</v>
      </c>
    </row>
    <row r="59" spans="1:8">
      <c r="A59" s="1058" t="s">
        <v>413</v>
      </c>
      <c r="B59" s="1058" t="s">
        <v>414</v>
      </c>
      <c r="C59" s="1059" t="e">
        <f ca="1">BDH("BMBL US Equity","BS_ACCRUED_LIABILITIES","FY 2018","FY 2018","Currency=USD","Period=FY","BEST_FPERIOD_OVERRIDE=FY","FILING_STATUS=MR","SCALING_FORMAT=MLN","Sort=A","Dates=H","DateFormat=P","Fill=—","Direction=H","UseDPDF=Y")</f>
        <v>#NAME?</v>
      </c>
      <c r="D59" s="1059" t="e">
        <f ca="1">BDH("BMBL US Equity","BS_ACCRUED_LIABILITIES","FY 2019","FY 2019","Currency=USD","Period=FY","BEST_FPERIOD_OVERRIDE=FY","FILING_STATUS=MR","SCALING_FORMAT=MLN","Sort=A","Dates=H","DateFormat=P","Fill=—","Direction=H","UseDPDF=Y")</f>
        <v>#NAME?</v>
      </c>
      <c r="E59" s="1059" t="e">
        <f ca="1">BDH("BMBL US Equity","BS_ACCRUED_LIABILITIES","FY 2020","FY 2020","Currency=USD","Period=FY","BEST_FPERIOD_OVERRIDE=FY","FILING_STATUS=MR","SCALING_FORMAT=MLN","Sort=A","Dates=H","DateFormat=P","Fill=—","Direction=H","UseDPDF=Y")</f>
        <v>#NAME?</v>
      </c>
      <c r="F59" s="1059" t="e">
        <f ca="1">BDH("BMBL US Equity","BS_ACCRUED_LIABILITIES","FY 2021","FY 2021","Currency=USD","Period=FY","BEST_FPERIOD_OVERRIDE=FY","FILING_STATUS=MR","SCALING_FORMAT=MLN","Sort=A","Dates=H","DateFormat=P","Fill=—","Direction=H","UseDPDF=Y")</f>
        <v>#NAME?</v>
      </c>
      <c r="G59" s="1059" t="e">
        <f ca="1">BDH("BMBL US Equity","BS_ACCRUED_LIABILITIES","FY 2022","FY 2022","Currency=USD","Period=FY","BEST_FPERIOD_OVERRIDE=FY","FILING_STATUS=MR","SCALING_FORMAT=MLN","Sort=A","Dates=H","DateFormat=P","Fill=—","Direction=H","UseDPDF=Y")</f>
        <v>#NAME?</v>
      </c>
      <c r="H59" s="1059" t="e">
        <f ca="1">BDH("BMBL US Equity","BS_ACCRUED_LIABILITIES","FY 2023","FY 2023","Currency=USD","Period=FY","BEST_FPERIOD_OVERRIDE=FY","FILING_STATUS=MR","SCALING_FORMAT=MLN","Sort=A","Dates=H","DateFormat=P","Fill=—","Direction=H","UseDPDF=Y")</f>
        <v>#NAME?</v>
      </c>
    </row>
    <row r="60" spans="1:8">
      <c r="A60" s="1058" t="s">
        <v>415</v>
      </c>
      <c r="B60" s="1058" t="s">
        <v>416</v>
      </c>
      <c r="C60" s="1059" t="e">
        <f ca="1">BDH("BMBL US Equity","PENSION_LIABILITIES","FY 2018","FY 2018","Currency=USD","Period=FY","BEST_FPERIOD_OVERRIDE=FY","FILING_STATUS=MR","SCALING_FORMAT=MLN","Sort=A","Dates=H","DateFormat=P","Fill=—","Direction=H","UseDPDF=Y")</f>
        <v>#NAME?</v>
      </c>
      <c r="D60" s="1059" t="e">
        <f ca="1">BDH("BMBL US Equity","PENSION_LIABILITIES","FY 2019","FY 2019","Currency=USD","Period=FY","BEST_FPERIOD_OVERRIDE=FY","FILING_STATUS=MR","SCALING_FORMAT=MLN","Sort=A","Dates=H","DateFormat=P","Fill=—","Direction=H","UseDPDF=Y")</f>
        <v>#NAME?</v>
      </c>
      <c r="E60" s="1059" t="e">
        <f ca="1">BDH("BMBL US Equity","PENSION_LIABILITIES","FY 2020","FY 2020","Currency=USD","Period=FY","BEST_FPERIOD_OVERRIDE=FY","FILING_STATUS=MR","SCALING_FORMAT=MLN","Sort=A","Dates=H","DateFormat=P","Fill=—","Direction=H","UseDPDF=Y")</f>
        <v>#NAME?</v>
      </c>
      <c r="F60" s="1059" t="e">
        <f ca="1">BDH("BMBL US Equity","PENSION_LIABILITIES","FY 2021","FY 2021","Currency=USD","Period=FY","BEST_FPERIOD_OVERRIDE=FY","FILING_STATUS=MR","SCALING_FORMAT=MLN","Sort=A","Dates=H","DateFormat=P","Fill=—","Direction=H","UseDPDF=Y")</f>
        <v>#NAME?</v>
      </c>
      <c r="G60" s="1059" t="e">
        <f ca="1">BDH("BMBL US Equity","PENSION_LIABILITIES","FY 2022","FY 2022","Currency=USD","Period=FY","BEST_FPERIOD_OVERRIDE=FY","FILING_STATUS=MR","SCALING_FORMAT=MLN","Sort=A","Dates=H","DateFormat=P","Fill=—","Direction=H","UseDPDF=Y")</f>
        <v>#NAME?</v>
      </c>
      <c r="H60" s="1059" t="e">
        <f ca="1">BDH("BMBL US Equity","PENSION_LIABILITIES","FY 2023","FY 2023","Currency=USD","Period=FY","BEST_FPERIOD_OVERRIDE=FY","FILING_STATUS=MR","SCALING_FORMAT=MLN","Sort=A","Dates=H","DateFormat=P","Fill=—","Direction=H","UseDPDF=Y")</f>
        <v>#NAME?</v>
      </c>
    </row>
    <row r="61" spans="1:8">
      <c r="A61" s="1082" t="s">
        <v>417</v>
      </c>
      <c r="B61" s="1082" t="s">
        <v>418</v>
      </c>
      <c r="C61" s="1081" t="e">
        <f ca="1">BDH("BMBL US Equity","BS_PENSIONS_LT_LIABS","FY 2018","FY 2018","Currency=USD","Period=FY","BEST_FPERIOD_OVERRIDE=FY","FILING_STATUS=MR","SCALING_FORMAT=MLN","Sort=A","Dates=H","DateFormat=P","Fill=—","Direction=H","UseDPDF=Y")</f>
        <v>#NAME?</v>
      </c>
      <c r="D61" s="1081" t="e">
        <f ca="1">BDH("BMBL US Equity","BS_PENSIONS_LT_LIABS","FY 2019","FY 2019","Currency=USD","Period=FY","BEST_FPERIOD_OVERRIDE=FY","FILING_STATUS=MR","SCALING_FORMAT=MLN","Sort=A","Dates=H","DateFormat=P","Fill=—","Direction=H","UseDPDF=Y")</f>
        <v>#NAME?</v>
      </c>
      <c r="E61" s="1081" t="e">
        <f ca="1">BDH("BMBL US Equity","BS_PENSIONS_LT_LIABS","FY 2020","FY 2020","Currency=USD","Period=FY","BEST_FPERIOD_OVERRIDE=FY","FILING_STATUS=MR","SCALING_FORMAT=MLN","Sort=A","Dates=H","DateFormat=P","Fill=—","Direction=H","UseDPDF=Y")</f>
        <v>#NAME?</v>
      </c>
      <c r="F61" s="1081" t="e">
        <f ca="1">BDH("BMBL US Equity","BS_PENSIONS_LT_LIABS","FY 2021","FY 2021","Currency=USD","Period=FY","BEST_FPERIOD_OVERRIDE=FY","FILING_STATUS=MR","SCALING_FORMAT=MLN","Sort=A","Dates=H","DateFormat=P","Fill=—","Direction=H","UseDPDF=Y")</f>
        <v>#NAME?</v>
      </c>
      <c r="G61" s="1081" t="e">
        <f ca="1">BDH("BMBL US Equity","BS_PENSIONS_LT_LIABS","FY 2022","FY 2022","Currency=USD","Period=FY","BEST_FPERIOD_OVERRIDE=FY","FILING_STATUS=MR","SCALING_FORMAT=MLN","Sort=A","Dates=H","DateFormat=P","Fill=—","Direction=H","UseDPDF=Y")</f>
        <v>#NAME?</v>
      </c>
      <c r="H61" s="1081" t="e">
        <f ca="1">BDH("BMBL US Equity","BS_PENSIONS_LT_LIABS","FY 2023","FY 2023","Currency=USD","Period=FY","BEST_FPERIOD_OVERRIDE=FY","FILING_STATUS=MR","SCALING_FORMAT=MLN","Sort=A","Dates=H","DateFormat=P","Fill=—","Direction=H","UseDPDF=Y")</f>
        <v>#NAME?</v>
      </c>
    </row>
    <row r="62" spans="1:8">
      <c r="A62" s="1082" t="s">
        <v>419</v>
      </c>
      <c r="B62" s="1082" t="s">
        <v>420</v>
      </c>
      <c r="C62" s="1081" t="e">
        <f ca="1">BDH("BMBL US Equity","BS_OPRB_LT_LIABS","FY 2018","FY 2018","Currency=USD","Period=FY","BEST_FPERIOD_OVERRIDE=FY","FILING_STATUS=MR","SCALING_FORMAT=MLN","Sort=A","Dates=H","DateFormat=P","Fill=—","Direction=H","UseDPDF=Y")</f>
        <v>#NAME?</v>
      </c>
      <c r="D62" s="1081" t="e">
        <f ca="1">BDH("BMBL US Equity","BS_OPRB_LT_LIABS","FY 2019","FY 2019","Currency=USD","Period=FY","BEST_FPERIOD_OVERRIDE=FY","FILING_STATUS=MR","SCALING_FORMAT=MLN","Sort=A","Dates=H","DateFormat=P","Fill=—","Direction=H","UseDPDF=Y")</f>
        <v>#NAME?</v>
      </c>
      <c r="E62" s="1081" t="e">
        <f ca="1">BDH("BMBL US Equity","BS_OPRB_LT_LIABS","FY 2020","FY 2020","Currency=USD","Period=FY","BEST_FPERIOD_OVERRIDE=FY","FILING_STATUS=MR","SCALING_FORMAT=MLN","Sort=A","Dates=H","DateFormat=P","Fill=—","Direction=H","UseDPDF=Y")</f>
        <v>#NAME?</v>
      </c>
      <c r="F62" s="1081" t="e">
        <f ca="1">BDH("BMBL US Equity","BS_OPRB_LT_LIABS","FY 2021","FY 2021","Currency=USD","Period=FY","BEST_FPERIOD_OVERRIDE=FY","FILING_STATUS=MR","SCALING_FORMAT=MLN","Sort=A","Dates=H","DateFormat=P","Fill=—","Direction=H","UseDPDF=Y")</f>
        <v>#NAME?</v>
      </c>
      <c r="G62" s="1081" t="e">
        <f ca="1">BDH("BMBL US Equity","BS_OPRB_LT_LIABS","FY 2022","FY 2022","Currency=USD","Period=FY","BEST_FPERIOD_OVERRIDE=FY","FILING_STATUS=MR","SCALING_FORMAT=MLN","Sort=A","Dates=H","DateFormat=P","Fill=—","Direction=H","UseDPDF=Y")</f>
        <v>#NAME?</v>
      </c>
      <c r="H62" s="1081" t="e">
        <f ca="1">BDH("BMBL US Equity","BS_OPRB_LT_LIABS","FY 2023","FY 2023","Currency=USD","Period=FY","BEST_FPERIOD_OVERRIDE=FY","FILING_STATUS=MR","SCALING_FORMAT=MLN","Sort=A","Dates=H","DateFormat=P","Fill=—","Direction=H","UseDPDF=Y")</f>
        <v>#NAME?</v>
      </c>
    </row>
    <row r="63" spans="1:8">
      <c r="A63" s="1058" t="s">
        <v>394</v>
      </c>
      <c r="B63" s="1058" t="s">
        <v>421</v>
      </c>
      <c r="C63" s="1059" t="e">
        <f ca="1">BDH("BMBL US Equity","LT_DEFERRED_REVENUE","FY 2018","FY 2018","Currency=USD","Period=FY","BEST_FPERIOD_OVERRIDE=FY","FILING_STATUS=MR","SCALING_FORMAT=MLN","Sort=A","Dates=H","DateFormat=P","Fill=—","Direction=H","UseDPDF=Y")</f>
        <v>#NAME?</v>
      </c>
      <c r="D63" s="1059" t="e">
        <f ca="1">BDH("BMBL US Equity","LT_DEFERRED_REVENUE","FY 2019","FY 2019","Currency=USD","Period=FY","BEST_FPERIOD_OVERRIDE=FY","FILING_STATUS=MR","SCALING_FORMAT=MLN","Sort=A","Dates=H","DateFormat=P","Fill=—","Direction=H","UseDPDF=Y")</f>
        <v>#NAME?</v>
      </c>
      <c r="E63" s="1059" t="e">
        <f ca="1">BDH("BMBL US Equity","LT_DEFERRED_REVENUE","FY 2020","FY 2020","Currency=USD","Period=FY","BEST_FPERIOD_OVERRIDE=FY","FILING_STATUS=MR","SCALING_FORMAT=MLN","Sort=A","Dates=H","DateFormat=P","Fill=—","Direction=H","UseDPDF=Y")</f>
        <v>#NAME?</v>
      </c>
      <c r="F63" s="1059" t="e">
        <f ca="1">BDH("BMBL US Equity","LT_DEFERRED_REVENUE","FY 2021","FY 2021","Currency=USD","Period=FY","BEST_FPERIOD_OVERRIDE=FY","FILING_STATUS=MR","SCALING_FORMAT=MLN","Sort=A","Dates=H","DateFormat=P","Fill=—","Direction=H","UseDPDF=Y")</f>
        <v>#NAME?</v>
      </c>
      <c r="G63" s="1059" t="e">
        <f ca="1">BDH("BMBL US Equity","LT_DEFERRED_REVENUE","FY 2022","FY 2022","Currency=USD","Period=FY","BEST_FPERIOD_OVERRIDE=FY","FILING_STATUS=MR","SCALING_FORMAT=MLN","Sort=A","Dates=H","DateFormat=P","Fill=—","Direction=H","UseDPDF=Y")</f>
        <v>#NAME?</v>
      </c>
      <c r="H63" s="1059" t="e">
        <f ca="1">BDH("BMBL US Equity","LT_DEFERRED_REVENUE","FY 2023","FY 2023","Currency=USD","Period=FY","BEST_FPERIOD_OVERRIDE=FY","FILING_STATUS=MR","SCALING_FORMAT=MLN","Sort=A","Dates=H","DateFormat=P","Fill=—","Direction=H","UseDPDF=Y")</f>
        <v>#NAME?</v>
      </c>
    </row>
    <row r="64" spans="1:8">
      <c r="A64" s="1058" t="s">
        <v>422</v>
      </c>
      <c r="B64" s="1058" t="s">
        <v>423</v>
      </c>
      <c r="C64" s="1059" t="e">
        <f ca="1">BDH("BMBL US Equity","BS_DEFERRED_TAX_LIABILITIES_LT","FY 2018","FY 2018","Currency=USD","Period=FY","BEST_FPERIOD_OVERRIDE=FY","FILING_STATUS=MR","SCALING_FORMAT=MLN","Sort=A","Dates=H","DateFormat=P","Fill=—","Direction=H","UseDPDF=Y")</f>
        <v>#NAME?</v>
      </c>
      <c r="D64" s="1059" t="e">
        <f ca="1">BDH("BMBL US Equity","BS_DEFERRED_TAX_LIABILITIES_LT","FY 2019","FY 2019","Currency=USD","Period=FY","BEST_FPERIOD_OVERRIDE=FY","FILING_STATUS=MR","SCALING_FORMAT=MLN","Sort=A","Dates=H","DateFormat=P","Fill=—","Direction=H","UseDPDF=Y")</f>
        <v>#NAME?</v>
      </c>
      <c r="E64" s="1059" t="e">
        <f ca="1">BDH("BMBL US Equity","BS_DEFERRED_TAX_LIABILITIES_LT","FY 2020","FY 2020","Currency=USD","Period=FY","BEST_FPERIOD_OVERRIDE=FY","FILING_STATUS=MR","SCALING_FORMAT=MLN","Sort=A","Dates=H","DateFormat=P","Fill=—","Direction=H","UseDPDF=Y")</f>
        <v>#NAME?</v>
      </c>
      <c r="F64" s="1059" t="e">
        <f ca="1">BDH("BMBL US Equity","BS_DEFERRED_TAX_LIABILITIES_LT","FY 2021","FY 2021","Currency=USD","Period=FY","BEST_FPERIOD_OVERRIDE=FY","FILING_STATUS=MR","SCALING_FORMAT=MLN","Sort=A","Dates=H","DateFormat=P","Fill=—","Direction=H","UseDPDF=Y")</f>
        <v>#NAME?</v>
      </c>
      <c r="G64" s="1059" t="e">
        <f ca="1">BDH("BMBL US Equity","BS_DEFERRED_TAX_LIABILITIES_LT","FY 2022","FY 2022","Currency=USD","Period=FY","BEST_FPERIOD_OVERRIDE=FY","FILING_STATUS=MR","SCALING_FORMAT=MLN","Sort=A","Dates=H","DateFormat=P","Fill=—","Direction=H","UseDPDF=Y")</f>
        <v>#NAME?</v>
      </c>
      <c r="H64" s="1059" t="e">
        <f ca="1">BDH("BMBL US Equity","BS_DEFERRED_TAX_LIABILITIES_LT","FY 2023","FY 2023","Currency=USD","Period=FY","BEST_FPERIOD_OVERRIDE=FY","FILING_STATUS=MR","SCALING_FORMAT=MLN","Sort=A","Dates=H","DateFormat=P","Fill=—","Direction=H","UseDPDF=Y")</f>
        <v>#NAME?</v>
      </c>
    </row>
    <row r="65" spans="1:8">
      <c r="A65" s="1058" t="s">
        <v>396</v>
      </c>
      <c r="B65" s="1058" t="s">
        <v>424</v>
      </c>
      <c r="C65" s="1059" t="e">
        <f ca="1">BDH("BMBL US Equity","BS_DERIV_HEDGING_LIAB_LT","FY 2018","FY 2018","Currency=USD","Period=FY","BEST_FPERIOD_OVERRIDE=FY","FILING_STATUS=MR","SCALING_FORMAT=MLN","Sort=A","Dates=H","DateFormat=P","Fill=—","Direction=H","UseDPDF=Y")</f>
        <v>#NAME?</v>
      </c>
      <c r="D65" s="1059" t="e">
        <f ca="1">BDH("BMBL US Equity","BS_DERIV_HEDGING_LIAB_LT","FY 2019","FY 2019","Currency=USD","Period=FY","BEST_FPERIOD_OVERRIDE=FY","FILING_STATUS=MR","SCALING_FORMAT=MLN","Sort=A","Dates=H","DateFormat=P","Fill=—","Direction=H","UseDPDF=Y")</f>
        <v>#NAME?</v>
      </c>
      <c r="E65" s="1059" t="e">
        <f ca="1">BDH("BMBL US Equity","BS_DERIV_HEDGING_LIAB_LT","FY 2020","FY 2020","Currency=USD","Period=FY","BEST_FPERIOD_OVERRIDE=FY","FILING_STATUS=MR","SCALING_FORMAT=MLN","Sort=A","Dates=H","DateFormat=P","Fill=—","Direction=H","UseDPDF=Y")</f>
        <v>#NAME?</v>
      </c>
      <c r="F65" s="1059" t="e">
        <f ca="1">BDH("BMBL US Equity","BS_DERIV_HEDGING_LIAB_LT","FY 2021","FY 2021","Currency=USD","Period=FY","BEST_FPERIOD_OVERRIDE=FY","FILING_STATUS=MR","SCALING_FORMAT=MLN","Sort=A","Dates=H","DateFormat=P","Fill=—","Direction=H","UseDPDF=Y")</f>
        <v>#NAME?</v>
      </c>
      <c r="G65" s="1059" t="e">
        <f ca="1">BDH("BMBL US Equity","BS_DERIV_HEDGING_LIAB_LT","FY 2022","FY 2022","Currency=USD","Period=FY","BEST_FPERIOD_OVERRIDE=FY","FILING_STATUS=MR","SCALING_FORMAT=MLN","Sort=A","Dates=H","DateFormat=P","Fill=—","Direction=H","UseDPDF=Y")</f>
        <v>#NAME?</v>
      </c>
      <c r="H65" s="1059" t="e">
        <f ca="1">BDH("BMBL US Equity","BS_DERIV_HEDGING_LIAB_LT","FY 2023","FY 2023","Currency=USD","Period=FY","BEST_FPERIOD_OVERRIDE=FY","FILING_STATUS=MR","SCALING_FORMAT=MLN","Sort=A","Dates=H","DateFormat=P","Fill=—","Direction=H","UseDPDF=Y")</f>
        <v>#NAME?</v>
      </c>
    </row>
    <row r="66" spans="1:8">
      <c r="A66" s="1058" t="s">
        <v>425</v>
      </c>
      <c r="B66" s="1058" t="s">
        <v>426</v>
      </c>
      <c r="C66" s="1059" t="e">
        <f ca="1">BDH("BMBL US Equity","OTHER_NONCURRENT_LIABS_DETAILED","FY 2018","FY 2018","Currency=USD","Period=FY","BEST_FPERIOD_OVERRIDE=FY","FILING_STATUS=MR","SCALING_FORMAT=MLN","Sort=A","Dates=H","DateFormat=P","Fill=—","Direction=H","UseDPDF=Y")</f>
        <v>#NAME?</v>
      </c>
      <c r="D66" s="1059" t="e">
        <f ca="1">BDH("BMBL US Equity","OTHER_NONCURRENT_LIABS_DETAILED","FY 2019","FY 2019","Currency=USD","Period=FY","BEST_FPERIOD_OVERRIDE=FY","FILING_STATUS=MR","SCALING_FORMAT=MLN","Sort=A","Dates=H","DateFormat=P","Fill=—","Direction=H","UseDPDF=Y")</f>
        <v>#NAME?</v>
      </c>
      <c r="E66" s="1059" t="e">
        <f ca="1">BDH("BMBL US Equity","OTHER_NONCURRENT_LIABS_DETAILED","FY 2020","FY 2020","Currency=USD","Period=FY","BEST_FPERIOD_OVERRIDE=FY","FILING_STATUS=MR","SCALING_FORMAT=MLN","Sort=A","Dates=H","DateFormat=P","Fill=—","Direction=H","UseDPDF=Y")</f>
        <v>#NAME?</v>
      </c>
      <c r="F66" s="1059" t="e">
        <f ca="1">BDH("BMBL US Equity","OTHER_NONCURRENT_LIABS_DETAILED","FY 2021","FY 2021","Currency=USD","Period=FY","BEST_FPERIOD_OVERRIDE=FY","FILING_STATUS=MR","SCALING_FORMAT=MLN","Sort=A","Dates=H","DateFormat=P","Fill=—","Direction=H","UseDPDF=Y")</f>
        <v>#NAME?</v>
      </c>
      <c r="G66" s="1059" t="e">
        <f ca="1">BDH("BMBL US Equity","OTHER_NONCURRENT_LIABS_DETAILED","FY 2022","FY 2022","Currency=USD","Period=FY","BEST_FPERIOD_OVERRIDE=FY","FILING_STATUS=MR","SCALING_FORMAT=MLN","Sort=A","Dates=H","DateFormat=P","Fill=—","Direction=H","UseDPDF=Y")</f>
        <v>#NAME?</v>
      </c>
      <c r="H66" s="1059" t="e">
        <f ca="1">BDH("BMBL US Equity","OTHER_NONCURRENT_LIABS_DETAILED","FY 2023","FY 2023","Currency=USD","Period=FY","BEST_FPERIOD_OVERRIDE=FY","FILING_STATUS=MR","SCALING_FORMAT=MLN","Sort=A","Dates=H","DateFormat=P","Fill=—","Direction=H","UseDPDF=Y")</f>
        <v>#NAME?</v>
      </c>
    </row>
    <row r="67" spans="1:8">
      <c r="A67" s="1062" t="s">
        <v>58</v>
      </c>
      <c r="B67" s="1062" t="s">
        <v>427</v>
      </c>
      <c r="C67" s="1061" t="e">
        <f ca="1">BDH("BMBL US Equity","NON_CUR_LIAB","FY 2018","FY 2018","Currency=USD","Period=FY","BEST_FPERIOD_OVERRIDE=FY","FILING_STATUS=MR","SCALING_FORMAT=MLN","Sort=A","Dates=H","DateFormat=P","Fill=—","Direction=H","UseDPDF=Y")</f>
        <v>#NAME?</v>
      </c>
      <c r="D67" s="1061" t="e">
        <f ca="1">BDH("BMBL US Equity","NON_CUR_LIAB","FY 2019","FY 2019","Currency=USD","Period=FY","BEST_FPERIOD_OVERRIDE=FY","FILING_STATUS=MR","SCALING_FORMAT=MLN","Sort=A","Dates=H","DateFormat=P","Fill=—","Direction=H","UseDPDF=Y")</f>
        <v>#NAME?</v>
      </c>
      <c r="E67" s="1061" t="e">
        <f ca="1">BDH("BMBL US Equity","NON_CUR_LIAB","FY 2020","FY 2020","Currency=USD","Period=FY","BEST_FPERIOD_OVERRIDE=FY","FILING_STATUS=MR","SCALING_FORMAT=MLN","Sort=A","Dates=H","DateFormat=P","Fill=—","Direction=H","UseDPDF=Y")</f>
        <v>#NAME?</v>
      </c>
      <c r="F67" s="1061" t="e">
        <f ca="1">BDH("BMBL US Equity","NON_CUR_LIAB","FY 2021","FY 2021","Currency=USD","Period=FY","BEST_FPERIOD_OVERRIDE=FY","FILING_STATUS=MR","SCALING_FORMAT=MLN","Sort=A","Dates=H","DateFormat=P","Fill=—","Direction=H","UseDPDF=Y")</f>
        <v>#NAME?</v>
      </c>
      <c r="G67" s="1061" t="e">
        <f ca="1">BDH("BMBL US Equity","NON_CUR_LIAB","FY 2022","FY 2022","Currency=USD","Period=FY","BEST_FPERIOD_OVERRIDE=FY","FILING_STATUS=MR","SCALING_FORMAT=MLN","Sort=A","Dates=H","DateFormat=P","Fill=—","Direction=H","UseDPDF=Y")</f>
        <v>#NAME?</v>
      </c>
      <c r="H67" s="1061" t="e">
        <f ca="1">BDH("BMBL US Equity","NON_CUR_LIAB","FY 2023","FY 2023","Currency=USD","Period=FY","BEST_FPERIOD_OVERRIDE=FY","FILING_STATUS=MR","SCALING_FORMAT=MLN","Sort=A","Dates=H","DateFormat=P","Fill=—","Direction=H","UseDPDF=Y")</f>
        <v>#NAME?</v>
      </c>
    </row>
    <row r="68" spans="1:8">
      <c r="A68" s="1062" t="s">
        <v>68</v>
      </c>
      <c r="B68" s="1062" t="s">
        <v>428</v>
      </c>
      <c r="C68" s="1061" t="e">
        <f ca="1">BDH("BMBL US Equity","BS_TOT_LIAB2","FY 2018","FY 2018","Currency=USD","Period=FY","BEST_FPERIOD_OVERRIDE=FY","FILING_STATUS=MR","SCALING_FORMAT=MLN","Sort=A","Dates=H","DateFormat=P","Fill=—","Direction=H","UseDPDF=Y")</f>
        <v>#NAME?</v>
      </c>
      <c r="D68" s="1061" t="e">
        <f ca="1">BDH("BMBL US Equity","BS_TOT_LIAB2","FY 2019","FY 2019","Currency=USD","Period=FY","BEST_FPERIOD_OVERRIDE=FY","FILING_STATUS=MR","SCALING_FORMAT=MLN","Sort=A","Dates=H","DateFormat=P","Fill=—","Direction=H","UseDPDF=Y")</f>
        <v>#NAME?</v>
      </c>
      <c r="E68" s="1061" t="e">
        <f ca="1">BDH("BMBL US Equity","BS_TOT_LIAB2","FY 2020","FY 2020","Currency=USD","Period=FY","BEST_FPERIOD_OVERRIDE=FY","FILING_STATUS=MR","SCALING_FORMAT=MLN","Sort=A","Dates=H","DateFormat=P","Fill=—","Direction=H","UseDPDF=Y")</f>
        <v>#NAME?</v>
      </c>
      <c r="F68" s="1061" t="e">
        <f ca="1">BDH("BMBL US Equity","BS_TOT_LIAB2","FY 2021","FY 2021","Currency=USD","Period=FY","BEST_FPERIOD_OVERRIDE=FY","FILING_STATUS=MR","SCALING_FORMAT=MLN","Sort=A","Dates=H","DateFormat=P","Fill=—","Direction=H","UseDPDF=Y")</f>
        <v>#NAME?</v>
      </c>
      <c r="G68" s="1061" t="e">
        <f ca="1">BDH("BMBL US Equity","BS_TOT_LIAB2","FY 2022","FY 2022","Currency=USD","Period=FY","BEST_FPERIOD_OVERRIDE=FY","FILING_STATUS=MR","SCALING_FORMAT=MLN","Sort=A","Dates=H","DateFormat=P","Fill=—","Direction=H","UseDPDF=Y")</f>
        <v>#NAME?</v>
      </c>
      <c r="H68" s="1061" t="e">
        <f ca="1">BDH("BMBL US Equity","BS_TOT_LIAB2","FY 2023","FY 2023","Currency=USD","Period=FY","BEST_FPERIOD_OVERRIDE=FY","FILING_STATUS=MR","SCALING_FORMAT=MLN","Sort=A","Dates=H","DateFormat=P","Fill=—","Direction=H","UseDPDF=Y")</f>
        <v>#NAME?</v>
      </c>
    </row>
    <row r="69" spans="1:8">
      <c r="A69" s="1058" t="s">
        <v>429</v>
      </c>
      <c r="B69" s="1058" t="s">
        <v>430</v>
      </c>
      <c r="C69" s="1059" t="e">
        <f ca="1">BDH("BMBL US Equity","PFD_EQTY_HYBRID_CAPITAL","FY 2018","FY 2018","Currency=USD","Period=FY","BEST_FPERIOD_OVERRIDE=FY","FILING_STATUS=MR","SCALING_FORMAT=MLN","Sort=A","Dates=H","DateFormat=P","Fill=—","Direction=H","UseDPDF=Y")</f>
        <v>#NAME?</v>
      </c>
      <c r="D69" s="1059" t="e">
        <f ca="1">BDH("BMBL US Equity","PFD_EQTY_HYBRID_CAPITAL","FY 2019","FY 2019","Currency=USD","Period=FY","BEST_FPERIOD_OVERRIDE=FY","FILING_STATUS=MR","SCALING_FORMAT=MLN","Sort=A","Dates=H","DateFormat=P","Fill=—","Direction=H","UseDPDF=Y")</f>
        <v>#NAME?</v>
      </c>
      <c r="E69" s="1059" t="e">
        <f ca="1">BDH("BMBL US Equity","PFD_EQTY_HYBRID_CAPITAL","FY 2020","FY 2020","Currency=USD","Period=FY","BEST_FPERIOD_OVERRIDE=FY","FILING_STATUS=MR","SCALING_FORMAT=MLN","Sort=A","Dates=H","DateFormat=P","Fill=—","Direction=H","UseDPDF=Y")</f>
        <v>#NAME?</v>
      </c>
      <c r="F69" s="1059" t="e">
        <f ca="1">BDH("BMBL US Equity","PFD_EQTY_HYBRID_CAPITAL","FY 2021","FY 2021","Currency=USD","Period=FY","BEST_FPERIOD_OVERRIDE=FY","FILING_STATUS=MR","SCALING_FORMAT=MLN","Sort=A","Dates=H","DateFormat=P","Fill=—","Direction=H","UseDPDF=Y")</f>
        <v>#NAME?</v>
      </c>
      <c r="G69" s="1059" t="e">
        <f ca="1">BDH("BMBL US Equity","PFD_EQTY_HYBRID_CAPITAL","FY 2022","FY 2022","Currency=USD","Period=FY","BEST_FPERIOD_OVERRIDE=FY","FILING_STATUS=MR","SCALING_FORMAT=MLN","Sort=A","Dates=H","DateFormat=P","Fill=—","Direction=H","UseDPDF=Y")</f>
        <v>#NAME?</v>
      </c>
      <c r="H69" s="1059" t="e">
        <f ca="1">BDH("BMBL US Equity","PFD_EQTY_HYBRID_CAPITAL","FY 2023","FY 2023","Currency=USD","Period=FY","BEST_FPERIOD_OVERRIDE=FY","FILING_STATUS=MR","SCALING_FORMAT=MLN","Sort=A","Dates=H","DateFormat=P","Fill=—","Direction=H","UseDPDF=Y")</f>
        <v>#NAME?</v>
      </c>
    </row>
    <row r="70" spans="1:8">
      <c r="A70" s="1058" t="s">
        <v>431</v>
      </c>
      <c r="B70" s="1058" t="s">
        <v>432</v>
      </c>
      <c r="C70" s="1059" t="e">
        <f ca="1">BDH("BMBL US Equity","BS_SH_CAP_AND_APIC","FY 2018","FY 2018","Currency=USD","Period=FY","BEST_FPERIOD_OVERRIDE=FY","FILING_STATUS=MR","SCALING_FORMAT=MLN","Sort=A","Dates=H","DateFormat=P","Fill=—","Direction=H","UseDPDF=Y")</f>
        <v>#NAME?</v>
      </c>
      <c r="D70" s="1059" t="e">
        <f ca="1">BDH("BMBL US Equity","BS_SH_CAP_AND_APIC","FY 2019","FY 2019","Currency=USD","Period=FY","BEST_FPERIOD_OVERRIDE=FY","FILING_STATUS=MR","SCALING_FORMAT=MLN","Sort=A","Dates=H","DateFormat=P","Fill=—","Direction=H","UseDPDF=Y")</f>
        <v>#NAME?</v>
      </c>
      <c r="E70" s="1059" t="e">
        <f ca="1">BDH("BMBL US Equity","BS_SH_CAP_AND_APIC","FY 2020","FY 2020","Currency=USD","Period=FY","BEST_FPERIOD_OVERRIDE=FY","FILING_STATUS=MR","SCALING_FORMAT=MLN","Sort=A","Dates=H","DateFormat=P","Fill=—","Direction=H","UseDPDF=Y")</f>
        <v>#NAME?</v>
      </c>
      <c r="F70" s="1059" t="e">
        <f ca="1">BDH("BMBL US Equity","BS_SH_CAP_AND_APIC","FY 2021","FY 2021","Currency=USD","Period=FY","BEST_FPERIOD_OVERRIDE=FY","FILING_STATUS=MR","SCALING_FORMAT=MLN","Sort=A","Dates=H","DateFormat=P","Fill=—","Direction=H","UseDPDF=Y")</f>
        <v>#NAME?</v>
      </c>
      <c r="G70" s="1059" t="e">
        <f ca="1">BDH("BMBL US Equity","BS_SH_CAP_AND_APIC","FY 2022","FY 2022","Currency=USD","Period=FY","BEST_FPERIOD_OVERRIDE=FY","FILING_STATUS=MR","SCALING_FORMAT=MLN","Sort=A","Dates=H","DateFormat=P","Fill=—","Direction=H","UseDPDF=Y")</f>
        <v>#NAME?</v>
      </c>
      <c r="H70" s="1059" t="e">
        <f ca="1">BDH("BMBL US Equity","BS_SH_CAP_AND_APIC","FY 2023","FY 2023","Currency=USD","Period=FY","BEST_FPERIOD_OVERRIDE=FY","FILING_STATUS=MR","SCALING_FORMAT=MLN","Sort=A","Dates=H","DateFormat=P","Fill=—","Direction=H","UseDPDF=Y")</f>
        <v>#NAME?</v>
      </c>
    </row>
    <row r="71" spans="1:8">
      <c r="A71" s="1058" t="s">
        <v>433</v>
      </c>
      <c r="B71" s="1058" t="s">
        <v>434</v>
      </c>
      <c r="C71" s="1059" t="e">
        <f ca="1">BDH("BMBL US Equity","BS_COMMON_STOCK","FY 2018","FY 2018","Currency=USD","Period=FY","BEST_FPERIOD_OVERRIDE=FY","FILING_STATUS=MR","SCALING_FORMAT=MLN","Sort=A","Dates=H","DateFormat=P","Fill=—","Direction=H","UseDPDF=Y")</f>
        <v>#NAME?</v>
      </c>
      <c r="D71" s="1059" t="e">
        <f ca="1">BDH("BMBL US Equity","BS_COMMON_STOCK","FY 2019","FY 2019","Currency=USD","Period=FY","BEST_FPERIOD_OVERRIDE=FY","FILING_STATUS=MR","SCALING_FORMAT=MLN","Sort=A","Dates=H","DateFormat=P","Fill=—","Direction=H","UseDPDF=Y")</f>
        <v>#NAME?</v>
      </c>
      <c r="E71" s="1059" t="e">
        <f ca="1">BDH("BMBL US Equity","BS_COMMON_STOCK","FY 2020","FY 2020","Currency=USD","Period=FY","BEST_FPERIOD_OVERRIDE=FY","FILING_STATUS=MR","SCALING_FORMAT=MLN","Sort=A","Dates=H","DateFormat=P","Fill=—","Direction=H","UseDPDF=Y")</f>
        <v>#NAME?</v>
      </c>
      <c r="F71" s="1059" t="e">
        <f ca="1">BDH("BMBL US Equity","BS_COMMON_STOCK","FY 2021","FY 2021","Currency=USD","Period=FY","BEST_FPERIOD_OVERRIDE=FY","FILING_STATUS=MR","SCALING_FORMAT=MLN","Sort=A","Dates=H","DateFormat=P","Fill=—","Direction=H","UseDPDF=Y")</f>
        <v>#NAME?</v>
      </c>
      <c r="G71" s="1059" t="e">
        <f ca="1">BDH("BMBL US Equity","BS_COMMON_STOCK","FY 2022","FY 2022","Currency=USD","Period=FY","BEST_FPERIOD_OVERRIDE=FY","FILING_STATUS=MR","SCALING_FORMAT=MLN","Sort=A","Dates=H","DateFormat=P","Fill=—","Direction=H","UseDPDF=Y")</f>
        <v>#NAME?</v>
      </c>
      <c r="H71" s="1059" t="e">
        <f ca="1">BDH("BMBL US Equity","BS_COMMON_STOCK","FY 2023","FY 2023","Currency=USD","Period=FY","BEST_FPERIOD_OVERRIDE=FY","FILING_STATUS=MR","SCALING_FORMAT=MLN","Sort=A","Dates=H","DateFormat=P","Fill=—","Direction=H","UseDPDF=Y")</f>
        <v>#NAME?</v>
      </c>
    </row>
    <row r="72" spans="1:8">
      <c r="A72" s="1058" t="s">
        <v>435</v>
      </c>
      <c r="B72" s="1058" t="s">
        <v>436</v>
      </c>
      <c r="C72" s="1059" t="e">
        <f ca="1">BDH("BMBL US Equity","BS_ADD_PAID_IN_CAP","FY 2018","FY 2018","Currency=USD","Period=FY","BEST_FPERIOD_OVERRIDE=FY","FILING_STATUS=MR","SCALING_FORMAT=MLN","Sort=A","Dates=H","DateFormat=P","Fill=—","Direction=H","UseDPDF=Y")</f>
        <v>#NAME?</v>
      </c>
      <c r="D72" s="1059" t="e">
        <f ca="1">BDH("BMBL US Equity","BS_ADD_PAID_IN_CAP","FY 2019","FY 2019","Currency=USD","Period=FY","BEST_FPERIOD_OVERRIDE=FY","FILING_STATUS=MR","SCALING_FORMAT=MLN","Sort=A","Dates=H","DateFormat=P","Fill=—","Direction=H","UseDPDF=Y")</f>
        <v>#NAME?</v>
      </c>
      <c r="E72" s="1059" t="e">
        <f ca="1">BDH("BMBL US Equity","BS_ADD_PAID_IN_CAP","FY 2020","FY 2020","Currency=USD","Period=FY","BEST_FPERIOD_OVERRIDE=FY","FILING_STATUS=MR","SCALING_FORMAT=MLN","Sort=A","Dates=H","DateFormat=P","Fill=—","Direction=H","UseDPDF=Y")</f>
        <v>#NAME?</v>
      </c>
      <c r="F72" s="1059" t="e">
        <f ca="1">BDH("BMBL US Equity","BS_ADD_PAID_IN_CAP","FY 2021","FY 2021","Currency=USD","Period=FY","BEST_FPERIOD_OVERRIDE=FY","FILING_STATUS=MR","SCALING_FORMAT=MLN","Sort=A","Dates=H","DateFormat=P","Fill=—","Direction=H","UseDPDF=Y")</f>
        <v>#NAME?</v>
      </c>
      <c r="G72" s="1059" t="e">
        <f ca="1">BDH("BMBL US Equity","BS_ADD_PAID_IN_CAP","FY 2022","FY 2022","Currency=USD","Period=FY","BEST_FPERIOD_OVERRIDE=FY","FILING_STATUS=MR","SCALING_FORMAT=MLN","Sort=A","Dates=H","DateFormat=P","Fill=—","Direction=H","UseDPDF=Y")</f>
        <v>#NAME?</v>
      </c>
      <c r="H72" s="1059" t="e">
        <f ca="1">BDH("BMBL US Equity","BS_ADD_PAID_IN_CAP","FY 2023","FY 2023","Currency=USD","Period=FY","BEST_FPERIOD_OVERRIDE=FY","FILING_STATUS=MR","SCALING_FORMAT=MLN","Sort=A","Dates=H","DateFormat=P","Fill=—","Direction=H","UseDPDF=Y")</f>
        <v>#NAME?</v>
      </c>
    </row>
    <row r="73" spans="1:8">
      <c r="A73" s="1058" t="s">
        <v>437</v>
      </c>
      <c r="B73" s="1058" t="s">
        <v>438</v>
      </c>
      <c r="C73" s="1059" t="e">
        <f ca="1">BDH("BMBL US Equity","BS_AMT_OF_TSY_STOCK","FY 2018","FY 2018","Currency=USD","Period=FY","BEST_FPERIOD_OVERRIDE=FY","FILING_STATUS=MR","SCALING_FORMAT=MLN","Sort=A","Dates=H","DateFormat=P","Fill=—","Direction=H","UseDPDF=Y")</f>
        <v>#NAME?</v>
      </c>
      <c r="D73" s="1059" t="e">
        <f ca="1">BDH("BMBL US Equity","BS_AMT_OF_TSY_STOCK","FY 2019","FY 2019","Currency=USD","Period=FY","BEST_FPERIOD_OVERRIDE=FY","FILING_STATUS=MR","SCALING_FORMAT=MLN","Sort=A","Dates=H","DateFormat=P","Fill=—","Direction=H","UseDPDF=Y")</f>
        <v>#NAME?</v>
      </c>
      <c r="E73" s="1059" t="e">
        <f ca="1">BDH("BMBL US Equity","BS_AMT_OF_TSY_STOCK","FY 2020","FY 2020","Currency=USD","Period=FY","BEST_FPERIOD_OVERRIDE=FY","FILING_STATUS=MR","SCALING_FORMAT=MLN","Sort=A","Dates=H","DateFormat=P","Fill=—","Direction=H","UseDPDF=Y")</f>
        <v>#NAME?</v>
      </c>
      <c r="F73" s="1059" t="e">
        <f ca="1">BDH("BMBL US Equity","BS_AMT_OF_TSY_STOCK","FY 2021","FY 2021","Currency=USD","Period=FY","BEST_FPERIOD_OVERRIDE=FY","FILING_STATUS=MR","SCALING_FORMAT=MLN","Sort=A","Dates=H","DateFormat=P","Fill=—","Direction=H","UseDPDF=Y")</f>
        <v>#NAME?</v>
      </c>
      <c r="G73" s="1059" t="e">
        <f ca="1">BDH("BMBL US Equity","BS_AMT_OF_TSY_STOCK","FY 2022","FY 2022","Currency=USD","Period=FY","BEST_FPERIOD_OVERRIDE=FY","FILING_STATUS=MR","SCALING_FORMAT=MLN","Sort=A","Dates=H","DateFormat=P","Fill=—","Direction=H","UseDPDF=Y")</f>
        <v>#NAME?</v>
      </c>
      <c r="H73" s="1059" t="e">
        <f ca="1">BDH("BMBL US Equity","BS_AMT_OF_TSY_STOCK","FY 2023","FY 2023","Currency=USD","Period=FY","BEST_FPERIOD_OVERRIDE=FY","FILING_STATUS=MR","SCALING_FORMAT=MLN","Sort=A","Dates=H","DateFormat=P","Fill=—","Direction=H","UseDPDF=Y")</f>
        <v>#NAME?</v>
      </c>
    </row>
    <row r="74" spans="1:8">
      <c r="A74" s="1058" t="s">
        <v>439</v>
      </c>
      <c r="B74" s="1058" t="s">
        <v>440</v>
      </c>
      <c r="C74" s="1059" t="e">
        <f ca="1">BDH("BMBL US Equity","BS_PURE_RETAINED_EARNINGS","FY 2018","FY 2018","Currency=USD","Period=FY","BEST_FPERIOD_OVERRIDE=FY","FILING_STATUS=MR","SCALING_FORMAT=MLN","Sort=A","Dates=H","DateFormat=P","Fill=—","Direction=H","UseDPDF=Y")</f>
        <v>#NAME?</v>
      </c>
      <c r="D74" s="1059" t="e">
        <f ca="1">BDH("BMBL US Equity","BS_PURE_RETAINED_EARNINGS","FY 2019","FY 2019","Currency=USD","Period=FY","BEST_FPERIOD_OVERRIDE=FY","FILING_STATUS=MR","SCALING_FORMAT=MLN","Sort=A","Dates=H","DateFormat=P","Fill=—","Direction=H","UseDPDF=Y")</f>
        <v>#NAME?</v>
      </c>
      <c r="E74" s="1059" t="e">
        <f ca="1">BDH("BMBL US Equity","BS_PURE_RETAINED_EARNINGS","FY 2020","FY 2020","Currency=USD","Period=FY","BEST_FPERIOD_OVERRIDE=FY","FILING_STATUS=MR","SCALING_FORMAT=MLN","Sort=A","Dates=H","DateFormat=P","Fill=—","Direction=H","UseDPDF=Y")</f>
        <v>#NAME?</v>
      </c>
      <c r="F74" s="1059" t="e">
        <f ca="1">BDH("BMBL US Equity","BS_PURE_RETAINED_EARNINGS","FY 2021","FY 2021","Currency=USD","Period=FY","BEST_FPERIOD_OVERRIDE=FY","FILING_STATUS=MR","SCALING_FORMAT=MLN","Sort=A","Dates=H","DateFormat=P","Fill=—","Direction=H","UseDPDF=Y")</f>
        <v>#NAME?</v>
      </c>
      <c r="G74" s="1059" t="e">
        <f ca="1">BDH("BMBL US Equity","BS_PURE_RETAINED_EARNINGS","FY 2022","FY 2022","Currency=USD","Period=FY","BEST_FPERIOD_OVERRIDE=FY","FILING_STATUS=MR","SCALING_FORMAT=MLN","Sort=A","Dates=H","DateFormat=P","Fill=—","Direction=H","UseDPDF=Y")</f>
        <v>#NAME?</v>
      </c>
      <c r="H74" s="1059" t="e">
        <f ca="1">BDH("BMBL US Equity","BS_PURE_RETAINED_EARNINGS","FY 2023","FY 2023","Currency=USD","Period=FY","BEST_FPERIOD_OVERRIDE=FY","FILING_STATUS=MR","SCALING_FORMAT=MLN","Sort=A","Dates=H","DateFormat=P","Fill=—","Direction=H","UseDPDF=Y")</f>
        <v>#NAME?</v>
      </c>
    </row>
    <row r="75" spans="1:8">
      <c r="A75" s="1058" t="s">
        <v>441</v>
      </c>
      <c r="B75" s="1058" t="s">
        <v>442</v>
      </c>
      <c r="C75" s="1059" t="e">
        <f ca="1">BDH("BMBL US Equity","OTHER_EQUITY_RATIO","FY 2018","FY 2018","Currency=USD","Period=FY","BEST_FPERIOD_OVERRIDE=FY","FILING_STATUS=MR","SCALING_FORMAT=MLN","Sort=A","Dates=H","DateFormat=P","Fill=—","Direction=H","UseDPDF=Y")</f>
        <v>#NAME?</v>
      </c>
      <c r="D75" s="1059" t="e">
        <f ca="1">BDH("BMBL US Equity","OTHER_EQUITY_RATIO","FY 2019","FY 2019","Currency=USD","Period=FY","BEST_FPERIOD_OVERRIDE=FY","FILING_STATUS=MR","SCALING_FORMAT=MLN","Sort=A","Dates=H","DateFormat=P","Fill=—","Direction=H","UseDPDF=Y")</f>
        <v>#NAME?</v>
      </c>
      <c r="E75" s="1059" t="e">
        <f ca="1">BDH("BMBL US Equity","OTHER_EQUITY_RATIO","FY 2020","FY 2020","Currency=USD","Period=FY","BEST_FPERIOD_OVERRIDE=FY","FILING_STATUS=MR","SCALING_FORMAT=MLN","Sort=A","Dates=H","DateFormat=P","Fill=—","Direction=H","UseDPDF=Y")</f>
        <v>#NAME?</v>
      </c>
      <c r="F75" s="1059" t="e">
        <f ca="1">BDH("BMBL US Equity","OTHER_EQUITY_RATIO","FY 2021","FY 2021","Currency=USD","Period=FY","BEST_FPERIOD_OVERRIDE=FY","FILING_STATUS=MR","SCALING_FORMAT=MLN","Sort=A","Dates=H","DateFormat=P","Fill=—","Direction=H","UseDPDF=Y")</f>
        <v>#NAME?</v>
      </c>
      <c r="G75" s="1059" t="e">
        <f ca="1">BDH("BMBL US Equity","OTHER_EQUITY_RATIO","FY 2022","FY 2022","Currency=USD","Period=FY","BEST_FPERIOD_OVERRIDE=FY","FILING_STATUS=MR","SCALING_FORMAT=MLN","Sort=A","Dates=H","DateFormat=P","Fill=—","Direction=H","UseDPDF=Y")</f>
        <v>#NAME?</v>
      </c>
      <c r="H75" s="1059" t="e">
        <f ca="1">BDH("BMBL US Equity","OTHER_EQUITY_RATIO","FY 2023","FY 2023","Currency=USD","Period=FY","BEST_FPERIOD_OVERRIDE=FY","FILING_STATUS=MR","SCALING_FORMAT=MLN","Sort=A","Dates=H","DateFormat=P","Fill=—","Direction=H","UseDPDF=Y")</f>
        <v>#NAME?</v>
      </c>
    </row>
    <row r="76" spans="1:8">
      <c r="A76" s="1062" t="s">
        <v>443</v>
      </c>
      <c r="B76" s="1062" t="s">
        <v>444</v>
      </c>
      <c r="C76" s="1061" t="e">
        <f ca="1">BDH("BMBL US Equity","EQTY_BEF_MINORITY_INT_DETAILED","FY 2018","FY 2018","Currency=USD","Period=FY","BEST_FPERIOD_OVERRIDE=FY","FILING_STATUS=MR","SCALING_FORMAT=MLN","Sort=A","Dates=H","DateFormat=P","Fill=—","Direction=H","UseDPDF=Y")</f>
        <v>#NAME?</v>
      </c>
      <c r="D76" s="1061" t="e">
        <f ca="1">BDH("BMBL US Equity","EQTY_BEF_MINORITY_INT_DETAILED","FY 2019","FY 2019","Currency=USD","Period=FY","BEST_FPERIOD_OVERRIDE=FY","FILING_STATUS=MR","SCALING_FORMAT=MLN","Sort=A","Dates=H","DateFormat=P","Fill=—","Direction=H","UseDPDF=Y")</f>
        <v>#NAME?</v>
      </c>
      <c r="E76" s="1061" t="e">
        <f ca="1">BDH("BMBL US Equity","EQTY_BEF_MINORITY_INT_DETAILED","FY 2020","FY 2020","Currency=USD","Period=FY","BEST_FPERIOD_OVERRIDE=FY","FILING_STATUS=MR","SCALING_FORMAT=MLN","Sort=A","Dates=H","DateFormat=P","Fill=—","Direction=H","UseDPDF=Y")</f>
        <v>#NAME?</v>
      </c>
      <c r="F76" s="1061" t="e">
        <f ca="1">BDH("BMBL US Equity","EQTY_BEF_MINORITY_INT_DETAILED","FY 2021","FY 2021","Currency=USD","Period=FY","BEST_FPERIOD_OVERRIDE=FY","FILING_STATUS=MR","SCALING_FORMAT=MLN","Sort=A","Dates=H","DateFormat=P","Fill=—","Direction=H","UseDPDF=Y")</f>
        <v>#NAME?</v>
      </c>
      <c r="G76" s="1061" t="e">
        <f ca="1">BDH("BMBL US Equity","EQTY_BEF_MINORITY_INT_DETAILED","FY 2022","FY 2022","Currency=USD","Period=FY","BEST_FPERIOD_OVERRIDE=FY","FILING_STATUS=MR","SCALING_FORMAT=MLN","Sort=A","Dates=H","DateFormat=P","Fill=—","Direction=H","UseDPDF=Y")</f>
        <v>#NAME?</v>
      </c>
      <c r="H76" s="1061" t="e">
        <f ca="1">BDH("BMBL US Equity","EQTY_BEF_MINORITY_INT_DETAILED","FY 2023","FY 2023","Currency=USD","Period=FY","BEST_FPERIOD_OVERRIDE=FY","FILING_STATUS=MR","SCALING_FORMAT=MLN","Sort=A","Dates=H","DateFormat=P","Fill=—","Direction=H","UseDPDF=Y")</f>
        <v>#NAME?</v>
      </c>
    </row>
    <row r="77" spans="1:8">
      <c r="A77" s="1058" t="s">
        <v>445</v>
      </c>
      <c r="B77" s="1058" t="s">
        <v>446</v>
      </c>
      <c r="C77" s="1059" t="e">
        <f ca="1">BDH("BMBL US Equity","MINORITY_NONCONTROLLING_INTEREST","FY 2018","FY 2018","Currency=USD","Period=FY","BEST_FPERIOD_OVERRIDE=FY","FILING_STATUS=MR","SCALING_FORMAT=MLN","Sort=A","Dates=H","DateFormat=P","Fill=—","Direction=H","UseDPDF=Y")</f>
        <v>#NAME?</v>
      </c>
      <c r="D77" s="1059" t="e">
        <f ca="1">BDH("BMBL US Equity","MINORITY_NONCONTROLLING_INTEREST","FY 2019","FY 2019","Currency=USD","Period=FY","BEST_FPERIOD_OVERRIDE=FY","FILING_STATUS=MR","SCALING_FORMAT=MLN","Sort=A","Dates=H","DateFormat=P","Fill=—","Direction=H","UseDPDF=Y")</f>
        <v>#NAME?</v>
      </c>
      <c r="E77" s="1059" t="e">
        <f ca="1">BDH("BMBL US Equity","MINORITY_NONCONTROLLING_INTEREST","FY 2020","FY 2020","Currency=USD","Period=FY","BEST_FPERIOD_OVERRIDE=FY","FILING_STATUS=MR","SCALING_FORMAT=MLN","Sort=A","Dates=H","DateFormat=P","Fill=—","Direction=H","UseDPDF=Y")</f>
        <v>#NAME?</v>
      </c>
      <c r="F77" s="1059" t="e">
        <f ca="1">BDH("BMBL US Equity","MINORITY_NONCONTROLLING_INTEREST","FY 2021","FY 2021","Currency=USD","Period=FY","BEST_FPERIOD_OVERRIDE=FY","FILING_STATUS=MR","SCALING_FORMAT=MLN","Sort=A","Dates=H","DateFormat=P","Fill=—","Direction=H","UseDPDF=Y")</f>
        <v>#NAME?</v>
      </c>
      <c r="G77" s="1059" t="e">
        <f ca="1">BDH("BMBL US Equity","MINORITY_NONCONTROLLING_INTEREST","FY 2022","FY 2022","Currency=USD","Period=FY","BEST_FPERIOD_OVERRIDE=FY","FILING_STATUS=MR","SCALING_FORMAT=MLN","Sort=A","Dates=H","DateFormat=P","Fill=—","Direction=H","UseDPDF=Y")</f>
        <v>#NAME?</v>
      </c>
      <c r="H77" s="1059" t="e">
        <f ca="1">BDH("BMBL US Equity","MINORITY_NONCONTROLLING_INTEREST","FY 2023","FY 2023","Currency=USD","Period=FY","BEST_FPERIOD_OVERRIDE=FY","FILING_STATUS=MR","SCALING_FORMAT=MLN","Sort=A","Dates=H","DateFormat=P","Fill=—","Direction=H","UseDPDF=Y")</f>
        <v>#NAME?</v>
      </c>
    </row>
    <row r="78" spans="1:8">
      <c r="A78" s="1062" t="s">
        <v>447</v>
      </c>
      <c r="B78" s="1062" t="s">
        <v>448</v>
      </c>
      <c r="C78" s="1061" t="e">
        <f ca="1">BDH("BMBL US Equity","TOTAL_EQUITY","FY 2018","FY 2018","Currency=USD","Period=FY","BEST_FPERIOD_OVERRIDE=FY","FILING_STATUS=MR","SCALING_FORMAT=MLN","Sort=A","Dates=H","DateFormat=P","Fill=—","Direction=H","UseDPDF=Y")</f>
        <v>#NAME?</v>
      </c>
      <c r="D78" s="1061" t="e">
        <f ca="1">BDH("BMBL US Equity","TOTAL_EQUITY","FY 2019","FY 2019","Currency=USD","Period=FY","BEST_FPERIOD_OVERRIDE=FY","FILING_STATUS=MR","SCALING_FORMAT=MLN","Sort=A","Dates=H","DateFormat=P","Fill=—","Direction=H","UseDPDF=Y")</f>
        <v>#NAME?</v>
      </c>
      <c r="E78" s="1061" t="e">
        <f ca="1">BDH("BMBL US Equity","TOTAL_EQUITY","FY 2020","FY 2020","Currency=USD","Period=FY","BEST_FPERIOD_OVERRIDE=FY","FILING_STATUS=MR","SCALING_FORMAT=MLN","Sort=A","Dates=H","DateFormat=P","Fill=—","Direction=H","UseDPDF=Y")</f>
        <v>#NAME?</v>
      </c>
      <c r="F78" s="1061" t="e">
        <f ca="1">BDH("BMBL US Equity","TOTAL_EQUITY","FY 2021","FY 2021","Currency=USD","Period=FY","BEST_FPERIOD_OVERRIDE=FY","FILING_STATUS=MR","SCALING_FORMAT=MLN","Sort=A","Dates=H","DateFormat=P","Fill=—","Direction=H","UseDPDF=Y")</f>
        <v>#NAME?</v>
      </c>
      <c r="G78" s="1061" t="e">
        <f ca="1">BDH("BMBL US Equity","TOTAL_EQUITY","FY 2022","FY 2022","Currency=USD","Period=FY","BEST_FPERIOD_OVERRIDE=FY","FILING_STATUS=MR","SCALING_FORMAT=MLN","Sort=A","Dates=H","DateFormat=P","Fill=—","Direction=H","UseDPDF=Y")</f>
        <v>#NAME?</v>
      </c>
      <c r="H78" s="1061" t="e">
        <f ca="1">BDH("BMBL US Equity","TOTAL_EQUITY","FY 2023","FY 2023","Currency=USD","Period=FY","BEST_FPERIOD_OVERRIDE=FY","FILING_STATUS=MR","SCALING_FORMAT=MLN","Sort=A","Dates=H","DateFormat=P","Fill=—","Direction=H","UseDPDF=Y")</f>
        <v>#NAME?</v>
      </c>
    </row>
    <row r="79" spans="1:8">
      <c r="A79" s="1062" t="s">
        <v>449</v>
      </c>
      <c r="B79" s="1062" t="s">
        <v>450</v>
      </c>
      <c r="C79" s="1061" t="e">
        <f ca="1">BDH("BMBL US Equity","TOT_LIAB_AND_EQY","FY 2018","FY 2018","Currency=USD","Period=FY","BEST_FPERIOD_OVERRIDE=FY","FILING_STATUS=MR","SCALING_FORMAT=MLN","Sort=A","Dates=H","DateFormat=P","Fill=—","Direction=H","UseDPDF=Y")</f>
        <v>#NAME?</v>
      </c>
      <c r="D79" s="1061" t="e">
        <f ca="1">BDH("BMBL US Equity","TOT_LIAB_AND_EQY","FY 2019","FY 2019","Currency=USD","Period=FY","BEST_FPERIOD_OVERRIDE=FY","FILING_STATUS=MR","SCALING_FORMAT=MLN","Sort=A","Dates=H","DateFormat=P","Fill=—","Direction=H","UseDPDF=Y")</f>
        <v>#NAME?</v>
      </c>
      <c r="E79" s="1061" t="e">
        <f ca="1">BDH("BMBL US Equity","TOT_LIAB_AND_EQY","FY 2020","FY 2020","Currency=USD","Period=FY","BEST_FPERIOD_OVERRIDE=FY","FILING_STATUS=MR","SCALING_FORMAT=MLN","Sort=A","Dates=H","DateFormat=P","Fill=—","Direction=H","UseDPDF=Y")</f>
        <v>#NAME?</v>
      </c>
      <c r="F79" s="1061" t="e">
        <f ca="1">BDH("BMBL US Equity","TOT_LIAB_AND_EQY","FY 2021","FY 2021","Currency=USD","Period=FY","BEST_FPERIOD_OVERRIDE=FY","FILING_STATUS=MR","SCALING_FORMAT=MLN","Sort=A","Dates=H","DateFormat=P","Fill=—","Direction=H","UseDPDF=Y")</f>
        <v>#NAME?</v>
      </c>
      <c r="G79" s="1061" t="e">
        <f ca="1">BDH("BMBL US Equity","TOT_LIAB_AND_EQY","FY 2022","FY 2022","Currency=USD","Period=FY","BEST_FPERIOD_OVERRIDE=FY","FILING_STATUS=MR","SCALING_FORMAT=MLN","Sort=A","Dates=H","DateFormat=P","Fill=—","Direction=H","UseDPDF=Y")</f>
        <v>#NAME?</v>
      </c>
      <c r="H79" s="1061" t="e">
        <f ca="1">BDH("BMBL US Equity","TOT_LIAB_AND_EQY","FY 2023","FY 2023","Currency=USD","Period=FY","BEST_FPERIOD_OVERRIDE=FY","FILING_STATUS=MR","SCALING_FORMAT=MLN","Sort=A","Dates=H","DateFormat=P","Fill=—","Direction=H","UseDPDF=Y")</f>
        <v>#NAME?</v>
      </c>
    </row>
    <row r="80" spans="1:8">
      <c r="A80" s="1062"/>
      <c r="B80" s="1063"/>
      <c r="C80" s="1063"/>
      <c r="D80" s="1063"/>
      <c r="E80" s="1063"/>
      <c r="F80" s="1063"/>
      <c r="G80" s="1063"/>
      <c r="H80" s="1063"/>
    </row>
    <row r="81" spans="1:8">
      <c r="A81" s="1062" t="s">
        <v>451</v>
      </c>
      <c r="B81" s="1063"/>
      <c r="C81" s="1063"/>
      <c r="D81" s="1063"/>
      <c r="E81" s="1063"/>
      <c r="F81" s="1063"/>
      <c r="G81" s="1063"/>
      <c r="H81" s="1063"/>
    </row>
    <row r="82" spans="1:8">
      <c r="A82" s="1058" t="s">
        <v>452</v>
      </c>
      <c r="B82" s="1058" t="s">
        <v>453</v>
      </c>
      <c r="C82" s="1060" t="s">
        <v>454</v>
      </c>
      <c r="D82" s="1060" t="s">
        <v>454</v>
      </c>
      <c r="E82" s="1060" t="s">
        <v>454</v>
      </c>
      <c r="F82" s="1060" t="s">
        <v>454</v>
      </c>
      <c r="G82" s="1060" t="s">
        <v>454</v>
      </c>
      <c r="H82" s="1060" t="s">
        <v>454</v>
      </c>
    </row>
    <row r="83" spans="1:8">
      <c r="A83" s="1058" t="s">
        <v>85</v>
      </c>
      <c r="B83" s="1058" t="s">
        <v>455</v>
      </c>
      <c r="C83" s="1059" t="e">
        <f ca="1">BDH("BMBL US Equity","BS_SH_OUT","FY 2018","FY 2018","Currency=USD","Period=FY","BEST_FPERIOD_OVERRIDE=FY","FILING_STATUS=MR","Sort=A","Dates=H","DateFormat=P","Fill=—","Direction=H","UseDPDF=Y")</f>
        <v>#NAME?</v>
      </c>
      <c r="D83" s="1059" t="e">
        <f ca="1">BDH("BMBL US Equity","BS_SH_OUT","FY 2019","FY 2019","Currency=USD","Period=FY","BEST_FPERIOD_OVERRIDE=FY","FILING_STATUS=MR","Sort=A","Dates=H","DateFormat=P","Fill=—","Direction=H","UseDPDF=Y")</f>
        <v>#NAME?</v>
      </c>
      <c r="E83" s="1059" t="e">
        <f ca="1">BDH("BMBL US Equity","BS_SH_OUT","FY 2020","FY 2020","Currency=USD","Period=FY","BEST_FPERIOD_OVERRIDE=FY","FILING_STATUS=MR","Sort=A","Dates=H","DateFormat=P","Fill=—","Direction=H","UseDPDF=Y")</f>
        <v>#NAME?</v>
      </c>
      <c r="F83" s="1059" t="e">
        <f ca="1">BDH("BMBL US Equity","BS_SH_OUT","FY 2021","FY 2021","Currency=USD","Period=FY","BEST_FPERIOD_OVERRIDE=FY","FILING_STATUS=MR","Sort=A","Dates=H","DateFormat=P","Fill=—","Direction=H","UseDPDF=Y")</f>
        <v>#NAME?</v>
      </c>
      <c r="G83" s="1059" t="e">
        <f ca="1">BDH("BMBL US Equity","BS_SH_OUT","FY 2022","FY 2022","Currency=USD","Period=FY","BEST_FPERIOD_OVERRIDE=FY","FILING_STATUS=MR","Sort=A","Dates=H","DateFormat=P","Fill=—","Direction=H","UseDPDF=Y")</f>
        <v>#NAME?</v>
      </c>
      <c r="H83" s="1059" t="e">
        <f ca="1">BDH("BMBL US Equity","BS_SH_OUT","FY 2023","FY 2023","Currency=USD","Period=FY","BEST_FPERIOD_OVERRIDE=FY","FILING_STATUS=MR","Sort=A","Dates=H","DateFormat=P","Fill=—","Direction=H","UseDPDF=Y")</f>
        <v>#NAME?</v>
      </c>
    </row>
    <row r="84" spans="1:8">
      <c r="A84" s="1058" t="s">
        <v>456</v>
      </c>
      <c r="B84" s="1058" t="s">
        <v>457</v>
      </c>
      <c r="C84" s="1059" t="e">
        <f ca="1">BDH("BMBL US Equity","BS_NUM_OF_TSY_SH","FY 2018","FY 2018","Currency=USD","Period=FY","BEST_FPERIOD_OVERRIDE=FY","FILING_STATUS=MR","Sort=A","Dates=H","DateFormat=P","Fill=—","Direction=H","UseDPDF=Y")</f>
        <v>#NAME?</v>
      </c>
      <c r="D84" s="1059" t="e">
        <f ca="1">BDH("BMBL US Equity","BS_NUM_OF_TSY_SH","FY 2019","FY 2019","Currency=USD","Period=FY","BEST_FPERIOD_OVERRIDE=FY","FILING_STATUS=MR","Sort=A","Dates=H","DateFormat=P","Fill=—","Direction=H","UseDPDF=Y")</f>
        <v>#NAME?</v>
      </c>
      <c r="E84" s="1059" t="e">
        <f ca="1">BDH("BMBL US Equity","BS_NUM_OF_TSY_SH","FY 2020","FY 2020","Currency=USD","Period=FY","BEST_FPERIOD_OVERRIDE=FY","FILING_STATUS=MR","Sort=A","Dates=H","DateFormat=P","Fill=—","Direction=H","UseDPDF=Y")</f>
        <v>#NAME?</v>
      </c>
      <c r="F84" s="1059" t="e">
        <f ca="1">BDH("BMBL US Equity","BS_NUM_OF_TSY_SH","FY 2021","FY 2021","Currency=USD","Period=FY","BEST_FPERIOD_OVERRIDE=FY","FILING_STATUS=MR","Sort=A","Dates=H","DateFormat=P","Fill=—","Direction=H","UseDPDF=Y")</f>
        <v>#NAME?</v>
      </c>
      <c r="G84" s="1059" t="e">
        <f ca="1">BDH("BMBL US Equity","BS_NUM_OF_TSY_SH","FY 2022","FY 2022","Currency=USD","Period=FY","BEST_FPERIOD_OVERRIDE=FY","FILING_STATUS=MR","Sort=A","Dates=H","DateFormat=P","Fill=—","Direction=H","UseDPDF=Y")</f>
        <v>#NAME?</v>
      </c>
      <c r="H84" s="1059" t="e">
        <f ca="1">BDH("BMBL US Equity","BS_NUM_OF_TSY_SH","FY 2023","FY 2023","Currency=USD","Period=FY","BEST_FPERIOD_OVERRIDE=FY","FILING_STATUS=MR","Sort=A","Dates=H","DateFormat=P","Fill=—","Direction=H","UseDPDF=Y")</f>
        <v>#NAME?</v>
      </c>
    </row>
    <row r="85" spans="1:8">
      <c r="A85" s="1058" t="s">
        <v>143</v>
      </c>
      <c r="B85" s="1058" t="s">
        <v>458</v>
      </c>
      <c r="C85" s="1059" t="e">
        <f ca="1">BDH("BMBL US Equity","BS_FUTURE_MIN_OPER_LEASE_OBLIG","FY 2018","FY 2018","Currency=USD","Period=FY","BEST_FPERIOD_OVERRIDE=FY","FILING_STATUS=MR","SCALING_FORMAT=MLN","Sort=A","Dates=H","DateFormat=P","Fill=—","Direction=H","UseDPDF=Y")</f>
        <v>#NAME?</v>
      </c>
      <c r="D85" s="1059" t="e">
        <f ca="1">BDH("BMBL US Equity","BS_FUTURE_MIN_OPER_LEASE_OBLIG","FY 2019","FY 2019","Currency=USD","Period=FY","BEST_FPERIOD_OVERRIDE=FY","FILING_STATUS=MR","SCALING_FORMAT=MLN","Sort=A","Dates=H","DateFormat=P","Fill=—","Direction=H","UseDPDF=Y")</f>
        <v>#NAME?</v>
      </c>
      <c r="E85" s="1059" t="e">
        <f ca="1">BDH("BMBL US Equity","BS_FUTURE_MIN_OPER_LEASE_OBLIG","FY 2020","FY 2020","Currency=USD","Period=FY","BEST_FPERIOD_OVERRIDE=FY","FILING_STATUS=MR","SCALING_FORMAT=MLN","Sort=A","Dates=H","DateFormat=P","Fill=—","Direction=H","UseDPDF=Y")</f>
        <v>#NAME?</v>
      </c>
      <c r="F85" s="1059" t="e">
        <f ca="1">BDH("BMBL US Equity","BS_FUTURE_MIN_OPER_LEASE_OBLIG","FY 2021","FY 2021","Currency=USD","Period=FY","BEST_FPERIOD_OVERRIDE=FY","FILING_STATUS=MR","SCALING_FORMAT=MLN","Sort=A","Dates=H","DateFormat=P","Fill=—","Direction=H","UseDPDF=Y")</f>
        <v>#NAME?</v>
      </c>
      <c r="G85" s="1059" t="e">
        <f ca="1">BDH("BMBL US Equity","BS_FUTURE_MIN_OPER_LEASE_OBLIG","FY 2022","FY 2022","Currency=USD","Period=FY","BEST_FPERIOD_OVERRIDE=FY","FILING_STATUS=MR","SCALING_FORMAT=MLN","Sort=A","Dates=H","DateFormat=P","Fill=—","Direction=H","UseDPDF=Y")</f>
        <v>#NAME?</v>
      </c>
      <c r="H85" s="1059" t="e">
        <f ca="1">BDH("BMBL US Equity","BS_FUTURE_MIN_OPER_LEASE_OBLIG","FY 2023","FY 2023","Currency=USD","Period=FY","BEST_FPERIOD_OVERRIDE=FY","FILING_STATUS=MR","SCALING_FORMAT=MLN","Sort=A","Dates=H","DateFormat=P","Fill=—","Direction=H","UseDPDF=Y")</f>
        <v>#NAME?</v>
      </c>
    </row>
    <row r="86" spans="1:8">
      <c r="A86" s="1058" t="s">
        <v>459</v>
      </c>
      <c r="B86" s="1058" t="s">
        <v>460</v>
      </c>
      <c r="C86" s="1059" t="e">
        <f ca="1">BDH("BMBL US Equity","BS_TOTAL_CAPITAL_LEASES","FY 2018","FY 2018","Currency=USD","Period=FY","BEST_FPERIOD_OVERRIDE=FY","FILING_STATUS=MR","SCALING_FORMAT=MLN","Sort=A","Dates=H","DateFormat=P","Fill=—","Direction=H","UseDPDF=Y")</f>
        <v>#NAME?</v>
      </c>
      <c r="D86" s="1059" t="e">
        <f ca="1">BDH("BMBL US Equity","BS_TOTAL_CAPITAL_LEASES","FY 2019","FY 2019","Currency=USD","Period=FY","BEST_FPERIOD_OVERRIDE=FY","FILING_STATUS=MR","SCALING_FORMAT=MLN","Sort=A","Dates=H","DateFormat=P","Fill=—","Direction=H","UseDPDF=Y")</f>
        <v>#NAME?</v>
      </c>
      <c r="E86" s="1059" t="e">
        <f ca="1">BDH("BMBL US Equity","BS_TOTAL_CAPITAL_LEASES","FY 2020","FY 2020","Currency=USD","Period=FY","BEST_FPERIOD_OVERRIDE=FY","FILING_STATUS=MR","SCALING_FORMAT=MLN","Sort=A","Dates=H","DateFormat=P","Fill=—","Direction=H","UseDPDF=Y")</f>
        <v>#NAME?</v>
      </c>
      <c r="F86" s="1059" t="e">
        <f ca="1">BDH("BMBL US Equity","BS_TOTAL_CAPITAL_LEASES","FY 2021","FY 2021","Currency=USD","Period=FY","BEST_FPERIOD_OVERRIDE=FY","FILING_STATUS=MR","SCALING_FORMAT=MLN","Sort=A","Dates=H","DateFormat=P","Fill=—","Direction=H","UseDPDF=Y")</f>
        <v>#NAME?</v>
      </c>
      <c r="G86" s="1059" t="e">
        <f ca="1">BDH("BMBL US Equity","BS_TOTAL_CAPITAL_LEASES","FY 2022","FY 2022","Currency=USD","Period=FY","BEST_FPERIOD_OVERRIDE=FY","FILING_STATUS=MR","SCALING_FORMAT=MLN","Sort=A","Dates=H","DateFormat=P","Fill=—","Direction=H","UseDPDF=Y")</f>
        <v>#NAME?</v>
      </c>
      <c r="H86" s="1059" t="e">
        <f ca="1">BDH("BMBL US Equity","BS_TOTAL_CAPITAL_LEASES","FY 2023","FY 2023","Currency=USD","Period=FY","BEST_FPERIOD_OVERRIDE=FY","FILING_STATUS=MR","SCALING_FORMAT=MLN","Sort=A","Dates=H","DateFormat=P","Fill=—","Direction=H","UseDPDF=Y")</f>
        <v>#NAME?</v>
      </c>
    </row>
    <row r="87" spans="1:8">
      <c r="A87" s="1058" t="s">
        <v>170</v>
      </c>
      <c r="B87" s="1058" t="s">
        <v>461</v>
      </c>
      <c r="C87" s="1059" t="e">
        <f ca="1">BDH("BMBL US Equity","BS_OPTIONS_GRANTED","FY 2018","FY 2018","Currency=USD","Period=FY","BEST_FPERIOD_OVERRIDE=FY","FILING_STATUS=MR","Sort=A","Dates=H","DateFormat=P","Fill=—","Direction=H","UseDPDF=Y")</f>
        <v>#NAME?</v>
      </c>
      <c r="D87" s="1059" t="e">
        <f ca="1">BDH("BMBL US Equity","BS_OPTIONS_GRANTED","FY 2019","FY 2019","Currency=USD","Period=FY","BEST_FPERIOD_OVERRIDE=FY","FILING_STATUS=MR","Sort=A","Dates=H","DateFormat=P","Fill=—","Direction=H","UseDPDF=Y")</f>
        <v>#NAME?</v>
      </c>
      <c r="E87" s="1059" t="e">
        <f ca="1">BDH("BMBL US Equity","BS_OPTIONS_GRANTED","FY 2020","FY 2020","Currency=USD","Period=FY","BEST_FPERIOD_OVERRIDE=FY","FILING_STATUS=MR","Sort=A","Dates=H","DateFormat=P","Fill=—","Direction=H","UseDPDF=Y")</f>
        <v>#NAME?</v>
      </c>
      <c r="F87" s="1059" t="e">
        <f ca="1">BDH("BMBL US Equity","BS_OPTIONS_GRANTED","FY 2021","FY 2021","Currency=USD","Period=FY","BEST_FPERIOD_OVERRIDE=FY","FILING_STATUS=MR","Sort=A","Dates=H","DateFormat=P","Fill=—","Direction=H","UseDPDF=Y")</f>
        <v>#NAME?</v>
      </c>
      <c r="G87" s="1059" t="e">
        <f ca="1">BDH("BMBL US Equity","BS_OPTIONS_GRANTED","FY 2022","FY 2022","Currency=USD","Period=FY","BEST_FPERIOD_OVERRIDE=FY","FILING_STATUS=MR","Sort=A","Dates=H","DateFormat=P","Fill=—","Direction=H","UseDPDF=Y")</f>
        <v>#NAME?</v>
      </c>
      <c r="H87" s="1059" t="e">
        <f ca="1">BDH("BMBL US Equity","BS_OPTIONS_GRANTED","FY 2023","FY 2023","Currency=USD","Period=FY","BEST_FPERIOD_OVERRIDE=FY","FILING_STATUS=MR","Sort=A","Dates=H","DateFormat=P","Fill=—","Direction=H","UseDPDF=Y")</f>
        <v>#NAME?</v>
      </c>
    </row>
    <row r="88" spans="1:8">
      <c r="A88" s="1058" t="s">
        <v>462</v>
      </c>
      <c r="B88" s="1058" t="s">
        <v>463</v>
      </c>
      <c r="C88" s="1059" t="e">
        <f ca="1">BDH("BMBL US Equity","BS_OPTIONS_OUTSTANDING","FY 2018","FY 2018","Currency=USD","Period=FY","BEST_FPERIOD_OVERRIDE=FY","FILING_STATUS=MR","Sort=A","Dates=H","DateFormat=P","Fill=—","Direction=H","UseDPDF=Y")</f>
        <v>#NAME?</v>
      </c>
      <c r="D88" s="1059" t="e">
        <f ca="1">BDH("BMBL US Equity","BS_OPTIONS_OUTSTANDING","FY 2019","FY 2019","Currency=USD","Period=FY","BEST_FPERIOD_OVERRIDE=FY","FILING_STATUS=MR","Sort=A","Dates=H","DateFormat=P","Fill=—","Direction=H","UseDPDF=Y")</f>
        <v>#NAME?</v>
      </c>
      <c r="E88" s="1059" t="e">
        <f ca="1">BDH("BMBL US Equity","BS_OPTIONS_OUTSTANDING","FY 2020","FY 2020","Currency=USD","Period=FY","BEST_FPERIOD_OVERRIDE=FY","FILING_STATUS=MR","Sort=A","Dates=H","DateFormat=P","Fill=—","Direction=H","UseDPDF=Y")</f>
        <v>#NAME?</v>
      </c>
      <c r="F88" s="1059" t="e">
        <f ca="1">BDH("BMBL US Equity","BS_OPTIONS_OUTSTANDING","FY 2021","FY 2021","Currency=USD","Period=FY","BEST_FPERIOD_OVERRIDE=FY","FILING_STATUS=MR","Sort=A","Dates=H","DateFormat=P","Fill=—","Direction=H","UseDPDF=Y")</f>
        <v>#NAME?</v>
      </c>
      <c r="G88" s="1059" t="e">
        <f ca="1">BDH("BMBL US Equity","BS_OPTIONS_OUTSTANDING","FY 2022","FY 2022","Currency=USD","Period=FY","BEST_FPERIOD_OVERRIDE=FY","FILING_STATUS=MR","Sort=A","Dates=H","DateFormat=P","Fill=—","Direction=H","UseDPDF=Y")</f>
        <v>#NAME?</v>
      </c>
      <c r="H88" s="1059" t="e">
        <f ca="1">BDH("BMBL US Equity","BS_OPTIONS_OUTSTANDING","FY 2023","FY 2023","Currency=USD","Period=FY","BEST_FPERIOD_OVERRIDE=FY","FILING_STATUS=MR","Sort=A","Dates=H","DateFormat=P","Fill=—","Direction=H","UseDPDF=Y")</f>
        <v>#NAME?</v>
      </c>
    </row>
    <row r="89" spans="1:8">
      <c r="A89" s="1058" t="s">
        <v>464</v>
      </c>
      <c r="B89" s="1058" t="s">
        <v>465</v>
      </c>
      <c r="C89" s="1059" t="e">
        <f ca="1">BDH("BMBL US Equity","NET_DEBT","FY 2018","FY 2018","Currency=USD","Period=FY","BEST_FPERIOD_OVERRIDE=FY","FILING_STATUS=MR","SCALING_FORMAT=MLN","Sort=A","Dates=H","DateFormat=P","Fill=—","Direction=H","UseDPDF=Y")</f>
        <v>#NAME?</v>
      </c>
      <c r="D89" s="1059" t="e">
        <f ca="1">BDH("BMBL US Equity","NET_DEBT","FY 2019","FY 2019","Currency=USD","Period=FY","BEST_FPERIOD_OVERRIDE=FY","FILING_STATUS=MR","SCALING_FORMAT=MLN","Sort=A","Dates=H","DateFormat=P","Fill=—","Direction=H","UseDPDF=Y")</f>
        <v>#NAME?</v>
      </c>
      <c r="E89" s="1059" t="e">
        <f ca="1">BDH("BMBL US Equity","NET_DEBT","FY 2020","FY 2020","Currency=USD","Period=FY","BEST_FPERIOD_OVERRIDE=FY","FILING_STATUS=MR","SCALING_FORMAT=MLN","Sort=A","Dates=H","DateFormat=P","Fill=—","Direction=H","UseDPDF=Y")</f>
        <v>#NAME?</v>
      </c>
      <c r="F89" s="1059" t="e">
        <f ca="1">BDH("BMBL US Equity","NET_DEBT","FY 2021","FY 2021","Currency=USD","Period=FY","BEST_FPERIOD_OVERRIDE=FY","FILING_STATUS=MR","SCALING_FORMAT=MLN","Sort=A","Dates=H","DateFormat=P","Fill=—","Direction=H","UseDPDF=Y")</f>
        <v>#NAME?</v>
      </c>
      <c r="G89" s="1059" t="e">
        <f ca="1">BDH("BMBL US Equity","NET_DEBT","FY 2022","FY 2022","Currency=USD","Period=FY","BEST_FPERIOD_OVERRIDE=FY","FILING_STATUS=MR","SCALING_FORMAT=MLN","Sort=A","Dates=H","DateFormat=P","Fill=—","Direction=H","UseDPDF=Y")</f>
        <v>#NAME?</v>
      </c>
      <c r="H89" s="1059" t="e">
        <f ca="1">BDH("BMBL US Equity","NET_DEBT","FY 2023","FY 2023","Currency=USD","Period=FY","BEST_FPERIOD_OVERRIDE=FY","FILING_STATUS=MR","SCALING_FORMAT=MLN","Sort=A","Dates=H","DateFormat=P","Fill=—","Direction=H","UseDPDF=Y")</f>
        <v>#NAME?</v>
      </c>
    </row>
    <row r="90" spans="1:8">
      <c r="A90" s="1058" t="s">
        <v>466</v>
      </c>
      <c r="B90" s="1058" t="s">
        <v>467</v>
      </c>
      <c r="C90" s="1057" t="e">
        <f ca="1">BDH("BMBL US Equity","NET_DEBT_TO_SHRHLDR_EQTY","FY 2018","FY 2018","Currency=USD","Period=FY","BEST_FPERIOD_OVERRIDE=FY","FILING_STATUS=MR","Sort=A","Dates=H","DateFormat=P","Fill=—","Direction=H","UseDPDF=Y")</f>
        <v>#NAME?</v>
      </c>
      <c r="D90" s="1057" t="e">
        <f ca="1">BDH("BMBL US Equity","NET_DEBT_TO_SHRHLDR_EQTY","FY 2019","FY 2019","Currency=USD","Period=FY","BEST_FPERIOD_OVERRIDE=FY","FILING_STATUS=MR","Sort=A","Dates=H","DateFormat=P","Fill=—","Direction=H","UseDPDF=Y")</f>
        <v>#NAME?</v>
      </c>
      <c r="E90" s="1057" t="e">
        <f ca="1">BDH("BMBL US Equity","NET_DEBT_TO_SHRHLDR_EQTY","FY 2020","FY 2020","Currency=USD","Period=FY","BEST_FPERIOD_OVERRIDE=FY","FILING_STATUS=MR","Sort=A","Dates=H","DateFormat=P","Fill=—","Direction=H","UseDPDF=Y")</f>
        <v>#NAME?</v>
      </c>
      <c r="F90" s="1057" t="e">
        <f ca="1">BDH("BMBL US Equity","NET_DEBT_TO_SHRHLDR_EQTY","FY 2021","FY 2021","Currency=USD","Period=FY","BEST_FPERIOD_OVERRIDE=FY","FILING_STATUS=MR","Sort=A","Dates=H","DateFormat=P","Fill=—","Direction=H","UseDPDF=Y")</f>
        <v>#NAME?</v>
      </c>
      <c r="G90" s="1057" t="e">
        <f ca="1">BDH("BMBL US Equity","NET_DEBT_TO_SHRHLDR_EQTY","FY 2022","FY 2022","Currency=USD","Period=FY","BEST_FPERIOD_OVERRIDE=FY","FILING_STATUS=MR","Sort=A","Dates=H","DateFormat=P","Fill=—","Direction=H","UseDPDF=Y")</f>
        <v>#NAME?</v>
      </c>
      <c r="H90" s="1057" t="e">
        <f ca="1">BDH("BMBL US Equity","NET_DEBT_TO_SHRHLDR_EQTY","FY 2023","FY 2023","Currency=USD","Period=FY","BEST_FPERIOD_OVERRIDE=FY","FILING_STATUS=MR","Sort=A","Dates=H","DateFormat=P","Fill=—","Direction=H","UseDPDF=Y")</f>
        <v>#NAME?</v>
      </c>
    </row>
    <row r="91" spans="1:8">
      <c r="A91" s="1058" t="s">
        <v>468</v>
      </c>
      <c r="B91" s="1058" t="s">
        <v>469</v>
      </c>
      <c r="C91" s="1057" t="e">
        <f ca="1">BDH("BMBL US Equity","TCE_RATIO","FY 2018","FY 2018","Currency=USD","Period=FY","BEST_FPERIOD_OVERRIDE=FY","FILING_STATUS=MR","Sort=A","Dates=H","DateFormat=P","Fill=—","Direction=H","UseDPDF=Y")</f>
        <v>#NAME?</v>
      </c>
      <c r="D91" s="1057" t="e">
        <f ca="1">BDH("BMBL US Equity","TCE_RATIO","FY 2019","FY 2019","Currency=USD","Period=FY","BEST_FPERIOD_OVERRIDE=FY","FILING_STATUS=MR","Sort=A","Dates=H","DateFormat=P","Fill=—","Direction=H","UseDPDF=Y")</f>
        <v>#NAME?</v>
      </c>
      <c r="E91" s="1057" t="e">
        <f ca="1">BDH("BMBL US Equity","TCE_RATIO","FY 2020","FY 2020","Currency=USD","Period=FY","BEST_FPERIOD_OVERRIDE=FY","FILING_STATUS=MR","Sort=A","Dates=H","DateFormat=P","Fill=—","Direction=H","UseDPDF=Y")</f>
        <v>#NAME?</v>
      </c>
      <c r="F91" s="1057" t="e">
        <f ca="1">BDH("BMBL US Equity","TCE_RATIO","FY 2021","FY 2021","Currency=USD","Period=FY","BEST_FPERIOD_OVERRIDE=FY","FILING_STATUS=MR","Sort=A","Dates=H","DateFormat=P","Fill=—","Direction=H","UseDPDF=Y")</f>
        <v>#NAME?</v>
      </c>
      <c r="G91" s="1057" t="e">
        <f ca="1">BDH("BMBL US Equity","TCE_RATIO","FY 2022","FY 2022","Currency=USD","Period=FY","BEST_FPERIOD_OVERRIDE=FY","FILING_STATUS=MR","Sort=A","Dates=H","DateFormat=P","Fill=—","Direction=H","UseDPDF=Y")</f>
        <v>#NAME?</v>
      </c>
      <c r="H91" s="1057" t="e">
        <f ca="1">BDH("BMBL US Equity","TCE_RATIO","FY 2023","FY 2023","Currency=USD","Period=FY","BEST_FPERIOD_OVERRIDE=FY","FILING_STATUS=MR","Sort=A","Dates=H","DateFormat=P","Fill=—","Direction=H","UseDPDF=Y")</f>
        <v>#NAME?</v>
      </c>
    </row>
    <row r="92" spans="1:8">
      <c r="A92" s="1058" t="s">
        <v>470</v>
      </c>
      <c r="B92" s="1058" t="s">
        <v>471</v>
      </c>
      <c r="C92" s="1057" t="e">
        <f ca="1">BDH("BMBL US Equity","CUR_RATIO","FY 2018","FY 2018","Currency=USD","Period=FY","BEST_FPERIOD_OVERRIDE=FY","FILING_STATUS=MR","Sort=A","Dates=H","DateFormat=P","Fill=—","Direction=H","UseDPDF=Y")</f>
        <v>#NAME?</v>
      </c>
      <c r="D92" s="1057" t="e">
        <f ca="1">BDH("BMBL US Equity","CUR_RATIO","FY 2019","FY 2019","Currency=USD","Period=FY","BEST_FPERIOD_OVERRIDE=FY","FILING_STATUS=MR","Sort=A","Dates=H","DateFormat=P","Fill=—","Direction=H","UseDPDF=Y")</f>
        <v>#NAME?</v>
      </c>
      <c r="E92" s="1057" t="e">
        <f ca="1">BDH("BMBL US Equity","CUR_RATIO","FY 2020","FY 2020","Currency=USD","Period=FY","BEST_FPERIOD_OVERRIDE=FY","FILING_STATUS=MR","Sort=A","Dates=H","DateFormat=P","Fill=—","Direction=H","UseDPDF=Y")</f>
        <v>#NAME?</v>
      </c>
      <c r="F92" s="1057" t="e">
        <f ca="1">BDH("BMBL US Equity","CUR_RATIO","FY 2021","FY 2021","Currency=USD","Period=FY","BEST_FPERIOD_OVERRIDE=FY","FILING_STATUS=MR","Sort=A","Dates=H","DateFormat=P","Fill=—","Direction=H","UseDPDF=Y")</f>
        <v>#NAME?</v>
      </c>
      <c r="G92" s="1057" t="e">
        <f ca="1">BDH("BMBL US Equity","CUR_RATIO","FY 2022","FY 2022","Currency=USD","Period=FY","BEST_FPERIOD_OVERRIDE=FY","FILING_STATUS=MR","Sort=A","Dates=H","DateFormat=P","Fill=—","Direction=H","UseDPDF=Y")</f>
        <v>#NAME?</v>
      </c>
      <c r="H92" s="1057" t="e">
        <f ca="1">BDH("BMBL US Equity","CUR_RATIO","FY 2023","FY 2023","Currency=USD","Period=FY","BEST_FPERIOD_OVERRIDE=FY","FILING_STATUS=MR","Sort=A","Dates=H","DateFormat=P","Fill=—","Direction=H","UseDPDF=Y")</f>
        <v>#NAME?</v>
      </c>
    </row>
    <row r="93" spans="1:8">
      <c r="A93" s="1058" t="s">
        <v>472</v>
      </c>
      <c r="B93" s="1058" t="s">
        <v>473</v>
      </c>
      <c r="C93" s="1057" t="e">
        <f ca="1">BDH("BMBL US Equity","NUM_OF_EMPLOYEES","FY 2018","FY 2018","Currency=USD","Period=FY","BEST_FPERIOD_OVERRIDE=FY","FILING_STATUS=MR","Sort=A","Dates=H","DateFormat=P","Fill=—","Direction=H","UseDPDF=Y")</f>
        <v>#NAME?</v>
      </c>
      <c r="D93" s="1057" t="e">
        <f ca="1">BDH("BMBL US Equity","NUM_OF_EMPLOYEES","FY 2019","FY 2019","Currency=USD","Period=FY","BEST_FPERIOD_OVERRIDE=FY","FILING_STATUS=MR","Sort=A","Dates=H","DateFormat=P","Fill=—","Direction=H","UseDPDF=Y")</f>
        <v>#NAME?</v>
      </c>
      <c r="E93" s="1057" t="e">
        <f ca="1">BDH("BMBL US Equity","NUM_OF_EMPLOYEES","FY 2020","FY 2020","Currency=USD","Period=FY","BEST_FPERIOD_OVERRIDE=FY","FILING_STATUS=MR","Sort=A","Dates=H","DateFormat=P","Fill=—","Direction=H","UseDPDF=Y")</f>
        <v>#NAME?</v>
      </c>
      <c r="F93" s="1057" t="e">
        <f ca="1">BDH("BMBL US Equity","NUM_OF_EMPLOYEES","FY 2021","FY 2021","Currency=USD","Period=FY","BEST_FPERIOD_OVERRIDE=FY","FILING_STATUS=MR","Sort=A","Dates=H","DateFormat=P","Fill=—","Direction=H","UseDPDF=Y")</f>
        <v>#NAME?</v>
      </c>
      <c r="G93" s="1057" t="e">
        <f ca="1">BDH("BMBL US Equity","NUM_OF_EMPLOYEES","FY 2022","FY 2022","Currency=USD","Period=FY","BEST_FPERIOD_OVERRIDE=FY","FILING_STATUS=MR","Sort=A","Dates=H","DateFormat=P","Fill=—","Direction=H","UseDPDF=Y")</f>
        <v>#NAME?</v>
      </c>
      <c r="H93" s="1057" t="e">
        <f ca="1">BDH("BMBL US Equity","NUM_OF_EMPLOYEES","FY 2023","FY 2023","Currency=USD","Period=FY","BEST_FPERIOD_OVERRIDE=FY","FILING_STATUS=MR","Sort=A","Dates=H","DateFormat=P","Fill=—","Direction=H","UseDPDF=Y")</f>
        <v>#NAME?</v>
      </c>
    </row>
    <row r="94" spans="1:8">
      <c r="A94" s="1056" t="s">
        <v>313</v>
      </c>
      <c r="B94" s="1056"/>
      <c r="C94" s="1056" t="s">
        <v>314</v>
      </c>
      <c r="D94" s="1056"/>
      <c r="E94" s="1056"/>
      <c r="F94" s="1056"/>
      <c r="G94" s="1056"/>
      <c r="H94" s="10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topLeftCell="A15" workbookViewId="0">
      <selection activeCell="E39" sqref="E39"/>
    </sheetView>
  </sheetViews>
  <sheetFormatPr defaultColWidth="8.88671875" defaultRowHeight="14.4"/>
  <cols>
    <col min="1" max="1" width="43.88671875" customWidth="1"/>
    <col min="2" max="2" width="1" customWidth="1"/>
    <col min="3" max="8" width="11.88671875" customWidth="1"/>
  </cols>
  <sheetData>
    <row r="1" spans="1:8">
      <c r="A1" s="1070"/>
      <c r="B1" s="1070"/>
      <c r="C1" s="1070"/>
      <c r="D1" s="1070"/>
      <c r="E1" s="1070"/>
      <c r="F1" s="1070"/>
      <c r="G1" s="1070"/>
      <c r="H1" s="1070"/>
    </row>
    <row r="2" spans="1:8" ht="21">
      <c r="A2" s="1069" t="s">
        <v>0</v>
      </c>
      <c r="B2" s="1069"/>
      <c r="C2" s="1069"/>
      <c r="D2" s="1069"/>
      <c r="E2" s="1069"/>
      <c r="F2" s="1069"/>
      <c r="G2" s="1069"/>
      <c r="H2" s="1069"/>
    </row>
    <row r="3" spans="1:8">
      <c r="A3" s="1068"/>
      <c r="B3" s="1068"/>
      <c r="C3" s="1068"/>
      <c r="D3" s="1068"/>
      <c r="E3" s="1068"/>
      <c r="F3" s="1068"/>
      <c r="G3" s="1068"/>
      <c r="H3" s="1068"/>
    </row>
    <row r="4" spans="1:8">
      <c r="A4" s="1067" t="s">
        <v>1</v>
      </c>
      <c r="B4" s="1067"/>
      <c r="C4" s="1066" t="s">
        <v>2</v>
      </c>
      <c r="D4" s="1066" t="s">
        <v>3</v>
      </c>
      <c r="E4" s="1066" t="s">
        <v>4</v>
      </c>
      <c r="F4" s="1066" t="s">
        <v>5</v>
      </c>
      <c r="G4" s="1066" t="s">
        <v>6</v>
      </c>
      <c r="H4" s="1066" t="s">
        <v>7</v>
      </c>
    </row>
    <row r="5" spans="1:8">
      <c r="A5" s="1072" t="s">
        <v>8</v>
      </c>
      <c r="B5" s="1072"/>
      <c r="C5" s="1071" t="s">
        <v>9</v>
      </c>
      <c r="D5" s="1071" t="s">
        <v>10</v>
      </c>
      <c r="E5" s="1071" t="s">
        <v>11</v>
      </c>
      <c r="F5" s="1071" t="s">
        <v>12</v>
      </c>
      <c r="G5" s="1071" t="s">
        <v>13</v>
      </c>
      <c r="H5" s="1071" t="s">
        <v>14</v>
      </c>
    </row>
    <row r="6" spans="1:8">
      <c r="A6" s="1062" t="s">
        <v>474</v>
      </c>
      <c r="B6" s="1063"/>
      <c r="C6" s="1063"/>
      <c r="D6" s="1063"/>
      <c r="E6" s="1063"/>
      <c r="F6" s="1063"/>
      <c r="G6" s="1063"/>
      <c r="H6" s="1063"/>
    </row>
    <row r="7" spans="1:8">
      <c r="A7" s="1058" t="s">
        <v>475</v>
      </c>
      <c r="B7" s="1060"/>
      <c r="C7" s="1060"/>
      <c r="D7" s="1060"/>
      <c r="E7" s="1060"/>
      <c r="F7" s="1060"/>
      <c r="G7" s="1060"/>
      <c r="H7" s="1060"/>
    </row>
    <row r="8" spans="1:8">
      <c r="A8" s="1058" t="s">
        <v>476</v>
      </c>
      <c r="B8" s="1058" t="s">
        <v>477</v>
      </c>
      <c r="C8" s="1059" t="e">
        <f ca="1">BDH("BMBL US Equity","ARD_NET_INCOME_CF","FY 2018","FY 2018","Currency=USD","Period=FY","BEST_FPERIOD_OVERRIDE=FY","FILING_STATUS=MR","SCALING_FORMAT=MLN","Sort=A","Dates=H","DateFormat=P","Fill=—","Direction=H","UseDPDF=Y")</f>
        <v>#NAME?</v>
      </c>
      <c r="D8" s="1059" t="e">
        <f ca="1">BDH("BMBL US Equity","ARD_NET_INCOME_CF","FY 2019","FY 2019","Currency=USD","Period=FY","BEST_FPERIOD_OVERRIDE=FY","FILING_STATUS=MR","SCALING_FORMAT=MLN","Sort=A","Dates=H","DateFormat=P","Fill=—","Direction=H","UseDPDF=Y")</f>
        <v>#NAME?</v>
      </c>
      <c r="E8" s="1059" t="e">
        <f ca="1">BDH("BMBL US Equity","ARD_NET_INCOME_CF","FY 2020","FY 2020","Currency=USD","Period=FY","BEST_FPERIOD_OVERRIDE=FY","FILING_STATUS=MR","SCALING_FORMAT=MLN","Sort=A","Dates=H","DateFormat=P","Fill=—","Direction=H","UseDPDF=Y")</f>
        <v>#NAME?</v>
      </c>
      <c r="F8" s="1059" t="e">
        <f ca="1">BDH("BMBL US Equity","ARD_NET_INCOME_CF","FY 2021","FY 2021","Currency=USD","Period=FY","BEST_FPERIOD_OVERRIDE=FY","FILING_STATUS=MR","SCALING_FORMAT=MLN","Sort=A","Dates=H","DateFormat=P","Fill=—","Direction=H","UseDPDF=Y")</f>
        <v>#NAME?</v>
      </c>
      <c r="G8" s="1059" t="e">
        <f ca="1">BDH("BMBL US Equity","ARD_NET_INCOME_CF","FY 2022","FY 2022","Currency=USD","Period=FY","BEST_FPERIOD_OVERRIDE=FY","FILING_STATUS=MR","SCALING_FORMAT=MLN","Sort=A","Dates=H","DateFormat=P","Fill=—","Direction=H","UseDPDF=Y")</f>
        <v>#NAME?</v>
      </c>
      <c r="H8" s="1059" t="e">
        <f ca="1">BDH("BMBL US Equity","ARD_NET_INCOME_CF","FY 2023","FY 2023","Currency=USD","Period=FY","BEST_FPERIOD_OVERRIDE=FY","FILING_STATUS=MR","SCALING_FORMAT=MLN","Sort=A","Dates=H","DateFormat=P","Fill=—","Direction=H","UseDPDF=Y")</f>
        <v>#NAME?</v>
      </c>
    </row>
    <row r="9" spans="1:8">
      <c r="A9" s="1058" t="s">
        <v>478</v>
      </c>
      <c r="B9" s="1058" t="s">
        <v>479</v>
      </c>
      <c r="C9" s="1059" t="e">
        <f ca="1">BDH("BMBL US Equity","ARD_DEPRECIATION_AND_AMORT_CF","FY 2018","FY 2018","Currency=USD","Period=FY","BEST_FPERIOD_OVERRIDE=FY","FILING_STATUS=MR","SCALING_FORMAT=MLN","Sort=A","Dates=H","DateFormat=P","Fill=—","Direction=H","UseDPDF=Y")</f>
        <v>#NAME?</v>
      </c>
      <c r="D9" s="1059" t="e">
        <f ca="1">BDH("BMBL US Equity","ARD_DEPRECIATION_AND_AMORT_CF","FY 2019","FY 2019","Currency=USD","Period=FY","BEST_FPERIOD_OVERRIDE=FY","FILING_STATUS=MR","SCALING_FORMAT=MLN","Sort=A","Dates=H","DateFormat=P","Fill=—","Direction=H","UseDPDF=Y")</f>
        <v>#NAME?</v>
      </c>
      <c r="E9" s="1059" t="e">
        <f ca="1">BDH("BMBL US Equity","ARD_DEPRECIATION_AND_AMORT_CF","FY 2020","FY 2020","Currency=USD","Period=FY","BEST_FPERIOD_OVERRIDE=FY","FILING_STATUS=MR","SCALING_FORMAT=MLN","Sort=A","Dates=H","DateFormat=P","Fill=—","Direction=H","UseDPDF=Y")</f>
        <v>#NAME?</v>
      </c>
      <c r="F9" s="1059" t="e">
        <f ca="1">BDH("BMBL US Equity","ARD_DEPRECIATION_AND_AMORT_CF","FY 2021","FY 2021","Currency=USD","Period=FY","BEST_FPERIOD_OVERRIDE=FY","FILING_STATUS=MR","SCALING_FORMAT=MLN","Sort=A","Dates=H","DateFormat=P","Fill=—","Direction=H","UseDPDF=Y")</f>
        <v>#NAME?</v>
      </c>
      <c r="G9" s="1059" t="e">
        <f ca="1">BDH("BMBL US Equity","ARD_DEPRECIATION_AND_AMORT_CF","FY 2022","FY 2022","Currency=USD","Period=FY","BEST_FPERIOD_OVERRIDE=FY","FILING_STATUS=MR","SCALING_FORMAT=MLN","Sort=A","Dates=H","DateFormat=P","Fill=—","Direction=H","UseDPDF=Y")</f>
        <v>#NAME?</v>
      </c>
      <c r="H9" s="1059" t="e">
        <f ca="1">BDH("BMBL US Equity","ARD_DEPRECIATION_AND_AMORT_CF","FY 2023","FY 2023","Currency=USD","Period=FY","BEST_FPERIOD_OVERRIDE=FY","FILING_STATUS=MR","SCALING_FORMAT=MLN","Sort=A","Dates=H","DateFormat=P","Fill=—","Direction=H","UseDPDF=Y")</f>
        <v>#NAME?</v>
      </c>
    </row>
    <row r="10" spans="1:8">
      <c r="A10" s="1058" t="s">
        <v>480</v>
      </c>
      <c r="B10" s="1058" t="s">
        <v>481</v>
      </c>
      <c r="C10" s="1059" t="e">
        <f ca="1">BDH("BMBL US Equity","ARD_DEFERRED_INCOME_TAXES_CF","FY 2018","FY 2018","Currency=USD","Period=FY","BEST_FPERIOD_OVERRIDE=FY","FILING_STATUS=MR","SCALING_FORMAT=MLN","Sort=A","Dates=H","DateFormat=P","Fill=—","Direction=H","UseDPDF=Y")</f>
        <v>#NAME?</v>
      </c>
      <c r="D10" s="1059" t="e">
        <f ca="1">BDH("BMBL US Equity","ARD_DEFERRED_INCOME_TAXES_CF","FY 2019","FY 2019","Currency=USD","Period=FY","BEST_FPERIOD_OVERRIDE=FY","FILING_STATUS=MR","SCALING_FORMAT=MLN","Sort=A","Dates=H","DateFormat=P","Fill=—","Direction=H","UseDPDF=Y")</f>
        <v>#NAME?</v>
      </c>
      <c r="E10" s="1059" t="e">
        <f ca="1">BDH("BMBL US Equity","ARD_DEFERRED_INCOME_TAXES_CF","FY 2020","FY 2020","Currency=USD","Period=FY","BEST_FPERIOD_OVERRIDE=FY","FILING_STATUS=MR","SCALING_FORMAT=MLN","Sort=A","Dates=H","DateFormat=P","Fill=—","Direction=H","UseDPDF=Y")</f>
        <v>#NAME?</v>
      </c>
      <c r="F10" s="1059" t="e">
        <f ca="1">BDH("BMBL US Equity","ARD_DEFERRED_INCOME_TAXES_CF","FY 2021","FY 2021","Currency=USD","Period=FY","BEST_FPERIOD_OVERRIDE=FY","FILING_STATUS=MR","SCALING_FORMAT=MLN","Sort=A","Dates=H","DateFormat=P","Fill=—","Direction=H","UseDPDF=Y")</f>
        <v>#NAME?</v>
      </c>
      <c r="G10" s="1059" t="e">
        <f ca="1">BDH("BMBL US Equity","ARD_DEFERRED_INCOME_TAXES_CF","FY 2022","FY 2022","Currency=USD","Period=FY","BEST_FPERIOD_OVERRIDE=FY","FILING_STATUS=MR","SCALING_FORMAT=MLN","Sort=A","Dates=H","DateFormat=P","Fill=—","Direction=H","UseDPDF=Y")</f>
        <v>#NAME?</v>
      </c>
      <c r="H10" s="1059" t="e">
        <f ca="1">BDH("BMBL US Equity","ARD_DEFERRED_INCOME_TAXES_CF","FY 2023","FY 2023","Currency=USD","Period=FY","BEST_FPERIOD_OVERRIDE=FY","FILING_STATUS=MR","SCALING_FORMAT=MLN","Sort=A","Dates=H","DateFormat=P","Fill=—","Direction=H","UseDPDF=Y")</f>
        <v>#NAME?</v>
      </c>
    </row>
    <row r="11" spans="1:8">
      <c r="A11" s="1058" t="s">
        <v>482</v>
      </c>
      <c r="B11" s="1058" t="s">
        <v>483</v>
      </c>
      <c r="C11" s="1059" t="e">
        <f ca="1">BDH("BMBL US Equity","ARD_STOCK_BASED_COMPENSATION","FY 2018","FY 2018","Currency=USD","Period=FY","BEST_FPERIOD_OVERRIDE=FY","FILING_STATUS=MR","SCALING_FORMAT=MLN","Sort=A","Dates=H","DateFormat=P","Fill=—","Direction=H","UseDPDF=Y")</f>
        <v>#NAME?</v>
      </c>
      <c r="D11" s="1059" t="e">
        <f ca="1">BDH("BMBL US Equity","ARD_STOCK_BASED_COMPENSATION","FY 2019","FY 2019","Currency=USD","Period=FY","BEST_FPERIOD_OVERRIDE=FY","FILING_STATUS=MR","SCALING_FORMAT=MLN","Sort=A","Dates=H","DateFormat=P","Fill=—","Direction=H","UseDPDF=Y")</f>
        <v>#NAME?</v>
      </c>
      <c r="E11" s="1059" t="e">
        <f ca="1">BDH("BMBL US Equity","ARD_STOCK_BASED_COMPENSATION","FY 2020","FY 2020","Currency=USD","Period=FY","BEST_FPERIOD_OVERRIDE=FY","FILING_STATUS=MR","SCALING_FORMAT=MLN","Sort=A","Dates=H","DateFormat=P","Fill=—","Direction=H","UseDPDF=Y")</f>
        <v>#NAME?</v>
      </c>
      <c r="F11" s="1059" t="e">
        <f ca="1">BDH("BMBL US Equity","ARD_STOCK_BASED_COMPENSATION","FY 2021","FY 2021","Currency=USD","Period=FY","BEST_FPERIOD_OVERRIDE=FY","FILING_STATUS=MR","SCALING_FORMAT=MLN","Sort=A","Dates=H","DateFormat=P","Fill=—","Direction=H","UseDPDF=Y")</f>
        <v>#NAME?</v>
      </c>
      <c r="G11" s="1059" t="e">
        <f ca="1">BDH("BMBL US Equity","ARD_STOCK_BASED_COMPENSATION","FY 2022","FY 2022","Currency=USD","Period=FY","BEST_FPERIOD_OVERRIDE=FY","FILING_STATUS=MR","SCALING_FORMAT=MLN","Sort=A","Dates=H","DateFormat=P","Fill=—","Direction=H","UseDPDF=Y")</f>
        <v>#NAME?</v>
      </c>
      <c r="H11" s="1059" t="e">
        <f ca="1">BDH("BMBL US Equity","ARD_STOCK_BASED_COMPENSATION","FY 2023","FY 2023","Currency=USD","Period=FY","BEST_FPERIOD_OVERRIDE=FY","FILING_STATUS=MR","SCALING_FORMAT=MLN","Sort=A","Dates=H","DateFormat=P","Fill=—","Direction=H","UseDPDF=Y")</f>
        <v>#NAME?</v>
      </c>
    </row>
    <row r="12" spans="1:8">
      <c r="A12" s="1058" t="s">
        <v>484</v>
      </c>
      <c r="B12" s="1058" t="s">
        <v>485</v>
      </c>
      <c r="C12" s="1059" t="e">
        <f ca="1">BDH("BMBL US Equity","ARD_OTHER_NON_CASH_ITEMS","FY 2018","FY 2018","Currency=USD","Period=FY","BEST_FPERIOD_OVERRIDE=FY","FILING_STATUS=MR","SCALING_FORMAT=MLN","Sort=A","Dates=H","DateFormat=P","Fill=—","Direction=H","UseDPDF=Y")</f>
        <v>#NAME?</v>
      </c>
      <c r="D12" s="1059" t="e">
        <f ca="1">BDH("BMBL US Equity","ARD_OTHER_NON_CASH_ITEMS","FY 2019","FY 2019","Currency=USD","Period=FY","BEST_FPERIOD_OVERRIDE=FY","FILING_STATUS=MR","SCALING_FORMAT=MLN","Sort=A","Dates=H","DateFormat=P","Fill=—","Direction=H","UseDPDF=Y")</f>
        <v>#NAME?</v>
      </c>
      <c r="E12" s="1059" t="e">
        <f ca="1">BDH("BMBL US Equity","ARD_OTHER_NON_CASH_ITEMS","FY 2020","FY 2020","Currency=USD","Period=FY","BEST_FPERIOD_OVERRIDE=FY","FILING_STATUS=MR","SCALING_FORMAT=MLN","Sort=A","Dates=H","DateFormat=P","Fill=—","Direction=H","UseDPDF=Y")</f>
        <v>#NAME?</v>
      </c>
      <c r="F12" s="1059" t="e">
        <f ca="1">BDH("BMBL US Equity","ARD_OTHER_NON_CASH_ITEMS","FY 2021","FY 2021","Currency=USD","Period=FY","BEST_FPERIOD_OVERRIDE=FY","FILING_STATUS=MR","SCALING_FORMAT=MLN","Sort=A","Dates=H","DateFormat=P","Fill=—","Direction=H","UseDPDF=Y")</f>
        <v>#NAME?</v>
      </c>
      <c r="G12" s="1059" t="e">
        <f ca="1">BDH("BMBL US Equity","ARD_OTHER_NON_CASH_ITEMS","FY 2022","FY 2022","Currency=USD","Period=FY","BEST_FPERIOD_OVERRIDE=FY","FILING_STATUS=MR","SCALING_FORMAT=MLN","Sort=A","Dates=H","DateFormat=P","Fill=—","Direction=H","UseDPDF=Y")</f>
        <v>#NAME?</v>
      </c>
      <c r="H12" s="1059" t="e">
        <f ca="1">BDH("BMBL US Equity","ARD_OTHER_NON_CASH_ITEMS","FY 2023","FY 2023","Currency=USD","Period=FY","BEST_FPERIOD_OVERRIDE=FY","FILING_STATUS=MR","SCALING_FORMAT=MLN","Sort=A","Dates=H","DateFormat=P","Fill=—","Direction=H","UseDPDF=Y")</f>
        <v>#NAME?</v>
      </c>
    </row>
    <row r="13" spans="1:8">
      <c r="A13" s="1058" t="s">
        <v>486</v>
      </c>
      <c r="B13" s="1058" t="s">
        <v>487</v>
      </c>
      <c r="C13" s="1059" t="e">
        <f ca="1">BDH("BMBL US Equity","ARD_CHANGE_IN_ACCOUNTS_PAYABLE","FY 2018","FY 2018","Currency=USD","Period=FY","BEST_FPERIOD_OVERRIDE=FY","FILING_STATUS=MR","SCALING_FORMAT=MLN","Sort=A","Dates=H","DateFormat=P","Fill=—","Direction=H","UseDPDF=Y")</f>
        <v>#NAME?</v>
      </c>
      <c r="D13" s="1059" t="e">
        <f ca="1">BDH("BMBL US Equity","ARD_CHANGE_IN_ACCOUNTS_PAYABLE","FY 2019","FY 2019","Currency=USD","Period=FY","BEST_FPERIOD_OVERRIDE=FY","FILING_STATUS=MR","SCALING_FORMAT=MLN","Sort=A","Dates=H","DateFormat=P","Fill=—","Direction=H","UseDPDF=Y")</f>
        <v>#NAME?</v>
      </c>
      <c r="E13" s="1059" t="e">
        <f ca="1">BDH("BMBL US Equity","ARD_CHANGE_IN_ACCOUNTS_PAYABLE","FY 2020","FY 2020","Currency=USD","Period=FY","BEST_FPERIOD_OVERRIDE=FY","FILING_STATUS=MR","SCALING_FORMAT=MLN","Sort=A","Dates=H","DateFormat=P","Fill=—","Direction=H","UseDPDF=Y")</f>
        <v>#NAME?</v>
      </c>
      <c r="F13" s="1059" t="e">
        <f ca="1">BDH("BMBL US Equity","ARD_CHANGE_IN_ACCOUNTS_PAYABLE","FY 2021","FY 2021","Currency=USD","Period=FY","BEST_FPERIOD_OVERRIDE=FY","FILING_STATUS=MR","SCALING_FORMAT=MLN","Sort=A","Dates=H","DateFormat=P","Fill=—","Direction=H","UseDPDF=Y")</f>
        <v>#NAME?</v>
      </c>
      <c r="G13" s="1059" t="e">
        <f ca="1">BDH("BMBL US Equity","ARD_CHANGE_IN_ACCOUNTS_PAYABLE","FY 2022","FY 2022","Currency=USD","Period=FY","BEST_FPERIOD_OVERRIDE=FY","FILING_STATUS=MR","SCALING_FORMAT=MLN","Sort=A","Dates=H","DateFormat=P","Fill=—","Direction=H","UseDPDF=Y")</f>
        <v>#NAME?</v>
      </c>
      <c r="H13" s="1059" t="e">
        <f ca="1">BDH("BMBL US Equity","ARD_CHANGE_IN_ACCOUNTS_PAYABLE","FY 2023","FY 2023","Currency=USD","Period=FY","BEST_FPERIOD_OVERRIDE=FY","FILING_STATUS=MR","SCALING_FORMAT=MLN","Sort=A","Dates=H","DateFormat=P","Fill=—","Direction=H","UseDPDF=Y")</f>
        <v>#NAME?</v>
      </c>
    </row>
    <row r="14" spans="1:8">
      <c r="A14" s="1058" t="s">
        <v>488</v>
      </c>
      <c r="B14" s="1058" t="s">
        <v>489</v>
      </c>
      <c r="C14" s="1059" t="e">
        <f ca="1">BDH("BMBL US Equity","ARD_CHG_IN_ACCOUNTS_RECEIVABLE","FY 2018","FY 2018","Currency=USD","Period=FY","BEST_FPERIOD_OVERRIDE=FY","FILING_STATUS=MR","SCALING_FORMAT=MLN","Sort=A","Dates=H","DateFormat=P","Fill=—","Direction=H","UseDPDF=Y")</f>
        <v>#NAME?</v>
      </c>
      <c r="D14" s="1059" t="e">
        <f ca="1">BDH("BMBL US Equity","ARD_CHG_IN_ACCOUNTS_RECEIVABLE","FY 2019","FY 2019","Currency=USD","Period=FY","BEST_FPERIOD_OVERRIDE=FY","FILING_STATUS=MR","SCALING_FORMAT=MLN","Sort=A","Dates=H","DateFormat=P","Fill=—","Direction=H","UseDPDF=Y")</f>
        <v>#NAME?</v>
      </c>
      <c r="E14" s="1059" t="e">
        <f ca="1">BDH("BMBL US Equity","ARD_CHG_IN_ACCOUNTS_RECEIVABLE","FY 2020","FY 2020","Currency=USD","Period=FY","BEST_FPERIOD_OVERRIDE=FY","FILING_STATUS=MR","SCALING_FORMAT=MLN","Sort=A","Dates=H","DateFormat=P","Fill=—","Direction=H","UseDPDF=Y")</f>
        <v>#NAME?</v>
      </c>
      <c r="F14" s="1059" t="e">
        <f ca="1">BDH("BMBL US Equity","ARD_CHG_IN_ACCOUNTS_RECEIVABLE","FY 2021","FY 2021","Currency=USD","Period=FY","BEST_FPERIOD_OVERRIDE=FY","FILING_STATUS=MR","SCALING_FORMAT=MLN","Sort=A","Dates=H","DateFormat=P","Fill=—","Direction=H","UseDPDF=Y")</f>
        <v>#NAME?</v>
      </c>
      <c r="G14" s="1059" t="e">
        <f ca="1">BDH("BMBL US Equity","ARD_CHG_IN_ACCOUNTS_RECEIVABLE","FY 2022","FY 2022","Currency=USD","Period=FY","BEST_FPERIOD_OVERRIDE=FY","FILING_STATUS=MR","SCALING_FORMAT=MLN","Sort=A","Dates=H","DateFormat=P","Fill=—","Direction=H","UseDPDF=Y")</f>
        <v>#NAME?</v>
      </c>
      <c r="H14" s="1059" t="e">
        <f ca="1">BDH("BMBL US Equity","ARD_CHG_IN_ACCOUNTS_RECEIVABLE","FY 2023","FY 2023","Currency=USD","Period=FY","BEST_FPERIOD_OVERRIDE=FY","FILING_STATUS=MR","SCALING_FORMAT=MLN","Sort=A","Dates=H","DateFormat=P","Fill=—","Direction=H","UseDPDF=Y")</f>
        <v>#NAME?</v>
      </c>
    </row>
    <row r="15" spans="1:8">
      <c r="A15" s="1058" t="s">
        <v>490</v>
      </c>
      <c r="B15" s="1058" t="s">
        <v>491</v>
      </c>
      <c r="C15" s="1059" t="e">
        <f ca="1">BDH("BMBL US Equity","ARD_CHANGE_IN_ACCRUED_EXP","FY 2018","FY 2018","Currency=USD","Period=FY","BEST_FPERIOD_OVERRIDE=FY","FILING_STATUS=MR","SCALING_FORMAT=MLN","Sort=A","Dates=H","DateFormat=P","Fill=—","Direction=H","UseDPDF=Y")</f>
        <v>#NAME?</v>
      </c>
      <c r="D15" s="1059" t="e">
        <f ca="1">BDH("BMBL US Equity","ARD_CHANGE_IN_ACCRUED_EXP","FY 2019","FY 2019","Currency=USD","Period=FY","BEST_FPERIOD_OVERRIDE=FY","FILING_STATUS=MR","SCALING_FORMAT=MLN","Sort=A","Dates=H","DateFormat=P","Fill=—","Direction=H","UseDPDF=Y")</f>
        <v>#NAME?</v>
      </c>
      <c r="E15" s="1059" t="e">
        <f ca="1">BDH("BMBL US Equity","ARD_CHANGE_IN_ACCRUED_EXP","FY 2020","FY 2020","Currency=USD","Period=FY","BEST_FPERIOD_OVERRIDE=FY","FILING_STATUS=MR","SCALING_FORMAT=MLN","Sort=A","Dates=H","DateFormat=P","Fill=—","Direction=H","UseDPDF=Y")</f>
        <v>#NAME?</v>
      </c>
      <c r="F15" s="1059" t="e">
        <f ca="1">BDH("BMBL US Equity","ARD_CHANGE_IN_ACCRUED_EXP","FY 2021","FY 2021","Currency=USD","Period=FY","BEST_FPERIOD_OVERRIDE=FY","FILING_STATUS=MR","SCALING_FORMAT=MLN","Sort=A","Dates=H","DateFormat=P","Fill=—","Direction=H","UseDPDF=Y")</f>
        <v>#NAME?</v>
      </c>
      <c r="G15" s="1059" t="e">
        <f ca="1">BDH("BMBL US Equity","ARD_CHANGE_IN_ACCRUED_EXP","FY 2022","FY 2022","Currency=USD","Period=FY","BEST_FPERIOD_OVERRIDE=FY","FILING_STATUS=MR","SCALING_FORMAT=MLN","Sort=A","Dates=H","DateFormat=P","Fill=—","Direction=H","UseDPDF=Y")</f>
        <v>#NAME?</v>
      </c>
      <c r="H15" s="1059" t="e">
        <f ca="1">BDH("BMBL US Equity","ARD_CHANGE_IN_ACCRUED_EXP","FY 2023","FY 2023","Currency=USD","Period=FY","BEST_FPERIOD_OVERRIDE=FY","FILING_STATUS=MR","SCALING_FORMAT=MLN","Sort=A","Dates=H","DateFormat=P","Fill=—","Direction=H","UseDPDF=Y")</f>
        <v>#NAME?</v>
      </c>
    </row>
    <row r="16" spans="1:8">
      <c r="A16" s="1058" t="s">
        <v>492</v>
      </c>
      <c r="B16" s="1058" t="s">
        <v>493</v>
      </c>
      <c r="C16" s="1059" t="e">
        <f ca="1">BDH("BMBL US Equity","ARD_CHG_IN_DEF_UNEARN_REVENUE_ST","FY 2018","FY 2018","Currency=USD","Period=FY","BEST_FPERIOD_OVERRIDE=FY","FILING_STATUS=MR","SCALING_FORMAT=MLN","Sort=A","Dates=H","DateFormat=P","Fill=—","Direction=H","UseDPDF=Y")</f>
        <v>#NAME?</v>
      </c>
      <c r="D16" s="1059" t="e">
        <f ca="1">BDH("BMBL US Equity","ARD_CHG_IN_DEF_UNEARN_REVENUE_ST","FY 2019","FY 2019","Currency=USD","Period=FY","BEST_FPERIOD_OVERRIDE=FY","FILING_STATUS=MR","SCALING_FORMAT=MLN","Sort=A","Dates=H","DateFormat=P","Fill=—","Direction=H","UseDPDF=Y")</f>
        <v>#NAME?</v>
      </c>
      <c r="E16" s="1059" t="e">
        <f ca="1">BDH("BMBL US Equity","ARD_CHG_IN_DEF_UNEARN_REVENUE_ST","FY 2020","FY 2020","Currency=USD","Period=FY","BEST_FPERIOD_OVERRIDE=FY","FILING_STATUS=MR","SCALING_FORMAT=MLN","Sort=A","Dates=H","DateFormat=P","Fill=—","Direction=H","UseDPDF=Y")</f>
        <v>#NAME?</v>
      </c>
      <c r="F16" s="1059" t="e">
        <f ca="1">BDH("BMBL US Equity","ARD_CHG_IN_DEF_UNEARN_REVENUE_ST","FY 2021","FY 2021","Currency=USD","Period=FY","BEST_FPERIOD_OVERRIDE=FY","FILING_STATUS=MR","SCALING_FORMAT=MLN","Sort=A","Dates=H","DateFormat=P","Fill=—","Direction=H","UseDPDF=Y")</f>
        <v>#NAME?</v>
      </c>
      <c r="G16" s="1059" t="e">
        <f ca="1">BDH("BMBL US Equity","ARD_CHG_IN_DEF_UNEARN_REVENUE_ST","FY 2022","FY 2022","Currency=USD","Period=FY","BEST_FPERIOD_OVERRIDE=FY","FILING_STATUS=MR","SCALING_FORMAT=MLN","Sort=A","Dates=H","DateFormat=P","Fill=—","Direction=H","UseDPDF=Y")</f>
        <v>#NAME?</v>
      </c>
      <c r="H16" s="1059" t="e">
        <f ca="1">BDH("BMBL US Equity","ARD_CHG_IN_DEF_UNEARN_REVENUE_ST","FY 2023","FY 2023","Currency=USD","Period=FY","BEST_FPERIOD_OVERRIDE=FY","FILING_STATUS=MR","SCALING_FORMAT=MLN","Sort=A","Dates=H","DateFormat=P","Fill=—","Direction=H","UseDPDF=Y")</f>
        <v>#NAME?</v>
      </c>
    </row>
    <row r="17" spans="1:8">
      <c r="A17" s="1058" t="s">
        <v>494</v>
      </c>
      <c r="B17" s="1058" t="s">
        <v>495</v>
      </c>
      <c r="C17" s="1059" t="e">
        <f ca="1">BDH("BMBL US Equity","ARD_CHANGE_IN_OTHER_CUR_ASSETS","FY 2018","FY 2018","Currency=USD","Period=FY","BEST_FPERIOD_OVERRIDE=FY","FILING_STATUS=MR","SCALING_FORMAT=MLN","Sort=A","Dates=H","DateFormat=P","Fill=—","Direction=H","UseDPDF=Y")</f>
        <v>#NAME?</v>
      </c>
      <c r="D17" s="1059" t="e">
        <f ca="1">BDH("BMBL US Equity","ARD_CHANGE_IN_OTHER_CUR_ASSETS","FY 2019","FY 2019","Currency=USD","Period=FY","BEST_FPERIOD_OVERRIDE=FY","FILING_STATUS=MR","SCALING_FORMAT=MLN","Sort=A","Dates=H","DateFormat=P","Fill=—","Direction=H","UseDPDF=Y")</f>
        <v>#NAME?</v>
      </c>
      <c r="E17" s="1059" t="e">
        <f ca="1">BDH("BMBL US Equity","ARD_CHANGE_IN_OTHER_CUR_ASSETS","FY 2020","FY 2020","Currency=USD","Period=FY","BEST_FPERIOD_OVERRIDE=FY","FILING_STATUS=MR","SCALING_FORMAT=MLN","Sort=A","Dates=H","DateFormat=P","Fill=—","Direction=H","UseDPDF=Y")</f>
        <v>#NAME?</v>
      </c>
      <c r="F17" s="1059" t="e">
        <f ca="1">BDH("BMBL US Equity","ARD_CHANGE_IN_OTHER_CUR_ASSETS","FY 2021","FY 2021","Currency=USD","Period=FY","BEST_FPERIOD_OVERRIDE=FY","FILING_STATUS=MR","SCALING_FORMAT=MLN","Sort=A","Dates=H","DateFormat=P","Fill=—","Direction=H","UseDPDF=Y")</f>
        <v>#NAME?</v>
      </c>
      <c r="G17" s="1059" t="e">
        <f ca="1">BDH("BMBL US Equity","ARD_CHANGE_IN_OTHER_CUR_ASSETS","FY 2022","FY 2022","Currency=USD","Period=FY","BEST_FPERIOD_OVERRIDE=FY","FILING_STATUS=MR","SCALING_FORMAT=MLN","Sort=A","Dates=H","DateFormat=P","Fill=—","Direction=H","UseDPDF=Y")</f>
        <v>#NAME?</v>
      </c>
      <c r="H17" s="1059" t="e">
        <f ca="1">BDH("BMBL US Equity","ARD_CHANGE_IN_OTHER_CUR_ASSETS","FY 2023","FY 2023","Currency=USD","Period=FY","BEST_FPERIOD_OVERRIDE=FY","FILING_STATUS=MR","SCALING_FORMAT=MLN","Sort=A","Dates=H","DateFormat=P","Fill=—","Direction=H","UseDPDF=Y")</f>
        <v>#NAME?</v>
      </c>
    </row>
    <row r="18" spans="1:8">
      <c r="A18" s="1058" t="s">
        <v>496</v>
      </c>
      <c r="B18" s="1058" t="s">
        <v>497</v>
      </c>
      <c r="C18" s="1059" t="e">
        <f ca="1">BDH("BMBL US Equity","ARD_CHG_IN_OTHER_CURRENT_LIAB","FY 2018","FY 2018","Currency=USD","Period=FY","BEST_FPERIOD_OVERRIDE=FY","FILING_STATUS=MR","SCALING_FORMAT=MLN","Sort=A","Dates=H","DateFormat=P","Fill=—","Direction=H","UseDPDF=Y")</f>
        <v>#NAME?</v>
      </c>
      <c r="D18" s="1059" t="e">
        <f ca="1">BDH("BMBL US Equity","ARD_CHG_IN_OTHER_CURRENT_LIAB","FY 2019","FY 2019","Currency=USD","Period=FY","BEST_FPERIOD_OVERRIDE=FY","FILING_STATUS=MR","SCALING_FORMAT=MLN","Sort=A","Dates=H","DateFormat=P","Fill=—","Direction=H","UseDPDF=Y")</f>
        <v>#NAME?</v>
      </c>
      <c r="E18" s="1059" t="e">
        <f ca="1">BDH("BMBL US Equity","ARD_CHG_IN_OTHER_CURRENT_LIAB","FY 2020","FY 2020","Currency=USD","Period=FY","BEST_FPERIOD_OVERRIDE=FY","FILING_STATUS=MR","SCALING_FORMAT=MLN","Sort=A","Dates=H","DateFormat=P","Fill=—","Direction=H","UseDPDF=Y")</f>
        <v>#NAME?</v>
      </c>
      <c r="F18" s="1059" t="e">
        <f ca="1">BDH("BMBL US Equity","ARD_CHG_IN_OTHER_CURRENT_LIAB","FY 2021","FY 2021","Currency=USD","Period=FY","BEST_FPERIOD_OVERRIDE=FY","FILING_STATUS=MR","SCALING_FORMAT=MLN","Sort=A","Dates=H","DateFormat=P","Fill=—","Direction=H","UseDPDF=Y")</f>
        <v>#NAME?</v>
      </c>
      <c r="G18" s="1059" t="e">
        <f ca="1">BDH("BMBL US Equity","ARD_CHG_IN_OTHER_CURRENT_LIAB","FY 2022","FY 2022","Currency=USD","Period=FY","BEST_FPERIOD_OVERRIDE=FY","FILING_STATUS=MR","SCALING_FORMAT=MLN","Sort=A","Dates=H","DateFormat=P","Fill=—","Direction=H","UseDPDF=Y")</f>
        <v>#NAME?</v>
      </c>
      <c r="H18" s="1059" t="e">
        <f ca="1">BDH("BMBL US Equity","ARD_CHG_IN_OTHER_CURRENT_LIAB","FY 2023","FY 2023","Currency=USD","Period=FY","BEST_FPERIOD_OVERRIDE=FY","FILING_STATUS=MR","SCALING_FORMAT=MLN","Sort=A","Dates=H","DateFormat=P","Fill=—","Direction=H","UseDPDF=Y")</f>
        <v>#NAME?</v>
      </c>
    </row>
    <row r="19" spans="1:8">
      <c r="A19" s="1058" t="s">
        <v>498</v>
      </c>
      <c r="B19" s="1058" t="s">
        <v>499</v>
      </c>
      <c r="C19" s="1059" t="e">
        <f ca="1">BDH("BMBL US Equity","ARD_IMPAIRMENTS","FY 2018","FY 2018","Currency=USD","Period=FY","BEST_FPERIOD_OVERRIDE=FY","FILING_STATUS=MR","SCALING_FORMAT=MLN","Sort=A","Dates=H","DateFormat=P","Fill=—","Direction=H","UseDPDF=Y")</f>
        <v>#NAME?</v>
      </c>
      <c r="D19" s="1059" t="e">
        <f ca="1">BDH("BMBL US Equity","ARD_IMPAIRMENTS","FY 2019","FY 2019","Currency=USD","Period=FY","BEST_FPERIOD_OVERRIDE=FY","FILING_STATUS=MR","SCALING_FORMAT=MLN","Sort=A","Dates=H","DateFormat=P","Fill=—","Direction=H","UseDPDF=Y")</f>
        <v>#NAME?</v>
      </c>
      <c r="E19" s="1059" t="e">
        <f ca="1">BDH("BMBL US Equity","ARD_IMPAIRMENTS","FY 2020","FY 2020","Currency=USD","Period=FY","BEST_FPERIOD_OVERRIDE=FY","FILING_STATUS=MR","SCALING_FORMAT=MLN","Sort=A","Dates=H","DateFormat=P","Fill=—","Direction=H","UseDPDF=Y")</f>
        <v>#NAME?</v>
      </c>
      <c r="F19" s="1059" t="e">
        <f ca="1">BDH("BMBL US Equity","ARD_IMPAIRMENTS","FY 2021","FY 2021","Currency=USD","Period=FY","BEST_FPERIOD_OVERRIDE=FY","FILING_STATUS=MR","SCALING_FORMAT=MLN","Sort=A","Dates=H","DateFormat=P","Fill=—","Direction=H","UseDPDF=Y")</f>
        <v>#NAME?</v>
      </c>
      <c r="G19" s="1059" t="e">
        <f ca="1">BDH("BMBL US Equity","ARD_IMPAIRMENTS","FY 2022","FY 2022","Currency=USD","Period=FY","BEST_FPERIOD_OVERRIDE=FY","FILING_STATUS=MR","SCALING_FORMAT=MLN","Sort=A","Dates=H","DateFormat=P","Fill=—","Direction=H","UseDPDF=Y")</f>
        <v>#NAME?</v>
      </c>
      <c r="H19" s="1059" t="e">
        <f ca="1">BDH("BMBL US Equity","ARD_IMPAIRMENTS","FY 2023","FY 2023","Currency=USD","Period=FY","BEST_FPERIOD_OVERRIDE=FY","FILING_STATUS=MR","SCALING_FORMAT=MLN","Sort=A","Dates=H","DateFormat=P","Fill=—","Direction=H","UseDPDF=Y")</f>
        <v>#NAME?</v>
      </c>
    </row>
    <row r="20" spans="1:8">
      <c r="A20" s="1058" t="s">
        <v>500</v>
      </c>
      <c r="B20" s="1058" t="s">
        <v>501</v>
      </c>
      <c r="C20" s="1059" t="e">
        <f ca="1">BDH("BMBL US Equity","ARD_CHG_IN_OTHER_LIABILITES","FY 2018","FY 2018","Currency=USD","Period=FY","BEST_FPERIOD_OVERRIDE=FY","FILING_STATUS=MR","SCALING_FORMAT=MLN","Sort=A","Dates=H","DateFormat=P","Fill=—","Direction=H","UseDPDF=Y")</f>
        <v>#NAME?</v>
      </c>
      <c r="D20" s="1059" t="e">
        <f ca="1">BDH("BMBL US Equity","ARD_CHG_IN_OTHER_LIABILITES","FY 2019","FY 2019","Currency=USD","Period=FY","BEST_FPERIOD_OVERRIDE=FY","FILING_STATUS=MR","SCALING_FORMAT=MLN","Sort=A","Dates=H","DateFormat=P","Fill=—","Direction=H","UseDPDF=Y")</f>
        <v>#NAME?</v>
      </c>
      <c r="E20" s="1059" t="e">
        <f ca="1">BDH("BMBL US Equity","ARD_CHG_IN_OTHER_LIABILITES","FY 2020","FY 2020","Currency=USD","Period=FY","BEST_FPERIOD_OVERRIDE=FY","FILING_STATUS=MR","SCALING_FORMAT=MLN","Sort=A","Dates=H","DateFormat=P","Fill=—","Direction=H","UseDPDF=Y")</f>
        <v>#NAME?</v>
      </c>
      <c r="F20" s="1059" t="e">
        <f ca="1">BDH("BMBL US Equity","ARD_CHG_IN_OTHER_LIABILITES","FY 2021","FY 2021","Currency=USD","Period=FY","BEST_FPERIOD_OVERRIDE=FY","FILING_STATUS=MR","SCALING_FORMAT=MLN","Sort=A","Dates=H","DateFormat=P","Fill=—","Direction=H","UseDPDF=Y")</f>
        <v>#NAME?</v>
      </c>
      <c r="G20" s="1059" t="e">
        <f ca="1">BDH("BMBL US Equity","ARD_CHG_IN_OTHER_LIABILITES","FY 2022","FY 2022","Currency=USD","Period=FY","BEST_FPERIOD_OVERRIDE=FY","FILING_STATUS=MR","SCALING_FORMAT=MLN","Sort=A","Dates=H","DateFormat=P","Fill=—","Direction=H","UseDPDF=Y")</f>
        <v>#NAME?</v>
      </c>
      <c r="H20" s="1059" t="e">
        <f ca="1">BDH("BMBL US Equity","ARD_CHG_IN_OTHER_LIABILITES","FY 2023","FY 2023","Currency=USD","Period=FY","BEST_FPERIOD_OVERRIDE=FY","FILING_STATUS=MR","SCALING_FORMAT=MLN","Sort=A","Dates=H","DateFormat=P","Fill=—","Direction=H","UseDPDF=Y")</f>
        <v>#NAME?</v>
      </c>
    </row>
    <row r="21" spans="1:8">
      <c r="A21" s="1058" t="s">
        <v>502</v>
      </c>
      <c r="B21" s="1058" t="s">
        <v>503</v>
      </c>
      <c r="C21" s="1059" t="e">
        <f ca="1">BDH("BMBL US Equity","ARD_TOT_CASH_FLOWS_FROM_OPS","FY 2018","FY 2018","Currency=USD","Period=FY","BEST_FPERIOD_OVERRIDE=FY","FILING_STATUS=MR","SCALING_FORMAT=MLN","Sort=A","Dates=H","DateFormat=P","Fill=—","Direction=H","UseDPDF=Y")</f>
        <v>#NAME?</v>
      </c>
      <c r="D21" s="1059" t="e">
        <f ca="1">BDH("BMBL US Equity","ARD_TOT_CASH_FLOWS_FROM_OPS","FY 2019","FY 2019","Currency=USD","Period=FY","BEST_FPERIOD_OVERRIDE=FY","FILING_STATUS=MR","SCALING_FORMAT=MLN","Sort=A","Dates=H","DateFormat=P","Fill=—","Direction=H","UseDPDF=Y")</f>
        <v>#NAME?</v>
      </c>
      <c r="E21" s="1059" t="e">
        <f ca="1">BDH("BMBL US Equity","ARD_TOT_CASH_FLOWS_FROM_OPS","FY 2020","FY 2020","Currency=USD","Period=FY","BEST_FPERIOD_OVERRIDE=FY","FILING_STATUS=MR","SCALING_FORMAT=MLN","Sort=A","Dates=H","DateFormat=P","Fill=—","Direction=H","UseDPDF=Y")</f>
        <v>#NAME?</v>
      </c>
      <c r="F21" s="1059" t="e">
        <f ca="1">BDH("BMBL US Equity","ARD_TOT_CASH_FLOWS_FROM_OPS","FY 2021","FY 2021","Currency=USD","Period=FY","BEST_FPERIOD_OVERRIDE=FY","FILING_STATUS=MR","SCALING_FORMAT=MLN","Sort=A","Dates=H","DateFormat=P","Fill=—","Direction=H","UseDPDF=Y")</f>
        <v>#NAME?</v>
      </c>
      <c r="G21" s="1059" t="e">
        <f ca="1">BDH("BMBL US Equity","ARD_TOT_CASH_FLOWS_FROM_OPS","FY 2022","FY 2022","Currency=USD","Period=FY","BEST_FPERIOD_OVERRIDE=FY","FILING_STATUS=MR","SCALING_FORMAT=MLN","Sort=A","Dates=H","DateFormat=P","Fill=—","Direction=H","UseDPDF=Y")</f>
        <v>#NAME?</v>
      </c>
      <c r="H21" s="1059" t="e">
        <f ca="1">BDH("BMBL US Equity","ARD_TOT_CASH_FLOWS_FROM_OPS","FY 2023","FY 2023","Currency=USD","Period=FY","BEST_FPERIOD_OVERRIDE=FY","FILING_STATUS=MR","SCALING_FORMAT=MLN","Sort=A","Dates=H","DateFormat=P","Fill=—","Direction=H","UseDPDF=Y")</f>
        <v>#NAME?</v>
      </c>
    </row>
    <row r="22" spans="1:8">
      <c r="A22" s="1058" t="s">
        <v>504</v>
      </c>
      <c r="B22" s="1058" t="s">
        <v>505</v>
      </c>
      <c r="C22" s="1059" t="e">
        <f ca="1">BDH("BMBL US Equity","ARD_CHG_OTH_ASSETS_LIAB","FY 2018","FY 2018","Currency=USD","Period=FY","BEST_FPERIOD_OVERRIDE=FY","FILING_STATUS=MR","SCALING_FORMAT=MLN","Sort=A","Dates=H","DateFormat=P","Fill=—","Direction=H","UseDPDF=Y")</f>
        <v>#NAME?</v>
      </c>
      <c r="D22" s="1059" t="e">
        <f ca="1">BDH("BMBL US Equity","ARD_CHG_OTH_ASSETS_LIAB","FY 2019","FY 2019","Currency=USD","Period=FY","BEST_FPERIOD_OVERRIDE=FY","FILING_STATUS=MR","SCALING_FORMAT=MLN","Sort=A","Dates=H","DateFormat=P","Fill=—","Direction=H","UseDPDF=Y")</f>
        <v>#NAME?</v>
      </c>
      <c r="E22" s="1059" t="e">
        <f ca="1">BDH("BMBL US Equity","ARD_CHG_OTH_ASSETS_LIAB","FY 2020","FY 2020","Currency=USD","Period=FY","BEST_FPERIOD_OVERRIDE=FY","FILING_STATUS=MR","SCALING_FORMAT=MLN","Sort=A","Dates=H","DateFormat=P","Fill=—","Direction=H","UseDPDF=Y")</f>
        <v>#NAME?</v>
      </c>
      <c r="F22" s="1059" t="e">
        <f ca="1">BDH("BMBL US Equity","ARD_CHG_OTH_ASSETS_LIAB","FY 2021","FY 2021","Currency=USD","Period=FY","BEST_FPERIOD_OVERRIDE=FY","FILING_STATUS=MR","SCALING_FORMAT=MLN","Sort=A","Dates=H","DateFormat=P","Fill=—","Direction=H","UseDPDF=Y")</f>
        <v>#NAME?</v>
      </c>
      <c r="G22" s="1059" t="e">
        <f ca="1">BDH("BMBL US Equity","ARD_CHG_OTH_ASSETS_LIAB","FY 2022","FY 2022","Currency=USD","Period=FY","BEST_FPERIOD_OVERRIDE=FY","FILING_STATUS=MR","SCALING_FORMAT=MLN","Sort=A","Dates=H","DateFormat=P","Fill=—","Direction=H","UseDPDF=Y")</f>
        <v>#NAME?</v>
      </c>
      <c r="H22" s="1059" t="e">
        <f ca="1">BDH("BMBL US Equity","ARD_CHG_OTH_ASSETS_LIAB","FY 2023","FY 2023","Currency=USD","Period=FY","BEST_FPERIOD_OVERRIDE=FY","FILING_STATUS=MR","SCALING_FORMAT=MLN","Sort=A","Dates=H","DateFormat=P","Fill=—","Direction=H","UseDPDF=Y")</f>
        <v>#NAME?</v>
      </c>
    </row>
    <row r="23" spans="1:8">
      <c r="A23" s="1058" t="s">
        <v>506</v>
      </c>
      <c r="B23" s="1058" t="s">
        <v>507</v>
      </c>
      <c r="C23" s="1059" t="e">
        <f ca="1">BDH("BMBL US Equity","ARD_GL_ON_EARLY_EXT_OF_DEBT","FY 2018","FY 2018","Currency=USD","Period=FY","BEST_FPERIOD_OVERRIDE=FY","FILING_STATUS=MR","SCALING_FORMAT=MLN","Sort=A","Dates=H","DateFormat=P","Fill=—","Direction=H","UseDPDF=Y")</f>
        <v>#NAME?</v>
      </c>
      <c r="D23" s="1059" t="e">
        <f ca="1">BDH("BMBL US Equity","ARD_GL_ON_EARLY_EXT_OF_DEBT","FY 2019","FY 2019","Currency=USD","Period=FY","BEST_FPERIOD_OVERRIDE=FY","FILING_STATUS=MR","SCALING_FORMAT=MLN","Sort=A","Dates=H","DateFormat=P","Fill=—","Direction=H","UseDPDF=Y")</f>
        <v>#NAME?</v>
      </c>
      <c r="E23" s="1059" t="e">
        <f ca="1">BDH("BMBL US Equity","ARD_GL_ON_EARLY_EXT_OF_DEBT","FY 2020","FY 2020","Currency=USD","Period=FY","BEST_FPERIOD_OVERRIDE=FY","FILING_STATUS=MR","SCALING_FORMAT=MLN","Sort=A","Dates=H","DateFormat=P","Fill=—","Direction=H","UseDPDF=Y")</f>
        <v>#NAME?</v>
      </c>
      <c r="F23" s="1059" t="e">
        <f ca="1">BDH("BMBL US Equity","ARD_GL_ON_EARLY_EXT_OF_DEBT","FY 2021","FY 2021","Currency=USD","Period=FY","BEST_FPERIOD_OVERRIDE=FY","FILING_STATUS=MR","SCALING_FORMAT=MLN","Sort=A","Dates=H","DateFormat=P","Fill=—","Direction=H","UseDPDF=Y")</f>
        <v>#NAME?</v>
      </c>
      <c r="G23" s="1059" t="e">
        <f ca="1">BDH("BMBL US Equity","ARD_GL_ON_EARLY_EXT_OF_DEBT","FY 2022","FY 2022","Currency=USD","Period=FY","BEST_FPERIOD_OVERRIDE=FY","FILING_STATUS=MR","SCALING_FORMAT=MLN","Sort=A","Dates=H","DateFormat=P","Fill=—","Direction=H","UseDPDF=Y")</f>
        <v>#NAME?</v>
      </c>
      <c r="H23" s="1059" t="e">
        <f ca="1">BDH("BMBL US Equity","ARD_GL_ON_EARLY_EXT_OF_DEBT","FY 2023","FY 2023","Currency=USD","Period=FY","BEST_FPERIOD_OVERRIDE=FY","FILING_STATUS=MR","SCALING_FORMAT=MLN","Sort=A","Dates=H","DateFormat=P","Fill=—","Direction=H","UseDPDF=Y")</f>
        <v>#NAME?</v>
      </c>
    </row>
    <row r="24" spans="1:8">
      <c r="A24" s="1058" t="s">
        <v>508</v>
      </c>
      <c r="B24" s="1058" t="s">
        <v>509</v>
      </c>
      <c r="C24" s="1059" t="e">
        <f ca="1">BDH("BMBL US Equity","ARD_FOREIGN_EXCHANGE_GAIN_LOSS","FY 2018","FY 2018","Currency=USD","Period=FY","BEST_FPERIOD_OVERRIDE=FY","FILING_STATUS=MR","SCALING_FORMAT=MLN","Sort=A","Dates=H","DateFormat=P","Fill=—","Direction=H","UseDPDF=Y")</f>
        <v>#NAME?</v>
      </c>
      <c r="D24" s="1059" t="e">
        <f ca="1">BDH("BMBL US Equity","ARD_FOREIGN_EXCHANGE_GAIN_LOSS","FY 2019","FY 2019","Currency=USD","Period=FY","BEST_FPERIOD_OVERRIDE=FY","FILING_STATUS=MR","SCALING_FORMAT=MLN","Sort=A","Dates=H","DateFormat=P","Fill=—","Direction=H","UseDPDF=Y")</f>
        <v>#NAME?</v>
      </c>
      <c r="E24" s="1059" t="e">
        <f ca="1">BDH("BMBL US Equity","ARD_FOREIGN_EXCHANGE_GAIN_LOSS","FY 2020","FY 2020","Currency=USD","Period=FY","BEST_FPERIOD_OVERRIDE=FY","FILING_STATUS=MR","SCALING_FORMAT=MLN","Sort=A","Dates=H","DateFormat=P","Fill=—","Direction=H","UseDPDF=Y")</f>
        <v>#NAME?</v>
      </c>
      <c r="F24" s="1059" t="e">
        <f ca="1">BDH("BMBL US Equity","ARD_FOREIGN_EXCHANGE_GAIN_LOSS","FY 2021","FY 2021","Currency=USD","Period=FY","BEST_FPERIOD_OVERRIDE=FY","FILING_STATUS=MR","SCALING_FORMAT=MLN","Sort=A","Dates=H","DateFormat=P","Fill=—","Direction=H","UseDPDF=Y")</f>
        <v>#NAME?</v>
      </c>
      <c r="G24" s="1059" t="e">
        <f ca="1">BDH("BMBL US Equity","ARD_FOREIGN_EXCHANGE_GAIN_LOSS","FY 2022","FY 2022","Currency=USD","Period=FY","BEST_FPERIOD_OVERRIDE=FY","FILING_STATUS=MR","SCALING_FORMAT=MLN","Sort=A","Dates=H","DateFormat=P","Fill=—","Direction=H","UseDPDF=Y")</f>
        <v>#NAME?</v>
      </c>
      <c r="H24" s="1059" t="e">
        <f ca="1">BDH("BMBL US Equity","ARD_FOREIGN_EXCHANGE_GAIN_LOSS","FY 2023","FY 2023","Currency=USD","Period=FY","BEST_FPERIOD_OVERRIDE=FY","FILING_STATUS=MR","SCALING_FORMAT=MLN","Sort=A","Dates=H","DateFormat=P","Fill=—","Direction=H","UseDPDF=Y")</f>
        <v>#NAME?</v>
      </c>
    </row>
    <row r="25" spans="1:8">
      <c r="A25" s="1058" t="s">
        <v>510</v>
      </c>
      <c r="B25" s="1058" t="s">
        <v>511</v>
      </c>
      <c r="C25" s="1059" t="e">
        <f ca="1">BDH("BMBL US Equity","ARD_TAX_PAID","FY 2018","FY 2018","Currency=USD","Period=FY","BEST_FPERIOD_OVERRIDE=FY","FILING_STATUS=MR","SCALING_FORMAT=MLN","Sort=A","Dates=H","DateFormat=P","Fill=—","Direction=H","UseDPDF=Y")</f>
        <v>#NAME?</v>
      </c>
      <c r="D25" s="1059" t="e">
        <f ca="1">BDH("BMBL US Equity","ARD_TAX_PAID","FY 2019","FY 2019","Currency=USD","Period=FY","BEST_FPERIOD_OVERRIDE=FY","FILING_STATUS=MR","SCALING_FORMAT=MLN","Sort=A","Dates=H","DateFormat=P","Fill=—","Direction=H","UseDPDF=Y")</f>
        <v>#NAME?</v>
      </c>
      <c r="E25" s="1059" t="e">
        <f ca="1">BDH("BMBL US Equity","ARD_TAX_PAID","FY 2020","FY 2020","Currency=USD","Period=FY","BEST_FPERIOD_OVERRIDE=FY","FILING_STATUS=MR","SCALING_FORMAT=MLN","Sort=A","Dates=H","DateFormat=P","Fill=—","Direction=H","UseDPDF=Y")</f>
        <v>#NAME?</v>
      </c>
      <c r="F25" s="1059" t="e">
        <f ca="1">BDH("BMBL US Equity","ARD_TAX_PAID","FY 2021","FY 2021","Currency=USD","Period=FY","BEST_FPERIOD_OVERRIDE=FY","FILING_STATUS=MR","SCALING_FORMAT=MLN","Sort=A","Dates=H","DateFormat=P","Fill=—","Direction=H","UseDPDF=Y")</f>
        <v>#NAME?</v>
      </c>
      <c r="G25" s="1059" t="e">
        <f ca="1">BDH("BMBL US Equity","ARD_TAX_PAID","FY 2022","FY 2022","Currency=USD","Period=FY","BEST_FPERIOD_OVERRIDE=FY","FILING_STATUS=MR","SCALING_FORMAT=MLN","Sort=A","Dates=H","DateFormat=P","Fill=—","Direction=H","UseDPDF=Y")</f>
        <v>#NAME?</v>
      </c>
      <c r="H25" s="1059" t="e">
        <f ca="1">BDH("BMBL US Equity","ARD_TAX_PAID","FY 2023","FY 2023","Currency=USD","Period=FY","BEST_FPERIOD_OVERRIDE=FY","FILING_STATUS=MR","SCALING_FORMAT=MLN","Sort=A","Dates=H","DateFormat=P","Fill=—","Direction=H","UseDPDF=Y")</f>
        <v>#NAME?</v>
      </c>
    </row>
    <row r="26" spans="1:8">
      <c r="A26" s="1058"/>
      <c r="B26" s="1058"/>
      <c r="C26" s="1059"/>
      <c r="D26" s="1059"/>
      <c r="E26" s="1059"/>
      <c r="F26" s="1059"/>
      <c r="G26" s="1059"/>
      <c r="H26" s="1059"/>
    </row>
    <row r="27" spans="1:8">
      <c r="A27" s="1058" t="s">
        <v>512</v>
      </c>
      <c r="B27" s="1060"/>
      <c r="C27" s="1060"/>
      <c r="D27" s="1060"/>
      <c r="E27" s="1060"/>
      <c r="F27" s="1060"/>
      <c r="G27" s="1060"/>
      <c r="H27" s="1060"/>
    </row>
    <row r="28" spans="1:8">
      <c r="A28" s="1058" t="s">
        <v>513</v>
      </c>
      <c r="B28" s="1058" t="s">
        <v>514</v>
      </c>
      <c r="C28" s="1059" t="e">
        <f ca="1">BDH("BMBL US Equity","ARD_CAPITAL_EXPENDITURES","FY 2018","FY 2018","Currency=USD","Period=FY","BEST_FPERIOD_OVERRIDE=FY","FILING_STATUS=MR","SCALING_FORMAT=MLN","Sort=A","Dates=H","DateFormat=P","Fill=—","Direction=H","UseDPDF=Y")</f>
        <v>#NAME?</v>
      </c>
      <c r="D28" s="1059" t="e">
        <f ca="1">BDH("BMBL US Equity","ARD_CAPITAL_EXPENDITURES","FY 2019","FY 2019","Currency=USD","Period=FY","BEST_FPERIOD_OVERRIDE=FY","FILING_STATUS=MR","SCALING_FORMAT=MLN","Sort=A","Dates=H","DateFormat=P","Fill=—","Direction=H","UseDPDF=Y")</f>
        <v>#NAME?</v>
      </c>
      <c r="E28" s="1059" t="e">
        <f ca="1">BDH("BMBL US Equity","ARD_CAPITAL_EXPENDITURES","FY 2020","FY 2020","Currency=USD","Period=FY","BEST_FPERIOD_OVERRIDE=FY","FILING_STATUS=MR","SCALING_FORMAT=MLN","Sort=A","Dates=H","DateFormat=P","Fill=—","Direction=H","UseDPDF=Y")</f>
        <v>#NAME?</v>
      </c>
      <c r="F28" s="1059" t="e">
        <f ca="1">BDH("BMBL US Equity","ARD_CAPITAL_EXPENDITURES","FY 2021","FY 2021","Currency=USD","Period=FY","BEST_FPERIOD_OVERRIDE=FY","FILING_STATUS=MR","SCALING_FORMAT=MLN","Sort=A","Dates=H","DateFormat=P","Fill=—","Direction=H","UseDPDF=Y")</f>
        <v>#NAME?</v>
      </c>
      <c r="G28" s="1059" t="e">
        <f ca="1">BDH("BMBL US Equity","ARD_CAPITAL_EXPENDITURES","FY 2022","FY 2022","Currency=USD","Period=FY","BEST_FPERIOD_OVERRIDE=FY","FILING_STATUS=MR","SCALING_FORMAT=MLN","Sort=A","Dates=H","DateFormat=P","Fill=—","Direction=H","UseDPDF=Y")</f>
        <v>#NAME?</v>
      </c>
      <c r="H28" s="1059" t="e">
        <f ca="1">BDH("BMBL US Equity","ARD_CAPITAL_EXPENDITURES","FY 2023","FY 2023","Currency=USD","Period=FY","BEST_FPERIOD_OVERRIDE=FY","FILING_STATUS=MR","SCALING_FORMAT=MLN","Sort=A","Dates=H","DateFormat=P","Fill=—","Direction=H","UseDPDF=Y")</f>
        <v>#NAME?</v>
      </c>
    </row>
    <row r="29" spans="1:8">
      <c r="A29" s="1058" t="s">
        <v>515</v>
      </c>
      <c r="B29" s="1058" t="s">
        <v>516</v>
      </c>
      <c r="C29" s="1059" t="e">
        <f ca="1">BDH("BMBL US Equity","ARD_ACQUISITION_OF_BUSINESS","FY 2018","FY 2018","Currency=USD","Period=FY","BEST_FPERIOD_OVERRIDE=FY","FILING_STATUS=MR","SCALING_FORMAT=MLN","Sort=A","Dates=H","DateFormat=P","Fill=—","Direction=H","UseDPDF=Y")</f>
        <v>#NAME?</v>
      </c>
      <c r="D29" s="1059" t="e">
        <f ca="1">BDH("BMBL US Equity","ARD_ACQUISITION_OF_BUSINESS","FY 2019","FY 2019","Currency=USD","Period=FY","BEST_FPERIOD_OVERRIDE=FY","FILING_STATUS=MR","SCALING_FORMAT=MLN","Sort=A","Dates=H","DateFormat=P","Fill=—","Direction=H","UseDPDF=Y")</f>
        <v>#NAME?</v>
      </c>
      <c r="E29" s="1059" t="e">
        <f ca="1">BDH("BMBL US Equity","ARD_ACQUISITION_OF_BUSINESS","FY 2020","FY 2020","Currency=USD","Period=FY","BEST_FPERIOD_OVERRIDE=FY","FILING_STATUS=MR","SCALING_FORMAT=MLN","Sort=A","Dates=H","DateFormat=P","Fill=—","Direction=H","UseDPDF=Y")</f>
        <v>#NAME?</v>
      </c>
      <c r="F29" s="1059" t="e">
        <f ca="1">BDH("BMBL US Equity","ARD_ACQUISITION_OF_BUSINESS","FY 2021","FY 2021","Currency=USD","Period=FY","BEST_FPERIOD_OVERRIDE=FY","FILING_STATUS=MR","SCALING_FORMAT=MLN","Sort=A","Dates=H","DateFormat=P","Fill=—","Direction=H","UseDPDF=Y")</f>
        <v>#NAME?</v>
      </c>
      <c r="G29" s="1059" t="e">
        <f ca="1">BDH("BMBL US Equity","ARD_ACQUISITION_OF_BUSINESS","FY 2022","FY 2022","Currency=USD","Period=FY","BEST_FPERIOD_OVERRIDE=FY","FILING_STATUS=MR","SCALING_FORMAT=MLN","Sort=A","Dates=H","DateFormat=P","Fill=—","Direction=H","UseDPDF=Y")</f>
        <v>#NAME?</v>
      </c>
      <c r="H29" s="1059" t="e">
        <f ca="1">BDH("BMBL US Equity","ARD_ACQUISITION_OF_BUSINESS","FY 2023","FY 2023","Currency=USD","Period=FY","BEST_FPERIOD_OVERRIDE=FY","FILING_STATUS=MR","SCALING_FORMAT=MLN","Sort=A","Dates=H","DateFormat=P","Fill=—","Direction=H","UseDPDF=Y")</f>
        <v>#NAME?</v>
      </c>
    </row>
    <row r="30" spans="1:8">
      <c r="A30" s="1058" t="s">
        <v>517</v>
      </c>
      <c r="B30" s="1058" t="s">
        <v>518</v>
      </c>
      <c r="C30" s="1059" t="e">
        <f ca="1">BDH("BMBL US Equity","ARD_OTHER_INVESTING_ACTIVITIES","FY 2018","FY 2018","Currency=USD","Period=FY","BEST_FPERIOD_OVERRIDE=FY","FILING_STATUS=MR","SCALING_FORMAT=MLN","Sort=A","Dates=H","DateFormat=P","Fill=—","Direction=H","UseDPDF=Y")</f>
        <v>#NAME?</v>
      </c>
      <c r="D30" s="1059" t="e">
        <f ca="1">BDH("BMBL US Equity","ARD_OTHER_INVESTING_ACTIVITIES","FY 2019","FY 2019","Currency=USD","Period=FY","BEST_FPERIOD_OVERRIDE=FY","FILING_STATUS=MR","SCALING_FORMAT=MLN","Sort=A","Dates=H","DateFormat=P","Fill=—","Direction=H","UseDPDF=Y")</f>
        <v>#NAME?</v>
      </c>
      <c r="E30" s="1059" t="e">
        <f ca="1">BDH("BMBL US Equity","ARD_OTHER_INVESTING_ACTIVITIES","FY 2020","FY 2020","Currency=USD","Period=FY","BEST_FPERIOD_OVERRIDE=FY","FILING_STATUS=MR","SCALING_FORMAT=MLN","Sort=A","Dates=H","DateFormat=P","Fill=—","Direction=H","UseDPDF=Y")</f>
        <v>#NAME?</v>
      </c>
      <c r="F30" s="1059" t="e">
        <f ca="1">BDH("BMBL US Equity","ARD_OTHER_INVESTING_ACTIVITIES","FY 2021","FY 2021","Currency=USD","Period=FY","BEST_FPERIOD_OVERRIDE=FY","FILING_STATUS=MR","SCALING_FORMAT=MLN","Sort=A","Dates=H","DateFormat=P","Fill=—","Direction=H","UseDPDF=Y")</f>
        <v>#NAME?</v>
      </c>
      <c r="G30" s="1059" t="e">
        <f ca="1">BDH("BMBL US Equity","ARD_OTHER_INVESTING_ACTIVITIES","FY 2022","FY 2022","Currency=USD","Period=FY","BEST_FPERIOD_OVERRIDE=FY","FILING_STATUS=MR","SCALING_FORMAT=MLN","Sort=A","Dates=H","DateFormat=P","Fill=—","Direction=H","UseDPDF=Y")</f>
        <v>#NAME?</v>
      </c>
      <c r="H30" s="1059" t="e">
        <f ca="1">BDH("BMBL US Equity","ARD_OTHER_INVESTING_ACTIVITIES","FY 2023","FY 2023","Currency=USD","Period=FY","BEST_FPERIOD_OVERRIDE=FY","FILING_STATUS=MR","SCALING_FORMAT=MLN","Sort=A","Dates=H","DateFormat=P","Fill=—","Direction=H","UseDPDF=Y")</f>
        <v>#NAME?</v>
      </c>
    </row>
    <row r="31" spans="1:8">
      <c r="A31" s="1062" t="s">
        <v>519</v>
      </c>
      <c r="B31" s="1062" t="s">
        <v>520</v>
      </c>
      <c r="C31" s="1061" t="e">
        <f ca="1">BDH("BMBL US Equity","ARD_TOT_CASHFLOWS_FROM_INVESTING","FY 2018","FY 2018","Currency=USD","Period=FY","BEST_FPERIOD_OVERRIDE=FY","FILING_STATUS=MR","SCALING_FORMAT=MLN","Sort=A","Dates=H","DateFormat=P","Fill=—","Direction=H","UseDPDF=Y")</f>
        <v>#NAME?</v>
      </c>
      <c r="D31" s="1061" t="e">
        <f ca="1">BDH("BMBL US Equity","ARD_TOT_CASHFLOWS_FROM_INVESTING","FY 2019","FY 2019","Currency=USD","Period=FY","BEST_FPERIOD_OVERRIDE=FY","FILING_STATUS=MR","SCALING_FORMAT=MLN","Sort=A","Dates=H","DateFormat=P","Fill=—","Direction=H","UseDPDF=Y")</f>
        <v>#NAME?</v>
      </c>
      <c r="E31" s="1061" t="e">
        <f ca="1">BDH("BMBL US Equity","ARD_TOT_CASHFLOWS_FROM_INVESTING","FY 2020","FY 2020","Currency=USD","Period=FY","BEST_FPERIOD_OVERRIDE=FY","FILING_STATUS=MR","SCALING_FORMAT=MLN","Sort=A","Dates=H","DateFormat=P","Fill=—","Direction=H","UseDPDF=Y")</f>
        <v>#NAME?</v>
      </c>
      <c r="F31" s="1061" t="e">
        <f ca="1">BDH("BMBL US Equity","ARD_TOT_CASHFLOWS_FROM_INVESTING","FY 2021","FY 2021","Currency=USD","Period=FY","BEST_FPERIOD_OVERRIDE=FY","FILING_STATUS=MR","SCALING_FORMAT=MLN","Sort=A","Dates=H","DateFormat=P","Fill=—","Direction=H","UseDPDF=Y")</f>
        <v>#NAME?</v>
      </c>
      <c r="G31" s="1061" t="e">
        <f ca="1">BDH("BMBL US Equity","ARD_TOT_CASHFLOWS_FROM_INVESTING","FY 2022","FY 2022","Currency=USD","Period=FY","BEST_FPERIOD_OVERRIDE=FY","FILING_STATUS=MR","SCALING_FORMAT=MLN","Sort=A","Dates=H","DateFormat=P","Fill=—","Direction=H","UseDPDF=Y")</f>
        <v>#NAME?</v>
      </c>
      <c r="H31" s="1061" t="e">
        <f ca="1">BDH("BMBL US Equity","ARD_TOT_CASHFLOWS_FROM_INVESTING","FY 2023","FY 2023","Currency=USD","Period=FY","BEST_FPERIOD_OVERRIDE=FY","FILING_STATUS=MR","SCALING_FORMAT=MLN","Sort=A","Dates=H","DateFormat=P","Fill=—","Direction=H","UseDPDF=Y")</f>
        <v>#NAME?</v>
      </c>
    </row>
    <row r="32" spans="1:8">
      <c r="A32" s="1062"/>
      <c r="B32" s="1062"/>
      <c r="C32" s="1061"/>
      <c r="D32" s="1061"/>
      <c r="E32" s="1061"/>
      <c r="F32" s="1061"/>
      <c r="G32" s="1061"/>
      <c r="H32" s="1061"/>
    </row>
    <row r="33" spans="1:8">
      <c r="A33" s="1058" t="s">
        <v>521</v>
      </c>
      <c r="B33" s="1060"/>
      <c r="C33" s="1060"/>
      <c r="D33" s="1060"/>
      <c r="E33" s="1060"/>
      <c r="F33" s="1060"/>
      <c r="G33" s="1060"/>
      <c r="H33" s="1060"/>
    </row>
    <row r="34" spans="1:8">
      <c r="A34" s="1058" t="s">
        <v>522</v>
      </c>
      <c r="B34" s="1058" t="s">
        <v>523</v>
      </c>
      <c r="C34" s="1059" t="e">
        <f ca="1">BDH("BMBL US Equity","ARD_DIVIDEND_PD","FY 2018","FY 2018","Currency=USD","Period=FY","BEST_FPERIOD_OVERRIDE=FY","FILING_STATUS=MR","SCALING_FORMAT=MLN","Sort=A","Dates=H","DateFormat=P","Fill=—","Direction=H","UseDPDF=Y")</f>
        <v>#NAME?</v>
      </c>
      <c r="D34" s="1059" t="e">
        <f ca="1">BDH("BMBL US Equity","ARD_DIVIDEND_PD","FY 2019","FY 2019","Currency=USD","Period=FY","BEST_FPERIOD_OVERRIDE=FY","FILING_STATUS=MR","SCALING_FORMAT=MLN","Sort=A","Dates=H","DateFormat=P","Fill=—","Direction=H","UseDPDF=Y")</f>
        <v>#NAME?</v>
      </c>
      <c r="E34" s="1059" t="e">
        <f ca="1">BDH("BMBL US Equity","ARD_DIVIDEND_PD","FY 2020","FY 2020","Currency=USD","Period=FY","BEST_FPERIOD_OVERRIDE=FY","FILING_STATUS=MR","SCALING_FORMAT=MLN","Sort=A","Dates=H","DateFormat=P","Fill=—","Direction=H","UseDPDF=Y")</f>
        <v>#NAME?</v>
      </c>
      <c r="F34" s="1059" t="e">
        <f ca="1">BDH("BMBL US Equity","ARD_DIVIDEND_PD","FY 2021","FY 2021","Currency=USD","Period=FY","BEST_FPERIOD_OVERRIDE=FY","FILING_STATUS=MR","SCALING_FORMAT=MLN","Sort=A","Dates=H","DateFormat=P","Fill=—","Direction=H","UseDPDF=Y")</f>
        <v>#NAME?</v>
      </c>
      <c r="G34" s="1059" t="e">
        <f ca="1">BDH("BMBL US Equity","ARD_DIVIDEND_PD","FY 2022","FY 2022","Currency=USD","Period=FY","BEST_FPERIOD_OVERRIDE=FY","FILING_STATUS=MR","SCALING_FORMAT=MLN","Sort=A","Dates=H","DateFormat=P","Fill=—","Direction=H","UseDPDF=Y")</f>
        <v>#NAME?</v>
      </c>
      <c r="H34" s="1059" t="e">
        <f ca="1">BDH("BMBL US Equity","ARD_DIVIDEND_PD","FY 2023","FY 2023","Currency=USD","Period=FY","BEST_FPERIOD_OVERRIDE=FY","FILING_STATUS=MR","SCALING_FORMAT=MLN","Sort=A","Dates=H","DateFormat=P","Fill=—","Direction=H","UseDPDF=Y")</f>
        <v>#NAME?</v>
      </c>
    </row>
    <row r="35" spans="1:8">
      <c r="A35" s="1058" t="s">
        <v>524</v>
      </c>
      <c r="B35" s="1058" t="s">
        <v>525</v>
      </c>
      <c r="C35" s="1059" t="e">
        <f ca="1">BDH("BMBL US Equity","ARD_ISSUANCE_OF_COMMON_STOCK","FY 2018","FY 2018","Currency=USD","Period=FY","BEST_FPERIOD_OVERRIDE=FY","FILING_STATUS=MR","SCALING_FORMAT=MLN","Sort=A","Dates=H","DateFormat=P","Fill=—","Direction=H","UseDPDF=Y")</f>
        <v>#NAME?</v>
      </c>
      <c r="D35" s="1059" t="e">
        <f ca="1">BDH("BMBL US Equity","ARD_ISSUANCE_OF_COMMON_STOCK","FY 2019","FY 2019","Currency=USD","Period=FY","BEST_FPERIOD_OVERRIDE=FY","FILING_STATUS=MR","SCALING_FORMAT=MLN","Sort=A","Dates=H","DateFormat=P","Fill=—","Direction=H","UseDPDF=Y")</f>
        <v>#NAME?</v>
      </c>
      <c r="E35" s="1059" t="e">
        <f ca="1">BDH("BMBL US Equity","ARD_ISSUANCE_OF_COMMON_STOCK","FY 2020","FY 2020","Currency=USD","Period=FY","BEST_FPERIOD_OVERRIDE=FY","FILING_STATUS=MR","SCALING_FORMAT=MLN","Sort=A","Dates=H","DateFormat=P","Fill=—","Direction=H","UseDPDF=Y")</f>
        <v>#NAME?</v>
      </c>
      <c r="F35" s="1059" t="e">
        <f ca="1">BDH("BMBL US Equity","ARD_ISSUANCE_OF_COMMON_STOCK","FY 2021","FY 2021","Currency=USD","Period=FY","BEST_FPERIOD_OVERRIDE=FY","FILING_STATUS=MR","SCALING_FORMAT=MLN","Sort=A","Dates=H","DateFormat=P","Fill=—","Direction=H","UseDPDF=Y")</f>
        <v>#NAME?</v>
      </c>
      <c r="G35" s="1059" t="e">
        <f ca="1">BDH("BMBL US Equity","ARD_ISSUANCE_OF_COMMON_STOCK","FY 2022","FY 2022","Currency=USD","Period=FY","BEST_FPERIOD_OVERRIDE=FY","FILING_STATUS=MR","SCALING_FORMAT=MLN","Sort=A","Dates=H","DateFormat=P","Fill=—","Direction=H","UseDPDF=Y")</f>
        <v>#NAME?</v>
      </c>
      <c r="H35" s="1059" t="e">
        <f ca="1">BDH("BMBL US Equity","ARD_ISSUANCE_OF_COMMON_STOCK","FY 2023","FY 2023","Currency=USD","Period=FY","BEST_FPERIOD_OVERRIDE=FY","FILING_STATUS=MR","SCALING_FORMAT=MLN","Sort=A","Dates=H","DateFormat=P","Fill=—","Direction=H","UseDPDF=Y")</f>
        <v>#NAME?</v>
      </c>
    </row>
    <row r="36" spans="1:8">
      <c r="A36" s="1058" t="s">
        <v>526</v>
      </c>
      <c r="B36" s="1058" t="s">
        <v>527</v>
      </c>
      <c r="C36" s="1059" t="e">
        <f ca="1">BDH("BMBL US Equity","ARD_REPURCHASE_OF_COMMON_STOCK","FY 2018","FY 2018","Currency=USD","Period=FY","BEST_FPERIOD_OVERRIDE=FY","FILING_STATUS=MR","SCALING_FORMAT=MLN","Sort=A","Dates=H","DateFormat=P","Fill=—","Direction=H","UseDPDF=Y")</f>
        <v>#NAME?</v>
      </c>
      <c r="D36" s="1059" t="e">
        <f ca="1">BDH("BMBL US Equity","ARD_REPURCHASE_OF_COMMON_STOCK","FY 2019","FY 2019","Currency=USD","Period=FY","BEST_FPERIOD_OVERRIDE=FY","FILING_STATUS=MR","SCALING_FORMAT=MLN","Sort=A","Dates=H","DateFormat=P","Fill=—","Direction=H","UseDPDF=Y")</f>
        <v>#NAME?</v>
      </c>
      <c r="E36" s="1059" t="e">
        <f ca="1">BDH("BMBL US Equity","ARD_REPURCHASE_OF_COMMON_STOCK","FY 2020","FY 2020","Currency=USD","Period=FY","BEST_FPERIOD_OVERRIDE=FY","FILING_STATUS=MR","SCALING_FORMAT=MLN","Sort=A","Dates=H","DateFormat=P","Fill=—","Direction=H","UseDPDF=Y")</f>
        <v>#NAME?</v>
      </c>
      <c r="F36" s="1059" t="e">
        <f ca="1">BDH("BMBL US Equity","ARD_REPURCHASE_OF_COMMON_STOCK","FY 2021","FY 2021","Currency=USD","Period=FY","BEST_FPERIOD_OVERRIDE=FY","FILING_STATUS=MR","SCALING_FORMAT=MLN","Sort=A","Dates=H","DateFormat=P","Fill=—","Direction=H","UseDPDF=Y")</f>
        <v>#NAME?</v>
      </c>
      <c r="G36" s="1059" t="e">
        <f ca="1">BDH("BMBL US Equity","ARD_REPURCHASE_OF_COMMON_STOCK","FY 2022","FY 2022","Currency=USD","Period=FY","BEST_FPERIOD_OVERRIDE=FY","FILING_STATUS=MR","SCALING_FORMAT=MLN","Sort=A","Dates=H","DateFormat=P","Fill=—","Direction=H","UseDPDF=Y")</f>
        <v>#NAME?</v>
      </c>
      <c r="H36" s="1059" t="e">
        <f ca="1">BDH("BMBL US Equity","ARD_REPURCHASE_OF_COMMON_STOCK","FY 2023","FY 2023","Currency=USD","Period=FY","BEST_FPERIOD_OVERRIDE=FY","FILING_STATUS=MR","SCALING_FORMAT=MLN","Sort=A","Dates=H","DateFormat=P","Fill=—","Direction=H","UseDPDF=Y")</f>
        <v>#NAME?</v>
      </c>
    </row>
    <row r="37" spans="1:8">
      <c r="A37" s="1058" t="s">
        <v>528</v>
      </c>
      <c r="B37" s="1058" t="s">
        <v>529</v>
      </c>
      <c r="C37" s="1059" t="e">
        <f ca="1">BDH("BMBL US Equity","ARD_EFF_OF_EXCH_RATES_ON_CASH","FY 2018","FY 2018","Currency=USD","Period=FY","BEST_FPERIOD_OVERRIDE=FY","FILING_STATUS=MR","SCALING_FORMAT=MLN","Sort=A","Dates=H","DateFormat=P","Fill=—","Direction=H","UseDPDF=Y")</f>
        <v>#NAME?</v>
      </c>
      <c r="D37" s="1059" t="e">
        <f ca="1">BDH("BMBL US Equity","ARD_EFF_OF_EXCH_RATES_ON_CASH","FY 2019","FY 2019","Currency=USD","Period=FY","BEST_FPERIOD_OVERRIDE=FY","FILING_STATUS=MR","SCALING_FORMAT=MLN","Sort=A","Dates=H","DateFormat=P","Fill=—","Direction=H","UseDPDF=Y")</f>
        <v>#NAME?</v>
      </c>
      <c r="E37" s="1059" t="e">
        <f ca="1">BDH("BMBL US Equity","ARD_EFF_OF_EXCH_RATES_ON_CASH","FY 2020","FY 2020","Currency=USD","Period=FY","BEST_FPERIOD_OVERRIDE=FY","FILING_STATUS=MR","SCALING_FORMAT=MLN","Sort=A","Dates=H","DateFormat=P","Fill=—","Direction=H","UseDPDF=Y")</f>
        <v>#NAME?</v>
      </c>
      <c r="F37" s="1059" t="e">
        <f ca="1">BDH("BMBL US Equity","ARD_EFF_OF_EXCH_RATES_ON_CASH","FY 2021","FY 2021","Currency=USD","Period=FY","BEST_FPERIOD_OVERRIDE=FY","FILING_STATUS=MR","SCALING_FORMAT=MLN","Sort=A","Dates=H","DateFormat=P","Fill=—","Direction=H","UseDPDF=Y")</f>
        <v>#NAME?</v>
      </c>
      <c r="G37" s="1059" t="e">
        <f ca="1">BDH("BMBL US Equity","ARD_EFF_OF_EXCH_RATES_ON_CASH","FY 2022","FY 2022","Currency=USD","Period=FY","BEST_FPERIOD_OVERRIDE=FY","FILING_STATUS=MR","SCALING_FORMAT=MLN","Sort=A","Dates=H","DateFormat=P","Fill=—","Direction=H","UseDPDF=Y")</f>
        <v>#NAME?</v>
      </c>
      <c r="H37" s="1059" t="e">
        <f ca="1">BDH("BMBL US Equity","ARD_EFF_OF_EXCH_RATES_ON_CASH","FY 2023","FY 2023","Currency=USD","Period=FY","BEST_FPERIOD_OVERRIDE=FY","FILING_STATUS=MR","SCALING_FORMAT=MLN","Sort=A","Dates=H","DateFormat=P","Fill=—","Direction=H","UseDPDF=Y")</f>
        <v>#NAME?</v>
      </c>
    </row>
    <row r="38" spans="1:8">
      <c r="A38" s="1058" t="s">
        <v>530</v>
      </c>
      <c r="B38" s="1058" t="s">
        <v>531</v>
      </c>
      <c r="C38" s="1059" t="e">
        <f ca="1">BDH("BMBL US Equity","ARD_DEBT_FIN_ISSUANCE_COSTS","FY 2018","FY 2018","Currency=USD","Period=FY","BEST_FPERIOD_OVERRIDE=FY","FILING_STATUS=MR","SCALING_FORMAT=MLN","Sort=A","Dates=H","DateFormat=P","Fill=—","Direction=H","UseDPDF=Y")</f>
        <v>#NAME?</v>
      </c>
      <c r="D38" s="1059" t="e">
        <f ca="1">BDH("BMBL US Equity","ARD_DEBT_FIN_ISSUANCE_COSTS","FY 2019","FY 2019","Currency=USD","Period=FY","BEST_FPERIOD_OVERRIDE=FY","FILING_STATUS=MR","SCALING_FORMAT=MLN","Sort=A","Dates=H","DateFormat=P","Fill=—","Direction=H","UseDPDF=Y")</f>
        <v>#NAME?</v>
      </c>
      <c r="E38" s="1059" t="e">
        <f ca="1">BDH("BMBL US Equity","ARD_DEBT_FIN_ISSUANCE_COSTS","FY 2020","FY 2020","Currency=USD","Period=FY","BEST_FPERIOD_OVERRIDE=FY","FILING_STATUS=MR","SCALING_FORMAT=MLN","Sort=A","Dates=H","DateFormat=P","Fill=—","Direction=H","UseDPDF=Y")</f>
        <v>#NAME?</v>
      </c>
      <c r="F38" s="1059" t="e">
        <f ca="1">BDH("BMBL US Equity","ARD_DEBT_FIN_ISSUANCE_COSTS","FY 2021","FY 2021","Currency=USD","Period=FY","BEST_FPERIOD_OVERRIDE=FY","FILING_STATUS=MR","SCALING_FORMAT=MLN","Sort=A","Dates=H","DateFormat=P","Fill=—","Direction=H","UseDPDF=Y")</f>
        <v>#NAME?</v>
      </c>
      <c r="G38" s="1059" t="e">
        <f ca="1">BDH("BMBL US Equity","ARD_DEBT_FIN_ISSUANCE_COSTS","FY 2022","FY 2022","Currency=USD","Period=FY","BEST_FPERIOD_OVERRIDE=FY","FILING_STATUS=MR","SCALING_FORMAT=MLN","Sort=A","Dates=H","DateFormat=P","Fill=—","Direction=H","UseDPDF=Y")</f>
        <v>#NAME?</v>
      </c>
      <c r="H38" s="1059" t="e">
        <f ca="1">BDH("BMBL US Equity","ARD_DEBT_FIN_ISSUANCE_COSTS","FY 2023","FY 2023","Currency=USD","Period=FY","BEST_FPERIOD_OVERRIDE=FY","FILING_STATUS=MR","SCALING_FORMAT=MLN","Sort=A","Dates=H","DateFormat=P","Fill=—","Direction=H","UseDPDF=Y")</f>
        <v>#NAME?</v>
      </c>
    </row>
    <row r="39" spans="1:8">
      <c r="A39" s="1058" t="s">
        <v>532</v>
      </c>
      <c r="B39" s="1058" t="s">
        <v>533</v>
      </c>
      <c r="C39" s="1059" t="e">
        <f ca="1">BDH("BMBL US Equity","ARD_OTHER_FINANCING_ACTIVITIES","FY 2018","FY 2018","Currency=USD","Period=FY","BEST_FPERIOD_OVERRIDE=FY","FILING_STATUS=MR","SCALING_FORMAT=MLN","Sort=A","Dates=H","DateFormat=P","Fill=—","Direction=H","UseDPDF=Y")</f>
        <v>#NAME?</v>
      </c>
      <c r="D39" s="1059" t="e">
        <f ca="1">BDH("BMBL US Equity","ARD_OTHER_FINANCING_ACTIVITIES","FY 2019","FY 2019","Currency=USD","Period=FY","BEST_FPERIOD_OVERRIDE=FY","FILING_STATUS=MR","SCALING_FORMAT=MLN","Sort=A","Dates=H","DateFormat=P","Fill=—","Direction=H","UseDPDF=Y")</f>
        <v>#NAME?</v>
      </c>
      <c r="E39" s="1059" t="e">
        <f ca="1">BDH("BMBL US Equity","ARD_OTHER_FINANCING_ACTIVITIES","FY 2020","FY 2020","Currency=USD","Period=FY","BEST_FPERIOD_OVERRIDE=FY","FILING_STATUS=MR","SCALING_FORMAT=MLN","Sort=A","Dates=H","DateFormat=P","Fill=—","Direction=H","UseDPDF=Y")</f>
        <v>#NAME?</v>
      </c>
      <c r="F39" s="1059" t="e">
        <f ca="1">BDH("BMBL US Equity","ARD_OTHER_FINANCING_ACTIVITIES","FY 2021","FY 2021","Currency=USD","Period=FY","BEST_FPERIOD_OVERRIDE=FY","FILING_STATUS=MR","SCALING_FORMAT=MLN","Sort=A","Dates=H","DateFormat=P","Fill=—","Direction=H","UseDPDF=Y")</f>
        <v>#NAME?</v>
      </c>
      <c r="G39" s="1059" t="e">
        <f ca="1">BDH("BMBL US Equity","ARD_OTHER_FINANCING_ACTIVITIES","FY 2022","FY 2022","Currency=USD","Period=FY","BEST_FPERIOD_OVERRIDE=FY","FILING_STATUS=MR","SCALING_FORMAT=MLN","Sort=A","Dates=H","DateFormat=P","Fill=—","Direction=H","UseDPDF=Y")</f>
        <v>#NAME?</v>
      </c>
      <c r="H39" s="1059" t="e">
        <f ca="1">BDH("BMBL US Equity","ARD_OTHER_FINANCING_ACTIVITIES","FY 2023","FY 2023","Currency=USD","Period=FY","BEST_FPERIOD_OVERRIDE=FY","FILING_STATUS=MR","SCALING_FORMAT=MLN","Sort=A","Dates=H","DateFormat=P","Fill=—","Direction=H","UseDPDF=Y")</f>
        <v>#NAME?</v>
      </c>
    </row>
    <row r="40" spans="1:8">
      <c r="A40" s="1058" t="s">
        <v>534</v>
      </c>
      <c r="B40" s="1058" t="s">
        <v>535</v>
      </c>
      <c r="C40" s="1059" t="e">
        <f ca="1">BDH("BMBL US Equity","ARD_EXERCISE_OF_STOCK_OPTIONS","FY 2018","FY 2018","Currency=USD","Period=FY","BEST_FPERIOD_OVERRIDE=FY","FILING_STATUS=MR","SCALING_FORMAT=MLN","Sort=A","Dates=H","DateFormat=P","Fill=—","Direction=H","UseDPDF=Y")</f>
        <v>#NAME?</v>
      </c>
      <c r="D40" s="1059" t="e">
        <f ca="1">BDH("BMBL US Equity","ARD_EXERCISE_OF_STOCK_OPTIONS","FY 2019","FY 2019","Currency=USD","Period=FY","BEST_FPERIOD_OVERRIDE=FY","FILING_STATUS=MR","SCALING_FORMAT=MLN","Sort=A","Dates=H","DateFormat=P","Fill=—","Direction=H","UseDPDF=Y")</f>
        <v>#NAME?</v>
      </c>
      <c r="E40" s="1059" t="e">
        <f ca="1">BDH("BMBL US Equity","ARD_EXERCISE_OF_STOCK_OPTIONS","FY 2020","FY 2020","Currency=USD","Period=FY","BEST_FPERIOD_OVERRIDE=FY","FILING_STATUS=MR","SCALING_FORMAT=MLN","Sort=A","Dates=H","DateFormat=P","Fill=—","Direction=H","UseDPDF=Y")</f>
        <v>#NAME?</v>
      </c>
      <c r="F40" s="1059" t="e">
        <f ca="1">BDH("BMBL US Equity","ARD_EXERCISE_OF_STOCK_OPTIONS","FY 2021","FY 2021","Currency=USD","Period=FY","BEST_FPERIOD_OVERRIDE=FY","FILING_STATUS=MR","SCALING_FORMAT=MLN","Sort=A","Dates=H","DateFormat=P","Fill=—","Direction=H","UseDPDF=Y")</f>
        <v>#NAME?</v>
      </c>
      <c r="G40" s="1059" t="e">
        <f ca="1">BDH("BMBL US Equity","ARD_EXERCISE_OF_STOCK_OPTIONS","FY 2022","FY 2022","Currency=USD","Period=FY","BEST_FPERIOD_OVERRIDE=FY","FILING_STATUS=MR","SCALING_FORMAT=MLN","Sort=A","Dates=H","DateFormat=P","Fill=—","Direction=H","UseDPDF=Y")</f>
        <v>#NAME?</v>
      </c>
      <c r="H40" s="1059" t="e">
        <f ca="1">BDH("BMBL US Equity","ARD_EXERCISE_OF_STOCK_OPTIONS","FY 2023","FY 2023","Currency=USD","Period=FY","BEST_FPERIOD_OVERRIDE=FY","FILING_STATUS=MR","SCALING_FORMAT=MLN","Sort=A","Dates=H","DateFormat=P","Fill=—","Direction=H","UseDPDF=Y")</f>
        <v>#NAME?</v>
      </c>
    </row>
    <row r="41" spans="1:8">
      <c r="A41" s="1058" t="s">
        <v>536</v>
      </c>
      <c r="B41" s="1058" t="s">
        <v>537</v>
      </c>
      <c r="C41" s="1059" t="e">
        <f ca="1">BDH("BMBL US Equity","ARD_NET_CHANGE_IN_CASH","FY 2018","FY 2018","Currency=USD","Period=FY","BEST_FPERIOD_OVERRIDE=FY","FILING_STATUS=MR","SCALING_FORMAT=MLN","Sort=A","Dates=H","DateFormat=P","Fill=—","Direction=H","UseDPDF=Y")</f>
        <v>#NAME?</v>
      </c>
      <c r="D41" s="1059" t="e">
        <f ca="1">BDH("BMBL US Equity","ARD_NET_CHANGE_IN_CASH","FY 2019","FY 2019","Currency=USD","Period=FY","BEST_FPERIOD_OVERRIDE=FY","FILING_STATUS=MR","SCALING_FORMAT=MLN","Sort=A","Dates=H","DateFormat=P","Fill=—","Direction=H","UseDPDF=Y")</f>
        <v>#NAME?</v>
      </c>
      <c r="E41" s="1059" t="e">
        <f ca="1">BDH("BMBL US Equity","ARD_NET_CHANGE_IN_CASH","FY 2020","FY 2020","Currency=USD","Period=FY","BEST_FPERIOD_OVERRIDE=FY","FILING_STATUS=MR","SCALING_FORMAT=MLN","Sort=A","Dates=H","DateFormat=P","Fill=—","Direction=H","UseDPDF=Y")</f>
        <v>#NAME?</v>
      </c>
      <c r="F41" s="1059" t="e">
        <f ca="1">BDH("BMBL US Equity","ARD_NET_CHANGE_IN_CASH","FY 2021","FY 2021","Currency=USD","Period=FY","BEST_FPERIOD_OVERRIDE=FY","FILING_STATUS=MR","SCALING_FORMAT=MLN","Sort=A","Dates=H","DateFormat=P","Fill=—","Direction=H","UseDPDF=Y")</f>
        <v>#NAME?</v>
      </c>
      <c r="G41" s="1059" t="e">
        <f ca="1">BDH("BMBL US Equity","ARD_NET_CHANGE_IN_CASH","FY 2022","FY 2022","Currency=USD","Period=FY","BEST_FPERIOD_OVERRIDE=FY","FILING_STATUS=MR","SCALING_FORMAT=MLN","Sort=A","Dates=H","DateFormat=P","Fill=—","Direction=H","UseDPDF=Y")</f>
        <v>#NAME?</v>
      </c>
      <c r="H41" s="1059" t="e">
        <f ca="1">BDH("BMBL US Equity","ARD_NET_CHANGE_IN_CASH","FY 2023","FY 2023","Currency=USD","Period=FY","BEST_FPERIOD_OVERRIDE=FY","FILING_STATUS=MR","SCALING_FORMAT=MLN","Sort=A","Dates=H","DateFormat=P","Fill=—","Direction=H","UseDPDF=Y")</f>
        <v>#NAME?</v>
      </c>
    </row>
    <row r="42" spans="1:8">
      <c r="A42" s="1058" t="s">
        <v>538</v>
      </c>
      <c r="B42" s="1058" t="s">
        <v>539</v>
      </c>
      <c r="C42" s="1059" t="e">
        <f ca="1">BDH("BMBL US Equity","ARD_CASH_CASH_EQUIV_END_OF_PER","FY 2018","FY 2018","Currency=USD","Period=FY","BEST_FPERIOD_OVERRIDE=FY","FILING_STATUS=MR","SCALING_FORMAT=MLN","Sort=A","Dates=H","DateFormat=P","Fill=—","Direction=H","UseDPDF=Y")</f>
        <v>#NAME?</v>
      </c>
      <c r="D42" s="1059" t="e">
        <f ca="1">BDH("BMBL US Equity","ARD_CASH_CASH_EQUIV_END_OF_PER","FY 2019","FY 2019","Currency=USD","Period=FY","BEST_FPERIOD_OVERRIDE=FY","FILING_STATUS=MR","SCALING_FORMAT=MLN","Sort=A","Dates=H","DateFormat=P","Fill=—","Direction=H","UseDPDF=Y")</f>
        <v>#NAME?</v>
      </c>
      <c r="E42" s="1059" t="e">
        <f ca="1">BDH("BMBL US Equity","ARD_CASH_CASH_EQUIV_END_OF_PER","FY 2020","FY 2020","Currency=USD","Period=FY","BEST_FPERIOD_OVERRIDE=FY","FILING_STATUS=MR","SCALING_FORMAT=MLN","Sort=A","Dates=H","DateFormat=P","Fill=—","Direction=H","UseDPDF=Y")</f>
        <v>#NAME?</v>
      </c>
      <c r="F42" s="1059" t="e">
        <f ca="1">BDH("BMBL US Equity","ARD_CASH_CASH_EQUIV_END_OF_PER","FY 2021","FY 2021","Currency=USD","Period=FY","BEST_FPERIOD_OVERRIDE=FY","FILING_STATUS=MR","SCALING_FORMAT=MLN","Sort=A","Dates=H","DateFormat=P","Fill=—","Direction=H","UseDPDF=Y")</f>
        <v>#NAME?</v>
      </c>
      <c r="G42" s="1059" t="e">
        <f ca="1">BDH("BMBL US Equity","ARD_CASH_CASH_EQUIV_END_OF_PER","FY 2022","FY 2022","Currency=USD","Period=FY","BEST_FPERIOD_OVERRIDE=FY","FILING_STATUS=MR","SCALING_FORMAT=MLN","Sort=A","Dates=H","DateFormat=P","Fill=—","Direction=H","UseDPDF=Y")</f>
        <v>#NAME?</v>
      </c>
      <c r="H42" s="1059" t="e">
        <f ca="1">BDH("BMBL US Equity","ARD_CASH_CASH_EQUIV_END_OF_PER","FY 2023","FY 2023","Currency=USD","Period=FY","BEST_FPERIOD_OVERRIDE=FY","FILING_STATUS=MR","SCALING_FORMAT=MLN","Sort=A","Dates=H","DateFormat=P","Fill=—","Direction=H","UseDPDF=Y")</f>
        <v>#NAME?</v>
      </c>
    </row>
    <row r="43" spans="1:8">
      <c r="A43" s="1058" t="s">
        <v>540</v>
      </c>
      <c r="B43" s="1058" t="s">
        <v>541</v>
      </c>
      <c r="C43" s="1059" t="e">
        <f ca="1">BDH("BMBL US Equity","ARD_CASH_CASH_EQUIV_BEG_OF_PER","FY 2018","FY 2018","Currency=USD","Period=FY","BEST_FPERIOD_OVERRIDE=FY","FILING_STATUS=MR","SCALING_FORMAT=MLN","Sort=A","Dates=H","DateFormat=P","Fill=—","Direction=H","UseDPDF=Y")</f>
        <v>#NAME?</v>
      </c>
      <c r="D43" s="1059" t="e">
        <f ca="1">BDH("BMBL US Equity","ARD_CASH_CASH_EQUIV_BEG_OF_PER","FY 2019","FY 2019","Currency=USD","Period=FY","BEST_FPERIOD_OVERRIDE=FY","FILING_STATUS=MR","SCALING_FORMAT=MLN","Sort=A","Dates=H","DateFormat=P","Fill=—","Direction=H","UseDPDF=Y")</f>
        <v>#NAME?</v>
      </c>
      <c r="E43" s="1059" t="e">
        <f ca="1">BDH("BMBL US Equity","ARD_CASH_CASH_EQUIV_BEG_OF_PER","FY 2020","FY 2020","Currency=USD","Period=FY","BEST_FPERIOD_OVERRIDE=FY","FILING_STATUS=MR","SCALING_FORMAT=MLN","Sort=A","Dates=H","DateFormat=P","Fill=—","Direction=H","UseDPDF=Y")</f>
        <v>#NAME?</v>
      </c>
      <c r="F43" s="1059" t="e">
        <f ca="1">BDH("BMBL US Equity","ARD_CASH_CASH_EQUIV_BEG_OF_PER","FY 2021","FY 2021","Currency=USD","Period=FY","BEST_FPERIOD_OVERRIDE=FY","FILING_STATUS=MR","SCALING_FORMAT=MLN","Sort=A","Dates=H","DateFormat=P","Fill=—","Direction=H","UseDPDF=Y")</f>
        <v>#NAME?</v>
      </c>
      <c r="G43" s="1059" t="e">
        <f ca="1">BDH("BMBL US Equity","ARD_CASH_CASH_EQUIV_BEG_OF_PER","FY 2022","FY 2022","Currency=USD","Period=FY","BEST_FPERIOD_OVERRIDE=FY","FILING_STATUS=MR","SCALING_FORMAT=MLN","Sort=A","Dates=H","DateFormat=P","Fill=—","Direction=H","UseDPDF=Y")</f>
        <v>#NAME?</v>
      </c>
      <c r="H43" s="1059" t="e">
        <f ca="1">BDH("BMBL US Equity","ARD_CASH_CASH_EQUIV_BEG_OF_PER","FY 2023","FY 2023","Currency=USD","Period=FY","BEST_FPERIOD_OVERRIDE=FY","FILING_STATUS=MR","SCALING_FORMAT=MLN","Sort=A","Dates=H","DateFormat=P","Fill=—","Direction=H","UseDPDF=Y")</f>
        <v>#NAME?</v>
      </c>
    </row>
    <row r="44" spans="1:8">
      <c r="A44" s="1058" t="s">
        <v>542</v>
      </c>
      <c r="B44" s="1058" t="s">
        <v>543</v>
      </c>
      <c r="C44" s="1059" t="e">
        <f ca="1">BDH("BMBL US Equity","ARD_MINORITY_INT_DISTRIBUTIONS","FY 2018","FY 2018","Currency=USD","Period=FY","BEST_FPERIOD_OVERRIDE=FY","FILING_STATUS=MR","SCALING_FORMAT=MLN","Sort=A","Dates=H","DateFormat=P","Fill=—","Direction=H","UseDPDF=Y")</f>
        <v>#NAME?</v>
      </c>
      <c r="D44" s="1059" t="e">
        <f ca="1">BDH("BMBL US Equity","ARD_MINORITY_INT_DISTRIBUTIONS","FY 2019","FY 2019","Currency=USD","Period=FY","BEST_FPERIOD_OVERRIDE=FY","FILING_STATUS=MR","SCALING_FORMAT=MLN","Sort=A","Dates=H","DateFormat=P","Fill=—","Direction=H","UseDPDF=Y")</f>
        <v>#NAME?</v>
      </c>
      <c r="E44" s="1059" t="e">
        <f ca="1">BDH("BMBL US Equity","ARD_MINORITY_INT_DISTRIBUTIONS","FY 2020","FY 2020","Currency=USD","Period=FY","BEST_FPERIOD_OVERRIDE=FY","FILING_STATUS=MR","SCALING_FORMAT=MLN","Sort=A","Dates=H","DateFormat=P","Fill=—","Direction=H","UseDPDF=Y")</f>
        <v>#NAME?</v>
      </c>
      <c r="F44" s="1059" t="e">
        <f ca="1">BDH("BMBL US Equity","ARD_MINORITY_INT_DISTRIBUTIONS","FY 2021","FY 2021","Currency=USD","Period=FY","BEST_FPERIOD_OVERRIDE=FY","FILING_STATUS=MR","SCALING_FORMAT=MLN","Sort=A","Dates=H","DateFormat=P","Fill=—","Direction=H","UseDPDF=Y")</f>
        <v>#NAME?</v>
      </c>
      <c r="G44" s="1059" t="e">
        <f ca="1">BDH("BMBL US Equity","ARD_MINORITY_INT_DISTRIBUTIONS","FY 2022","FY 2022","Currency=USD","Period=FY","BEST_FPERIOD_OVERRIDE=FY","FILING_STATUS=MR","SCALING_FORMAT=MLN","Sort=A","Dates=H","DateFormat=P","Fill=—","Direction=H","UseDPDF=Y")</f>
        <v>#NAME?</v>
      </c>
      <c r="H44" s="1059" t="e">
        <f ca="1">BDH("BMBL US Equity","ARD_MINORITY_INT_DISTRIBUTIONS","FY 2023","FY 2023","Currency=USD","Period=FY","BEST_FPERIOD_OVERRIDE=FY","FILING_STATUS=MR","SCALING_FORMAT=MLN","Sort=A","Dates=H","DateFormat=P","Fill=—","Direction=H","UseDPDF=Y")</f>
        <v>#NAME?</v>
      </c>
    </row>
    <row r="45" spans="1:8">
      <c r="A45" s="1058" t="s">
        <v>544</v>
      </c>
      <c r="B45" s="1058" t="s">
        <v>545</v>
      </c>
      <c r="C45" s="1059" t="e">
        <f ca="1">BDH("BMBL US Equity","ARD_DECREASE_IN_BORROWINGS","FY 2018","FY 2018","Currency=USD","Period=FY","BEST_FPERIOD_OVERRIDE=FY","FILING_STATUS=MR","SCALING_FORMAT=MLN","Sort=A","Dates=H","DateFormat=P","Fill=—","Direction=H","UseDPDF=Y")</f>
        <v>#NAME?</v>
      </c>
      <c r="D45" s="1059" t="e">
        <f ca="1">BDH("BMBL US Equity","ARD_DECREASE_IN_BORROWINGS","FY 2019","FY 2019","Currency=USD","Period=FY","BEST_FPERIOD_OVERRIDE=FY","FILING_STATUS=MR","SCALING_FORMAT=MLN","Sort=A","Dates=H","DateFormat=P","Fill=—","Direction=H","UseDPDF=Y")</f>
        <v>#NAME?</v>
      </c>
      <c r="E45" s="1059" t="e">
        <f ca="1">BDH("BMBL US Equity","ARD_DECREASE_IN_BORROWINGS","FY 2020","FY 2020","Currency=USD","Period=FY","BEST_FPERIOD_OVERRIDE=FY","FILING_STATUS=MR","SCALING_FORMAT=MLN","Sort=A","Dates=H","DateFormat=P","Fill=—","Direction=H","UseDPDF=Y")</f>
        <v>#NAME?</v>
      </c>
      <c r="F45" s="1059" t="e">
        <f ca="1">BDH("BMBL US Equity","ARD_DECREASE_IN_BORROWINGS","FY 2021","FY 2021","Currency=USD","Period=FY","BEST_FPERIOD_OVERRIDE=FY","FILING_STATUS=MR","SCALING_FORMAT=MLN","Sort=A","Dates=H","DateFormat=P","Fill=—","Direction=H","UseDPDF=Y")</f>
        <v>#NAME?</v>
      </c>
      <c r="G45" s="1059" t="e">
        <f ca="1">BDH("BMBL US Equity","ARD_DECREASE_IN_BORROWINGS","FY 2022","FY 2022","Currency=USD","Period=FY","BEST_FPERIOD_OVERRIDE=FY","FILING_STATUS=MR","SCALING_FORMAT=MLN","Sort=A","Dates=H","DateFormat=P","Fill=—","Direction=H","UseDPDF=Y")</f>
        <v>#NAME?</v>
      </c>
      <c r="H45" s="1059" t="e">
        <f ca="1">BDH("BMBL US Equity","ARD_DECREASE_IN_BORROWINGS","FY 2023","FY 2023","Currency=USD","Period=FY","BEST_FPERIOD_OVERRIDE=FY","FILING_STATUS=MR","SCALING_FORMAT=MLN","Sort=A","Dates=H","DateFormat=P","Fill=—","Direction=H","UseDPDF=Y")</f>
        <v>#NAME?</v>
      </c>
    </row>
    <row r="46" spans="1:8">
      <c r="A46" s="1058" t="s">
        <v>546</v>
      </c>
      <c r="B46" s="1058" t="s">
        <v>547</v>
      </c>
      <c r="C46" s="1059" t="e">
        <f ca="1">BDH("BMBL US Equity","ARD_INCREASE_IN_BORROWINGS","FY 2018","FY 2018","Currency=USD","Period=FY","BEST_FPERIOD_OVERRIDE=FY","FILING_STATUS=MR","SCALING_FORMAT=MLN","Sort=A","Dates=H","DateFormat=P","Fill=—","Direction=H","UseDPDF=Y")</f>
        <v>#NAME?</v>
      </c>
      <c r="D46" s="1059" t="e">
        <f ca="1">BDH("BMBL US Equity","ARD_INCREASE_IN_BORROWINGS","FY 2019","FY 2019","Currency=USD","Period=FY","BEST_FPERIOD_OVERRIDE=FY","FILING_STATUS=MR","SCALING_FORMAT=MLN","Sort=A","Dates=H","DateFormat=P","Fill=—","Direction=H","UseDPDF=Y")</f>
        <v>#NAME?</v>
      </c>
      <c r="E46" s="1059" t="e">
        <f ca="1">BDH("BMBL US Equity","ARD_INCREASE_IN_BORROWINGS","FY 2020","FY 2020","Currency=USD","Period=FY","BEST_FPERIOD_OVERRIDE=FY","FILING_STATUS=MR","SCALING_FORMAT=MLN","Sort=A","Dates=H","DateFormat=P","Fill=—","Direction=H","UseDPDF=Y")</f>
        <v>#NAME?</v>
      </c>
      <c r="F46" s="1059" t="e">
        <f ca="1">BDH("BMBL US Equity","ARD_INCREASE_IN_BORROWINGS","FY 2021","FY 2021","Currency=USD","Period=FY","BEST_FPERIOD_OVERRIDE=FY","FILING_STATUS=MR","SCALING_FORMAT=MLN","Sort=A","Dates=H","DateFormat=P","Fill=—","Direction=H","UseDPDF=Y")</f>
        <v>#NAME?</v>
      </c>
      <c r="G46" s="1059" t="e">
        <f ca="1">BDH("BMBL US Equity","ARD_INCREASE_IN_BORROWINGS","FY 2022","FY 2022","Currency=USD","Period=FY","BEST_FPERIOD_OVERRIDE=FY","FILING_STATUS=MR","SCALING_FORMAT=MLN","Sort=A","Dates=H","DateFormat=P","Fill=—","Direction=H","UseDPDF=Y")</f>
        <v>#NAME?</v>
      </c>
      <c r="H46" s="1059" t="e">
        <f ca="1">BDH("BMBL US Equity","ARD_INCREASE_IN_BORROWINGS","FY 2023","FY 2023","Currency=USD","Period=FY","BEST_FPERIOD_OVERRIDE=FY","FILING_STATUS=MR","SCALING_FORMAT=MLN","Sort=A","Dates=H","DateFormat=P","Fill=—","Direction=H","UseDPDF=Y")</f>
        <v>#NAME?</v>
      </c>
    </row>
    <row r="47" spans="1:8">
      <c r="A47" s="1062" t="s">
        <v>548</v>
      </c>
      <c r="B47" s="1062" t="s">
        <v>549</v>
      </c>
      <c r="C47" s="1061" t="e">
        <f ca="1">BDH("BMBL US Equity","ARD_TOT_CASHFLOWS_FROM_FINANCING","FY 2018","FY 2018","Currency=USD","Period=FY","BEST_FPERIOD_OVERRIDE=FY","FILING_STATUS=MR","SCALING_FORMAT=MLN","Sort=A","Dates=H","DateFormat=P","Fill=—","Direction=H","UseDPDF=Y")</f>
        <v>#NAME?</v>
      </c>
      <c r="D47" s="1061" t="e">
        <f ca="1">BDH("BMBL US Equity","ARD_TOT_CASHFLOWS_FROM_FINANCING","FY 2019","FY 2019","Currency=USD","Period=FY","BEST_FPERIOD_OVERRIDE=FY","FILING_STATUS=MR","SCALING_FORMAT=MLN","Sort=A","Dates=H","DateFormat=P","Fill=—","Direction=H","UseDPDF=Y")</f>
        <v>#NAME?</v>
      </c>
      <c r="E47" s="1061" t="e">
        <f ca="1">BDH("BMBL US Equity","ARD_TOT_CASHFLOWS_FROM_FINANCING","FY 2020","FY 2020","Currency=USD","Period=FY","BEST_FPERIOD_OVERRIDE=FY","FILING_STATUS=MR","SCALING_FORMAT=MLN","Sort=A","Dates=H","DateFormat=P","Fill=—","Direction=H","UseDPDF=Y")</f>
        <v>#NAME?</v>
      </c>
      <c r="F47" s="1061" t="e">
        <f ca="1">BDH("BMBL US Equity","ARD_TOT_CASHFLOWS_FROM_FINANCING","FY 2021","FY 2021","Currency=USD","Period=FY","BEST_FPERIOD_OVERRIDE=FY","FILING_STATUS=MR","SCALING_FORMAT=MLN","Sort=A","Dates=H","DateFormat=P","Fill=—","Direction=H","UseDPDF=Y")</f>
        <v>#NAME?</v>
      </c>
      <c r="G47" s="1061" t="e">
        <f ca="1">BDH("BMBL US Equity","ARD_TOT_CASHFLOWS_FROM_FINANCING","FY 2022","FY 2022","Currency=USD","Period=FY","BEST_FPERIOD_OVERRIDE=FY","FILING_STATUS=MR","SCALING_FORMAT=MLN","Sort=A","Dates=H","DateFormat=P","Fill=—","Direction=H","UseDPDF=Y")</f>
        <v>#NAME?</v>
      </c>
      <c r="H47" s="1061" t="e">
        <f ca="1">BDH("BMBL US Equity","ARD_TOT_CASHFLOWS_FROM_FINANCING","FY 2023","FY 2023","Currency=USD","Period=FY","BEST_FPERIOD_OVERRIDE=FY","FILING_STATUS=MR","SCALING_FORMAT=MLN","Sort=A","Dates=H","DateFormat=P","Fill=—","Direction=H","UseDPDF=Y")</f>
        <v>#NAME?</v>
      </c>
    </row>
    <row r="48" spans="1:8">
      <c r="A48" s="1058" t="s">
        <v>103</v>
      </c>
      <c r="B48" s="1060"/>
      <c r="C48" s="1060"/>
      <c r="D48" s="1060"/>
      <c r="E48" s="1060"/>
      <c r="F48" s="1060"/>
      <c r="G48" s="1060"/>
      <c r="H48" s="1060"/>
    </row>
    <row r="49" spans="1:8">
      <c r="A49" s="1058" t="s">
        <v>550</v>
      </c>
      <c r="B49" s="1058" t="s">
        <v>551</v>
      </c>
      <c r="C49" s="1059" t="e">
        <f ca="1">BDH("BMBL US Equity","ARDR_CASH_PAID_FOR_TAXES","FY 2018","FY 2018","Currency=USD","Period=FY","BEST_FPERIOD_OVERRIDE=FY","FILING_STATUS=MR","SCALING_FORMAT=MLN","Sort=A","Dates=H","DateFormat=P","Fill=—","Direction=H","UseDPDF=Y")</f>
        <v>#NAME?</v>
      </c>
      <c r="D49" s="1059" t="e">
        <f ca="1">BDH("BMBL US Equity","ARDR_CASH_PAID_FOR_TAXES","FY 2019","FY 2019","Currency=USD","Period=FY","BEST_FPERIOD_OVERRIDE=FY","FILING_STATUS=MR","SCALING_FORMAT=MLN","Sort=A","Dates=H","DateFormat=P","Fill=—","Direction=H","UseDPDF=Y")</f>
        <v>#NAME?</v>
      </c>
      <c r="E49" s="1059" t="e">
        <f ca="1">BDH("BMBL US Equity","ARDR_CASH_PAID_FOR_TAXES","FY 2020","FY 2020","Currency=USD","Period=FY","BEST_FPERIOD_OVERRIDE=FY","FILING_STATUS=MR","SCALING_FORMAT=MLN","Sort=A","Dates=H","DateFormat=P","Fill=—","Direction=H","UseDPDF=Y")</f>
        <v>#NAME?</v>
      </c>
      <c r="F49" s="1059" t="e">
        <f ca="1">BDH("BMBL US Equity","ARDR_CASH_PAID_FOR_TAXES","FY 2021","FY 2021","Currency=USD","Period=FY","BEST_FPERIOD_OVERRIDE=FY","FILING_STATUS=MR","SCALING_FORMAT=MLN","Sort=A","Dates=H","DateFormat=P","Fill=—","Direction=H","UseDPDF=Y")</f>
        <v>#NAME?</v>
      </c>
      <c r="G49" s="1059" t="e">
        <f ca="1">BDH("BMBL US Equity","ARDR_CASH_PAID_FOR_TAXES","FY 2022","FY 2022","Currency=USD","Period=FY","BEST_FPERIOD_OVERRIDE=FY","FILING_STATUS=MR","SCALING_FORMAT=MLN","Sort=A","Dates=H","DateFormat=P","Fill=—","Direction=H","UseDPDF=Y")</f>
        <v>#NAME?</v>
      </c>
      <c r="H49" s="1059" t="e">
        <f ca="1">BDH("BMBL US Equity","ARDR_CASH_PAID_FOR_TAXES","FY 2023","FY 2023","Currency=USD","Period=FY","BEST_FPERIOD_OVERRIDE=FY","FILING_STATUS=MR","SCALING_FORMAT=MLN","Sort=A","Dates=H","DateFormat=P","Fill=—","Direction=H","UseDPDF=Y")</f>
        <v>#NAME?</v>
      </c>
    </row>
    <row r="50" spans="1:8">
      <c r="A50" s="1058" t="s">
        <v>552</v>
      </c>
      <c r="B50" s="1058" t="s">
        <v>553</v>
      </c>
      <c r="C50" s="1059" t="e">
        <f ca="1">BDH("BMBL US Equity","ARDR_FCF","FY 2018","FY 2018","Currency=USD","Period=FY","BEST_FPERIOD_OVERRIDE=FY","FILING_STATUS=MR","SCALING_FORMAT=MLN","Sort=A","Dates=H","DateFormat=P","Fill=—","Direction=H","UseDPDF=Y")</f>
        <v>#NAME?</v>
      </c>
      <c r="D50" s="1059" t="e">
        <f ca="1">BDH("BMBL US Equity","ARDR_FCF","FY 2019","FY 2019","Currency=USD","Period=FY","BEST_FPERIOD_OVERRIDE=FY","FILING_STATUS=MR","SCALING_FORMAT=MLN","Sort=A","Dates=H","DateFormat=P","Fill=—","Direction=H","UseDPDF=Y")</f>
        <v>#NAME?</v>
      </c>
      <c r="E50" s="1059" t="e">
        <f ca="1">BDH("BMBL US Equity","ARDR_FCF","FY 2020","FY 2020","Currency=USD","Period=FY","BEST_FPERIOD_OVERRIDE=FY","FILING_STATUS=MR","SCALING_FORMAT=MLN","Sort=A","Dates=H","DateFormat=P","Fill=—","Direction=H","UseDPDF=Y")</f>
        <v>#NAME?</v>
      </c>
      <c r="F50" s="1059" t="e">
        <f ca="1">BDH("BMBL US Equity","ARDR_FCF","FY 2021","FY 2021","Currency=USD","Period=FY","BEST_FPERIOD_OVERRIDE=FY","FILING_STATUS=MR","SCALING_FORMAT=MLN","Sort=A","Dates=H","DateFormat=P","Fill=—","Direction=H","UseDPDF=Y")</f>
        <v>#NAME?</v>
      </c>
      <c r="G50" s="1059" t="e">
        <f ca="1">BDH("BMBL US Equity","ARDR_FCF","FY 2022","FY 2022","Currency=USD","Period=FY","BEST_FPERIOD_OVERRIDE=FY","FILING_STATUS=MR","SCALING_FORMAT=MLN","Sort=A","Dates=H","DateFormat=P","Fill=—","Direction=H","UseDPDF=Y")</f>
        <v>#NAME?</v>
      </c>
      <c r="H50" s="1059" t="e">
        <f ca="1">BDH("BMBL US Equity","ARDR_FCF","FY 2023","FY 2023","Currency=USD","Period=FY","BEST_FPERIOD_OVERRIDE=FY","FILING_STATUS=MR","SCALING_FORMAT=MLN","Sort=A","Dates=H","DateFormat=P","Fill=—","Direction=H","UseDPDF=Y")</f>
        <v>#NAME?</v>
      </c>
    </row>
    <row r="51" spans="1:8">
      <c r="A51" s="1056" t="s">
        <v>313</v>
      </c>
      <c r="B51" s="1056"/>
      <c r="C51" s="1056" t="s">
        <v>314</v>
      </c>
      <c r="D51" s="1056"/>
      <c r="E51" s="1056"/>
      <c r="F51" s="1056"/>
      <c r="G51" s="1056"/>
      <c r="H51" s="10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8"/>
  <sheetViews>
    <sheetView workbookViewId="0">
      <selection activeCell="E48" sqref="E48"/>
    </sheetView>
  </sheetViews>
  <sheetFormatPr defaultColWidth="8.88671875" defaultRowHeight="14.4"/>
  <cols>
    <col min="1" max="1" width="35.109375" customWidth="1"/>
    <col min="2" max="2" width="0" hidden="1" customWidth="1"/>
    <col min="3" max="9" width="11.88671875" customWidth="1"/>
  </cols>
  <sheetData>
    <row r="1" spans="1:9">
      <c r="A1" s="1070"/>
      <c r="B1" s="1070"/>
      <c r="C1" s="1070"/>
      <c r="D1" s="1070"/>
      <c r="E1" s="1070"/>
      <c r="F1" s="1070"/>
      <c r="G1" s="1070"/>
      <c r="H1" s="1070"/>
      <c r="I1" s="1070"/>
    </row>
    <row r="2" spans="1:9" ht="21">
      <c r="A2" s="1069" t="s">
        <v>315</v>
      </c>
      <c r="B2" s="1069"/>
      <c r="C2" s="1069"/>
      <c r="D2" s="1069"/>
      <c r="E2" s="1069"/>
      <c r="F2" s="1069"/>
      <c r="G2" s="1069"/>
      <c r="H2" s="1069"/>
      <c r="I2" s="1069"/>
    </row>
    <row r="3" spans="1:9">
      <c r="A3" s="1068"/>
      <c r="B3" s="1068"/>
      <c r="C3" s="1068"/>
      <c r="D3" s="1068"/>
      <c r="E3" s="1068"/>
      <c r="F3" s="1068"/>
      <c r="G3" s="1068"/>
      <c r="H3" s="1068"/>
      <c r="I3" s="1068"/>
    </row>
    <row r="4" spans="1:9">
      <c r="A4" s="1067" t="s">
        <v>1</v>
      </c>
      <c r="B4" s="1067"/>
      <c r="C4" s="1066" t="s">
        <v>2</v>
      </c>
      <c r="D4" s="1066" t="s">
        <v>3</v>
      </c>
      <c r="E4" s="1066" t="s">
        <v>4</v>
      </c>
      <c r="F4" s="1066" t="s">
        <v>5</v>
      </c>
      <c r="G4" s="1066" t="s">
        <v>6</v>
      </c>
      <c r="H4" s="1066" t="s">
        <v>7</v>
      </c>
      <c r="I4" s="1066" t="s">
        <v>554</v>
      </c>
    </row>
    <row r="5" spans="1:9">
      <c r="A5" s="1072" t="s">
        <v>8</v>
      </c>
      <c r="B5" s="1072"/>
      <c r="C5" s="1071" t="s">
        <v>9</v>
      </c>
      <c r="D5" s="1071" t="s">
        <v>10</v>
      </c>
      <c r="E5" s="1071" t="s">
        <v>11</v>
      </c>
      <c r="F5" s="1071" t="s">
        <v>12</v>
      </c>
      <c r="G5" s="1071" t="s">
        <v>13</v>
      </c>
      <c r="H5" s="1071" t="s">
        <v>14</v>
      </c>
      <c r="I5" s="1071" t="s">
        <v>555</v>
      </c>
    </row>
    <row r="6" spans="1:9">
      <c r="A6" s="1062" t="s">
        <v>556</v>
      </c>
      <c r="B6" s="1063"/>
      <c r="C6" s="1063"/>
      <c r="D6" s="1063"/>
      <c r="E6" s="1063"/>
      <c r="F6" s="1063"/>
      <c r="G6" s="1063"/>
      <c r="H6" s="1063"/>
      <c r="I6" s="1078"/>
    </row>
    <row r="7" spans="1:9">
      <c r="A7" s="1058" t="s">
        <v>557</v>
      </c>
      <c r="B7" s="1058" t="s">
        <v>558</v>
      </c>
      <c r="C7" s="1059" t="e">
        <f ca="1">BDH("BMBL US Equity","CF_NET_INC","FY 2018","FY 2018","Currency=USD","Period=FY","BEST_FPERIOD_OVERRIDE=FY","FILING_STATUS=MR","SCALING_FORMAT=MLN","Sort=A","Dates=H","DateFormat=P","Fill=—","Direction=H","UseDPDF=Y")</f>
        <v>#NAME?</v>
      </c>
      <c r="D7" s="1059" t="e">
        <f ca="1">BDH("BMBL US Equity","CF_NET_INC","FY 2019","FY 2019","Currency=USD","Period=FY","BEST_FPERIOD_OVERRIDE=FY","FILING_STATUS=MR","SCALING_FORMAT=MLN","Sort=A","Dates=H","DateFormat=P","Fill=—","Direction=H","UseDPDF=Y")</f>
        <v>#NAME?</v>
      </c>
      <c r="E7" s="1059" t="e">
        <f ca="1">BDH("BMBL US Equity","CF_NET_INC","FY 2020","FY 2020","Currency=USD","Period=FY","BEST_FPERIOD_OVERRIDE=FY","FILING_STATUS=MR","SCALING_FORMAT=MLN","Sort=A","Dates=H","DateFormat=P","Fill=—","Direction=H","UseDPDF=Y")</f>
        <v>#NAME?</v>
      </c>
      <c r="F7" s="1059" t="e">
        <f ca="1">BDH("BMBL US Equity","CF_NET_INC","FY 2021","FY 2021","Currency=USD","Period=FY","BEST_FPERIOD_OVERRIDE=FY","FILING_STATUS=MR","SCALING_FORMAT=MLN","Sort=A","Dates=H","DateFormat=P","Fill=—","Direction=H","UseDPDF=Y")</f>
        <v>#NAME?</v>
      </c>
      <c r="G7" s="1059" t="e">
        <f ca="1">BDH("BMBL US Equity","CF_NET_INC","FY 2022","FY 2022","Currency=USD","Period=FY","BEST_FPERIOD_OVERRIDE=FY","FILING_STATUS=MR","SCALING_FORMAT=MLN","Sort=A","Dates=H","DateFormat=P","Fill=—","Direction=H","UseDPDF=Y")</f>
        <v>#NAME?</v>
      </c>
      <c r="H7" s="1059" t="e">
        <f ca="1">BDH("BMBL US Equity","CF_NET_INC","FY 2023","FY 2023","Currency=USD","Period=FY","BEST_FPERIOD_OVERRIDE=FY","FILING_STATUS=MR","SCALING_FORMAT=MLN","Sort=A","Dates=H","DateFormat=P","Fill=—","Direction=H","UseDPDF=Y")</f>
        <v>#NAME?</v>
      </c>
      <c r="I7" s="1077">
        <v>42.656999999999996</v>
      </c>
    </row>
    <row r="8" spans="1:9">
      <c r="A8" s="1058" t="s">
        <v>559</v>
      </c>
      <c r="B8" s="1058" t="s">
        <v>560</v>
      </c>
      <c r="C8" s="1059" t="e">
        <f ca="1">BDH("BMBL US Equity","CF_DEPR_AMORT","FY 2018","FY 2018","Currency=USD","Period=FY","BEST_FPERIOD_OVERRIDE=FY","FILING_STATUS=MR","SCALING_FORMAT=MLN","Sort=A","Dates=H","DateFormat=P","Fill=—","Direction=H","UseDPDF=Y")</f>
        <v>#NAME?</v>
      </c>
      <c r="D8" s="1059" t="e">
        <f ca="1">BDH("BMBL US Equity","CF_DEPR_AMORT","FY 2019","FY 2019","Currency=USD","Period=FY","BEST_FPERIOD_OVERRIDE=FY","FILING_STATUS=MR","SCALING_FORMAT=MLN","Sort=A","Dates=H","DateFormat=P","Fill=—","Direction=H","UseDPDF=Y")</f>
        <v>#NAME?</v>
      </c>
      <c r="E8" s="1059" t="e">
        <f ca="1">BDH("BMBL US Equity","CF_DEPR_AMORT","FY 2020","FY 2020","Currency=USD","Period=FY","BEST_FPERIOD_OVERRIDE=FY","FILING_STATUS=MR","SCALING_FORMAT=MLN","Sort=A","Dates=H","DateFormat=P","Fill=—","Direction=H","UseDPDF=Y")</f>
        <v>#NAME?</v>
      </c>
      <c r="F8" s="1059" t="e">
        <f ca="1">BDH("BMBL US Equity","CF_DEPR_AMORT","FY 2021","FY 2021","Currency=USD","Period=FY","BEST_FPERIOD_OVERRIDE=FY","FILING_STATUS=MR","SCALING_FORMAT=MLN","Sort=A","Dates=H","DateFormat=P","Fill=—","Direction=H","UseDPDF=Y")</f>
        <v>#NAME?</v>
      </c>
      <c r="G8" s="1059" t="e">
        <f ca="1">BDH("BMBL US Equity","CF_DEPR_AMORT","FY 2022","FY 2022","Currency=USD","Period=FY","BEST_FPERIOD_OVERRIDE=FY","FILING_STATUS=MR","SCALING_FORMAT=MLN","Sort=A","Dates=H","DateFormat=P","Fill=—","Direction=H","UseDPDF=Y")</f>
        <v>#NAME?</v>
      </c>
      <c r="H8" s="1059" t="e">
        <f ca="1">BDH("BMBL US Equity","CF_DEPR_AMORT","FY 2023","FY 2023","Currency=USD","Period=FY","BEST_FPERIOD_OVERRIDE=FY","FILING_STATUS=MR","SCALING_FORMAT=MLN","Sort=A","Dates=H","DateFormat=P","Fill=—","Direction=H","UseDPDF=Y")</f>
        <v>#NAME?</v>
      </c>
      <c r="I8" s="1077">
        <v>68.56</v>
      </c>
    </row>
    <row r="9" spans="1:9">
      <c r="A9" s="1058" t="s">
        <v>561</v>
      </c>
      <c r="B9" s="1058" t="s">
        <v>562</v>
      </c>
      <c r="C9" s="1059" t="e">
        <f ca="1">BDH("BMBL US Equity","NON_CASH_ITEMS_DETAILED","FY 2018","FY 2018","Currency=USD","Period=FY","BEST_FPERIOD_OVERRIDE=FY","FILING_STATUS=MR","SCALING_FORMAT=MLN","Sort=A","Dates=H","DateFormat=P","Fill=—","Direction=H","UseDPDF=Y")</f>
        <v>#NAME?</v>
      </c>
      <c r="D9" s="1059" t="e">
        <f ca="1">BDH("BMBL US Equity","NON_CASH_ITEMS_DETAILED","FY 2019","FY 2019","Currency=USD","Period=FY","BEST_FPERIOD_OVERRIDE=FY","FILING_STATUS=MR","SCALING_FORMAT=MLN","Sort=A","Dates=H","DateFormat=P","Fill=—","Direction=H","UseDPDF=Y")</f>
        <v>#NAME?</v>
      </c>
      <c r="E9" s="1059" t="e">
        <f ca="1">BDH("BMBL US Equity","NON_CASH_ITEMS_DETAILED","FY 2020","FY 2020","Currency=USD","Period=FY","BEST_FPERIOD_OVERRIDE=FY","FILING_STATUS=MR","SCALING_FORMAT=MLN","Sort=A","Dates=H","DateFormat=P","Fill=—","Direction=H","UseDPDF=Y")</f>
        <v>#NAME?</v>
      </c>
      <c r="F9" s="1059" t="e">
        <f ca="1">BDH("BMBL US Equity","NON_CASH_ITEMS_DETAILED","FY 2021","FY 2021","Currency=USD","Period=FY","BEST_FPERIOD_OVERRIDE=FY","FILING_STATUS=MR","SCALING_FORMAT=MLN","Sort=A","Dates=H","DateFormat=P","Fill=—","Direction=H","UseDPDF=Y")</f>
        <v>#NAME?</v>
      </c>
      <c r="G9" s="1059" t="e">
        <f ca="1">BDH("BMBL US Equity","NON_CASH_ITEMS_DETAILED","FY 2022","FY 2022","Currency=USD","Period=FY","BEST_FPERIOD_OVERRIDE=FY","FILING_STATUS=MR","SCALING_FORMAT=MLN","Sort=A","Dates=H","DateFormat=P","Fill=—","Direction=H","UseDPDF=Y")</f>
        <v>#NAME?</v>
      </c>
      <c r="H9" s="1059" t="e">
        <f ca="1">BDH("BMBL US Equity","NON_CASH_ITEMS_DETAILED","FY 2023","FY 2023","Currency=USD","Period=FY","BEST_FPERIOD_OVERRIDE=FY","FILING_STATUS=MR","SCALING_FORMAT=MLN","Sort=A","Dates=H","DateFormat=P","Fill=—","Direction=H","UseDPDF=Y")</f>
        <v>#NAME?</v>
      </c>
      <c r="I9" s="1077">
        <v>34.738999999999997</v>
      </c>
    </row>
    <row r="10" spans="1:9">
      <c r="A10" s="1058" t="s">
        <v>563</v>
      </c>
      <c r="B10" s="1058" t="s">
        <v>564</v>
      </c>
      <c r="C10" s="1059" t="e">
        <f ca="1">BDH("BMBL US Equity","CF_STOCK_BASED_COMPENSATION","FY 2018","FY 2018","Currency=USD","Period=FY","BEST_FPERIOD_OVERRIDE=FY","FILING_STATUS=MR","SCALING_FORMAT=MLN","Sort=A","Dates=H","DateFormat=P","Fill=—","Direction=H","UseDPDF=Y")</f>
        <v>#NAME?</v>
      </c>
      <c r="D10" s="1059" t="e">
        <f ca="1">BDH("BMBL US Equity","CF_STOCK_BASED_COMPENSATION","FY 2019","FY 2019","Currency=USD","Period=FY","BEST_FPERIOD_OVERRIDE=FY","FILING_STATUS=MR","SCALING_FORMAT=MLN","Sort=A","Dates=H","DateFormat=P","Fill=—","Direction=H","UseDPDF=Y")</f>
        <v>#NAME?</v>
      </c>
      <c r="E10" s="1059" t="e">
        <f ca="1">BDH("BMBL US Equity","CF_STOCK_BASED_COMPENSATION","FY 2020","FY 2020","Currency=USD","Period=FY","BEST_FPERIOD_OVERRIDE=FY","FILING_STATUS=MR","SCALING_FORMAT=MLN","Sort=A","Dates=H","DateFormat=P","Fill=—","Direction=H","UseDPDF=Y")</f>
        <v>#NAME?</v>
      </c>
      <c r="F10" s="1059" t="e">
        <f ca="1">BDH("BMBL US Equity","CF_STOCK_BASED_COMPENSATION","FY 2021","FY 2021","Currency=USD","Period=FY","BEST_FPERIOD_OVERRIDE=FY","FILING_STATUS=MR","SCALING_FORMAT=MLN","Sort=A","Dates=H","DateFormat=P","Fill=—","Direction=H","UseDPDF=Y")</f>
        <v>#NAME?</v>
      </c>
      <c r="G10" s="1059" t="e">
        <f ca="1">BDH("BMBL US Equity","CF_STOCK_BASED_COMPENSATION","FY 2022","FY 2022","Currency=USD","Period=FY","BEST_FPERIOD_OVERRIDE=FY","FILING_STATUS=MR","SCALING_FORMAT=MLN","Sort=A","Dates=H","DateFormat=P","Fill=—","Direction=H","UseDPDF=Y")</f>
        <v>#NAME?</v>
      </c>
      <c r="H10" s="1059" t="e">
        <f ca="1">BDH("BMBL US Equity","CF_STOCK_BASED_COMPENSATION","FY 2023","FY 2023","Currency=USD","Period=FY","BEST_FPERIOD_OVERRIDE=FY","FILING_STATUS=MR","SCALING_FORMAT=MLN","Sort=A","Dates=H","DateFormat=P","Fill=—","Direction=H","UseDPDF=Y")</f>
        <v>#NAME?</v>
      </c>
      <c r="I10" s="1077">
        <v>44.320999999999998</v>
      </c>
    </row>
    <row r="11" spans="1:9">
      <c r="A11" s="1058" t="s">
        <v>565</v>
      </c>
      <c r="B11" s="1058" t="s">
        <v>566</v>
      </c>
      <c r="C11" s="1059" t="e">
        <f ca="1">BDH("BMBL US Equity","CF_DEF_INC_TAX","FY 2018","FY 2018","Currency=USD","Period=FY","BEST_FPERIOD_OVERRIDE=FY","FILING_STATUS=MR","SCALING_FORMAT=MLN","Sort=A","Dates=H","DateFormat=P","Fill=—","Direction=H","UseDPDF=Y")</f>
        <v>#NAME?</v>
      </c>
      <c r="D11" s="1059" t="e">
        <f ca="1">BDH("BMBL US Equity","CF_DEF_INC_TAX","FY 2019","FY 2019","Currency=USD","Period=FY","BEST_FPERIOD_OVERRIDE=FY","FILING_STATUS=MR","SCALING_FORMAT=MLN","Sort=A","Dates=H","DateFormat=P","Fill=—","Direction=H","UseDPDF=Y")</f>
        <v>#NAME?</v>
      </c>
      <c r="E11" s="1059" t="e">
        <f ca="1">BDH("BMBL US Equity","CF_DEF_INC_TAX","FY 2020","FY 2020","Currency=USD","Period=FY","BEST_FPERIOD_OVERRIDE=FY","FILING_STATUS=MR","SCALING_FORMAT=MLN","Sort=A","Dates=H","DateFormat=P","Fill=—","Direction=H","UseDPDF=Y")</f>
        <v>#NAME?</v>
      </c>
      <c r="F11" s="1059" t="e">
        <f ca="1">BDH("BMBL US Equity","CF_DEF_INC_TAX","FY 2021","FY 2021","Currency=USD","Period=FY","BEST_FPERIOD_OVERRIDE=FY","FILING_STATUS=MR","SCALING_FORMAT=MLN","Sort=A","Dates=H","DateFormat=P","Fill=—","Direction=H","UseDPDF=Y")</f>
        <v>#NAME?</v>
      </c>
      <c r="G11" s="1059" t="e">
        <f ca="1">BDH("BMBL US Equity","CF_DEF_INC_TAX","FY 2022","FY 2022","Currency=USD","Period=FY","BEST_FPERIOD_OVERRIDE=FY","FILING_STATUS=MR","SCALING_FORMAT=MLN","Sort=A","Dates=H","DateFormat=P","Fill=—","Direction=H","UseDPDF=Y")</f>
        <v>#NAME?</v>
      </c>
      <c r="H11" s="1059" t="e">
        <f ca="1">BDH("BMBL US Equity","CF_DEF_INC_TAX","FY 2023","FY 2023","Currency=USD","Period=FY","BEST_FPERIOD_OVERRIDE=FY","FILING_STATUS=MR","SCALING_FORMAT=MLN","Sort=A","Dates=H","DateFormat=P","Fill=—","Direction=H","UseDPDF=Y")</f>
        <v>#NAME?</v>
      </c>
      <c r="I11" s="1077">
        <v>-0.16400009083747899</v>
      </c>
    </row>
    <row r="12" spans="1:9">
      <c r="A12" s="1058" t="s">
        <v>567</v>
      </c>
      <c r="B12" s="1058" t="s">
        <v>568</v>
      </c>
      <c r="C12" s="1059" t="e">
        <f ca="1">BDH("BMBL US Equity","OTHER_NON_CASH_ADJ_LESS_DETAILED","FY 2018","FY 2018","Currency=USD","Period=FY","BEST_FPERIOD_OVERRIDE=FY","FILING_STATUS=MR","SCALING_FORMAT=MLN","Sort=A","Dates=H","DateFormat=P","Fill=—","Direction=H","UseDPDF=Y")</f>
        <v>#NAME?</v>
      </c>
      <c r="D12" s="1059" t="e">
        <f ca="1">BDH("BMBL US Equity","OTHER_NON_CASH_ADJ_LESS_DETAILED","FY 2019","FY 2019","Currency=USD","Period=FY","BEST_FPERIOD_OVERRIDE=FY","FILING_STATUS=MR","SCALING_FORMAT=MLN","Sort=A","Dates=H","DateFormat=P","Fill=—","Direction=H","UseDPDF=Y")</f>
        <v>#NAME?</v>
      </c>
      <c r="E12" s="1059" t="e">
        <f ca="1">BDH("BMBL US Equity","OTHER_NON_CASH_ADJ_LESS_DETAILED","FY 2020","FY 2020","Currency=USD","Period=FY","BEST_FPERIOD_OVERRIDE=FY","FILING_STATUS=MR","SCALING_FORMAT=MLN","Sort=A","Dates=H","DateFormat=P","Fill=—","Direction=H","UseDPDF=Y")</f>
        <v>#NAME?</v>
      </c>
      <c r="F12" s="1059" t="e">
        <f ca="1">BDH("BMBL US Equity","OTHER_NON_CASH_ADJ_LESS_DETAILED","FY 2021","FY 2021","Currency=USD","Period=FY","BEST_FPERIOD_OVERRIDE=FY","FILING_STATUS=MR","SCALING_FORMAT=MLN","Sort=A","Dates=H","DateFormat=P","Fill=—","Direction=H","UseDPDF=Y")</f>
        <v>#NAME?</v>
      </c>
      <c r="G12" s="1059" t="e">
        <f ca="1">BDH("BMBL US Equity","OTHER_NON_CASH_ADJ_LESS_DETAILED","FY 2022","FY 2022","Currency=USD","Period=FY","BEST_FPERIOD_OVERRIDE=FY","FILING_STATUS=MR","SCALING_FORMAT=MLN","Sort=A","Dates=H","DateFormat=P","Fill=—","Direction=H","UseDPDF=Y")</f>
        <v>#NAME?</v>
      </c>
      <c r="H12" s="1059" t="e">
        <f ca="1">BDH("BMBL US Equity","OTHER_NON_CASH_ADJ_LESS_DETAILED","FY 2023","FY 2023","Currency=USD","Period=FY","BEST_FPERIOD_OVERRIDE=FY","FILING_STATUS=MR","SCALING_FORMAT=MLN","Sort=A","Dates=H","DateFormat=P","Fill=—","Direction=H","UseDPDF=Y")</f>
        <v>#NAME?</v>
      </c>
      <c r="I12" s="1077">
        <v>-9.4179999999999993</v>
      </c>
    </row>
    <row r="13" spans="1:9">
      <c r="A13" s="1058" t="s">
        <v>569</v>
      </c>
      <c r="B13" s="1058" t="s">
        <v>570</v>
      </c>
      <c r="C13" s="1059" t="e">
        <f ca="1">BDH("BMBL US Equity","CF_CHNG_NON_CASH_WORK_CAP","FY 2018","FY 2018","Currency=USD","Period=FY","BEST_FPERIOD_OVERRIDE=FY","FILING_STATUS=MR","SCALING_FORMAT=MLN","Sort=A","Dates=H","DateFormat=P","Fill=—","Direction=H","UseDPDF=Y")</f>
        <v>#NAME?</v>
      </c>
      <c r="D13" s="1059" t="e">
        <f ca="1">BDH("BMBL US Equity","CF_CHNG_NON_CASH_WORK_CAP","FY 2019","FY 2019","Currency=USD","Period=FY","BEST_FPERIOD_OVERRIDE=FY","FILING_STATUS=MR","SCALING_FORMAT=MLN","Sort=A","Dates=H","DateFormat=P","Fill=—","Direction=H","UseDPDF=Y")</f>
        <v>#NAME?</v>
      </c>
      <c r="E13" s="1059" t="e">
        <f ca="1">BDH("BMBL US Equity","CF_CHNG_NON_CASH_WORK_CAP","FY 2020","FY 2020","Currency=USD","Period=FY","BEST_FPERIOD_OVERRIDE=FY","FILING_STATUS=MR","SCALING_FORMAT=MLN","Sort=A","Dates=H","DateFormat=P","Fill=—","Direction=H","UseDPDF=Y")</f>
        <v>#NAME?</v>
      </c>
      <c r="F13" s="1059" t="e">
        <f ca="1">BDH("BMBL US Equity","CF_CHNG_NON_CASH_WORK_CAP","FY 2021","FY 2021","Currency=USD","Period=FY","BEST_FPERIOD_OVERRIDE=FY","FILING_STATUS=MR","SCALING_FORMAT=MLN","Sort=A","Dates=H","DateFormat=P","Fill=—","Direction=H","UseDPDF=Y")</f>
        <v>#NAME?</v>
      </c>
      <c r="G13" s="1059" t="e">
        <f ca="1">BDH("BMBL US Equity","CF_CHNG_NON_CASH_WORK_CAP","FY 2022","FY 2022","Currency=USD","Period=FY","BEST_FPERIOD_OVERRIDE=FY","FILING_STATUS=MR","SCALING_FORMAT=MLN","Sort=A","Dates=H","DateFormat=P","Fill=—","Direction=H","UseDPDF=Y")</f>
        <v>#NAME?</v>
      </c>
      <c r="H13" s="1059" t="e">
        <f ca="1">BDH("BMBL US Equity","CF_CHNG_NON_CASH_WORK_CAP","FY 2023","FY 2023","Currency=USD","Period=FY","BEST_FPERIOD_OVERRIDE=FY","FILING_STATUS=MR","SCALING_FORMAT=MLN","Sort=A","Dates=H","DateFormat=P","Fill=—","Direction=H","UseDPDF=Y")</f>
        <v>#NAME?</v>
      </c>
      <c r="I13" s="1077">
        <v>15.375</v>
      </c>
    </row>
    <row r="14" spans="1:9">
      <c r="A14" s="1058" t="s">
        <v>571</v>
      </c>
      <c r="B14" s="1058" t="s">
        <v>572</v>
      </c>
      <c r="C14" s="1059" t="e">
        <f ca="1">BDH("BMBL US Equity","CF_ACCT_RCV_UNBILLED_REV","FY 2018","FY 2018","Currency=USD","Period=FY","BEST_FPERIOD_OVERRIDE=FY","FILING_STATUS=MR","SCALING_FORMAT=MLN","Sort=A","Dates=H","DateFormat=P","Fill=—","Direction=H","UseDPDF=Y")</f>
        <v>#NAME?</v>
      </c>
      <c r="D14" s="1059" t="e">
        <f ca="1">BDH("BMBL US Equity","CF_ACCT_RCV_UNBILLED_REV","FY 2019","FY 2019","Currency=USD","Period=FY","BEST_FPERIOD_OVERRIDE=FY","FILING_STATUS=MR","SCALING_FORMAT=MLN","Sort=A","Dates=H","DateFormat=P","Fill=—","Direction=H","UseDPDF=Y")</f>
        <v>#NAME?</v>
      </c>
      <c r="E14" s="1059" t="e">
        <f ca="1">BDH("BMBL US Equity","CF_ACCT_RCV_UNBILLED_REV","FY 2020","FY 2020","Currency=USD","Period=FY","BEST_FPERIOD_OVERRIDE=FY","FILING_STATUS=MR","SCALING_FORMAT=MLN","Sort=A","Dates=H","DateFormat=P","Fill=—","Direction=H","UseDPDF=Y")</f>
        <v>#NAME?</v>
      </c>
      <c r="F14" s="1059" t="e">
        <f ca="1">BDH("BMBL US Equity","CF_ACCT_RCV_UNBILLED_REV","FY 2021","FY 2021","Currency=USD","Period=FY","BEST_FPERIOD_OVERRIDE=FY","FILING_STATUS=MR","SCALING_FORMAT=MLN","Sort=A","Dates=H","DateFormat=P","Fill=—","Direction=H","UseDPDF=Y")</f>
        <v>#NAME?</v>
      </c>
      <c r="G14" s="1059" t="e">
        <f ca="1">BDH("BMBL US Equity","CF_ACCT_RCV_UNBILLED_REV","FY 2022","FY 2022","Currency=USD","Period=FY","BEST_FPERIOD_OVERRIDE=FY","FILING_STATUS=MR","SCALING_FORMAT=MLN","Sort=A","Dates=H","DateFormat=P","Fill=—","Direction=H","UseDPDF=Y")</f>
        <v>#NAME?</v>
      </c>
      <c r="H14" s="1059" t="e">
        <f ca="1">BDH("BMBL US Equity","CF_ACCT_RCV_UNBILLED_REV","FY 2023","FY 2023","Currency=USD","Period=FY","BEST_FPERIOD_OVERRIDE=FY","FILING_STATUS=MR","SCALING_FORMAT=MLN","Sort=A","Dates=H","DateFormat=P","Fill=—","Direction=H","UseDPDF=Y")</f>
        <v>#NAME?</v>
      </c>
      <c r="I14" s="1077">
        <v>-2.38800008678436</v>
      </c>
    </row>
    <row r="15" spans="1:9">
      <c r="A15" s="1058" t="s">
        <v>573</v>
      </c>
      <c r="B15" s="1058" t="s">
        <v>574</v>
      </c>
      <c r="C15" s="1059" t="e">
        <f ca="1">BDH("BMBL US Equity","CF_CHANGE_IN_ACCOUNTS_PAYABLE","FY 2018","FY 2018","Currency=USD","Period=FY","BEST_FPERIOD_OVERRIDE=FY","FILING_STATUS=MR","SCALING_FORMAT=MLN","Sort=A","Dates=H","DateFormat=P","Fill=—","Direction=H","UseDPDF=Y")</f>
        <v>#NAME?</v>
      </c>
      <c r="D15" s="1059" t="e">
        <f ca="1">BDH("BMBL US Equity","CF_CHANGE_IN_ACCOUNTS_PAYABLE","FY 2019","FY 2019","Currency=USD","Period=FY","BEST_FPERIOD_OVERRIDE=FY","FILING_STATUS=MR","SCALING_FORMAT=MLN","Sort=A","Dates=H","DateFormat=P","Fill=—","Direction=H","UseDPDF=Y")</f>
        <v>#NAME?</v>
      </c>
      <c r="E15" s="1059" t="e">
        <f ca="1">BDH("BMBL US Equity","CF_CHANGE_IN_ACCOUNTS_PAYABLE","FY 2020","FY 2020","Currency=USD","Period=FY","BEST_FPERIOD_OVERRIDE=FY","FILING_STATUS=MR","SCALING_FORMAT=MLN","Sort=A","Dates=H","DateFormat=P","Fill=—","Direction=H","UseDPDF=Y")</f>
        <v>#NAME?</v>
      </c>
      <c r="F15" s="1059" t="e">
        <f ca="1">BDH("BMBL US Equity","CF_CHANGE_IN_ACCOUNTS_PAYABLE","FY 2021","FY 2021","Currency=USD","Period=FY","BEST_FPERIOD_OVERRIDE=FY","FILING_STATUS=MR","SCALING_FORMAT=MLN","Sort=A","Dates=H","DateFormat=P","Fill=—","Direction=H","UseDPDF=Y")</f>
        <v>#NAME?</v>
      </c>
      <c r="G15" s="1059" t="e">
        <f ca="1">BDH("BMBL US Equity","CF_CHANGE_IN_ACCOUNTS_PAYABLE","FY 2022","FY 2022","Currency=USD","Period=FY","BEST_FPERIOD_OVERRIDE=FY","FILING_STATUS=MR","SCALING_FORMAT=MLN","Sort=A","Dates=H","DateFormat=P","Fill=—","Direction=H","UseDPDF=Y")</f>
        <v>#NAME?</v>
      </c>
      <c r="H15" s="1059" t="e">
        <f ca="1">BDH("BMBL US Equity","CF_CHANGE_IN_ACCOUNTS_PAYABLE","FY 2023","FY 2023","Currency=USD","Period=FY","BEST_FPERIOD_OVERRIDE=FY","FILING_STATUS=MR","SCALING_FORMAT=MLN","Sort=A","Dates=H","DateFormat=P","Fill=—","Direction=H","UseDPDF=Y")</f>
        <v>#NAME?</v>
      </c>
      <c r="I15" s="1077">
        <v>-2.2989999999999999</v>
      </c>
    </row>
    <row r="16" spans="1:9">
      <c r="A16" s="1058" t="s">
        <v>575</v>
      </c>
      <c r="B16" s="1058" t="s">
        <v>576</v>
      </c>
      <c r="C16" s="1059" t="e">
        <f ca="1">BDH("BMBL US Equity","INC_DEC_IN_OT_OP_AST_LIAB_DETAIL","FY 2018","FY 2018","Currency=USD","Period=FY","BEST_FPERIOD_OVERRIDE=FY","FILING_STATUS=MR","SCALING_FORMAT=MLN","Sort=A","Dates=H","DateFormat=P","Fill=—","Direction=H","UseDPDF=Y")</f>
        <v>#NAME?</v>
      </c>
      <c r="D16" s="1059" t="e">
        <f ca="1">BDH("BMBL US Equity","INC_DEC_IN_OT_OP_AST_LIAB_DETAIL","FY 2019","FY 2019","Currency=USD","Period=FY","BEST_FPERIOD_OVERRIDE=FY","FILING_STATUS=MR","SCALING_FORMAT=MLN","Sort=A","Dates=H","DateFormat=P","Fill=—","Direction=H","UseDPDF=Y")</f>
        <v>#NAME?</v>
      </c>
      <c r="E16" s="1059" t="e">
        <f ca="1">BDH("BMBL US Equity","INC_DEC_IN_OT_OP_AST_LIAB_DETAIL","FY 2020","FY 2020","Currency=USD","Period=FY","BEST_FPERIOD_OVERRIDE=FY","FILING_STATUS=MR","SCALING_FORMAT=MLN","Sort=A","Dates=H","DateFormat=P","Fill=—","Direction=H","UseDPDF=Y")</f>
        <v>#NAME?</v>
      </c>
      <c r="F16" s="1059" t="e">
        <f ca="1">BDH("BMBL US Equity","INC_DEC_IN_OT_OP_AST_LIAB_DETAIL","FY 2021","FY 2021","Currency=USD","Period=FY","BEST_FPERIOD_OVERRIDE=FY","FILING_STATUS=MR","SCALING_FORMAT=MLN","Sort=A","Dates=H","DateFormat=P","Fill=—","Direction=H","UseDPDF=Y")</f>
        <v>#NAME?</v>
      </c>
      <c r="G16" s="1059" t="e">
        <f ca="1">BDH("BMBL US Equity","INC_DEC_IN_OT_OP_AST_LIAB_DETAIL","FY 2022","FY 2022","Currency=USD","Period=FY","BEST_FPERIOD_OVERRIDE=FY","FILING_STATUS=MR","SCALING_FORMAT=MLN","Sort=A","Dates=H","DateFormat=P","Fill=—","Direction=H","UseDPDF=Y")</f>
        <v>#NAME?</v>
      </c>
      <c r="H16" s="1059" t="e">
        <f ca="1">BDH("BMBL US Equity","INC_DEC_IN_OT_OP_AST_LIAB_DETAIL","FY 2023","FY 2023","Currency=USD","Period=FY","BEST_FPERIOD_OVERRIDE=FY","FILING_STATUS=MR","SCALING_FORMAT=MLN","Sort=A","Dates=H","DateFormat=P","Fill=—","Direction=H","UseDPDF=Y")</f>
        <v>#NAME?</v>
      </c>
      <c r="I16" s="1077">
        <v>20.062000000000001</v>
      </c>
    </row>
    <row r="17" spans="1:9">
      <c r="A17" s="1058" t="s">
        <v>577</v>
      </c>
      <c r="B17" s="1058" t="s">
        <v>578</v>
      </c>
      <c r="C17" s="1059" t="e">
        <f ca="1">BDH("BMBL US Equity","CF_NET_CASH_DISCONT_OPS_OPER","FY 2018","FY 2018","Currency=USD","Period=FY","BEST_FPERIOD_OVERRIDE=FY","FILING_STATUS=MR","SCALING_FORMAT=MLN","Sort=A","Dates=H","DateFormat=P","Fill=—","Direction=H","UseDPDF=Y")</f>
        <v>#NAME?</v>
      </c>
      <c r="D17" s="1059" t="e">
        <f ca="1">BDH("BMBL US Equity","CF_NET_CASH_DISCONT_OPS_OPER","FY 2019","FY 2019","Currency=USD","Period=FY","BEST_FPERIOD_OVERRIDE=FY","FILING_STATUS=MR","SCALING_FORMAT=MLN","Sort=A","Dates=H","DateFormat=P","Fill=—","Direction=H","UseDPDF=Y")</f>
        <v>#NAME?</v>
      </c>
      <c r="E17" s="1059" t="e">
        <f ca="1">BDH("BMBL US Equity","CF_NET_CASH_DISCONT_OPS_OPER","FY 2020","FY 2020","Currency=USD","Period=FY","BEST_FPERIOD_OVERRIDE=FY","FILING_STATUS=MR","SCALING_FORMAT=MLN","Sort=A","Dates=H","DateFormat=P","Fill=—","Direction=H","UseDPDF=Y")</f>
        <v>#NAME?</v>
      </c>
      <c r="F17" s="1059" t="e">
        <f ca="1">BDH("BMBL US Equity","CF_NET_CASH_DISCONT_OPS_OPER","FY 2021","FY 2021","Currency=USD","Period=FY","BEST_FPERIOD_OVERRIDE=FY","FILING_STATUS=MR","SCALING_FORMAT=MLN","Sort=A","Dates=H","DateFormat=P","Fill=—","Direction=H","UseDPDF=Y")</f>
        <v>#NAME?</v>
      </c>
      <c r="G17" s="1059" t="e">
        <f ca="1">BDH("BMBL US Equity","CF_NET_CASH_DISCONT_OPS_OPER","FY 2022","FY 2022","Currency=USD","Period=FY","BEST_FPERIOD_OVERRIDE=FY","FILING_STATUS=MR","SCALING_FORMAT=MLN","Sort=A","Dates=H","DateFormat=P","Fill=—","Direction=H","UseDPDF=Y")</f>
        <v>#NAME?</v>
      </c>
      <c r="H17" s="1059" t="e">
        <f ca="1">BDH("BMBL US Equity","CF_NET_CASH_DISCONT_OPS_OPER","FY 2023","FY 2023","Currency=USD","Period=FY","BEST_FPERIOD_OVERRIDE=FY","FILING_STATUS=MR","SCALING_FORMAT=MLN","Sort=A","Dates=H","DateFormat=P","Fill=—","Direction=H","UseDPDF=Y")</f>
        <v>#NAME?</v>
      </c>
      <c r="I17" s="1077">
        <v>0</v>
      </c>
    </row>
    <row r="18" spans="1:9">
      <c r="A18" s="1062" t="s">
        <v>556</v>
      </c>
      <c r="B18" s="1062" t="s">
        <v>579</v>
      </c>
      <c r="C18" s="1061" t="e">
        <f ca="1">BDH("BMBL US Equity","CF_CASH_FROM_OPER","FY 2018","FY 2018","Currency=USD","Period=FY","BEST_FPERIOD_OVERRIDE=FY","FILING_STATUS=MR","SCALING_FORMAT=MLN","Sort=A","Dates=H","DateFormat=P","Fill=—","Direction=H","UseDPDF=Y")</f>
        <v>#NAME?</v>
      </c>
      <c r="D18" s="1061" t="e">
        <f ca="1">BDH("BMBL US Equity","CF_CASH_FROM_OPER","FY 2019","FY 2019","Currency=USD","Period=FY","BEST_FPERIOD_OVERRIDE=FY","FILING_STATUS=MR","SCALING_FORMAT=MLN","Sort=A","Dates=H","DateFormat=P","Fill=—","Direction=H","UseDPDF=Y")</f>
        <v>#NAME?</v>
      </c>
      <c r="E18" s="1061" t="e">
        <f ca="1">BDH("BMBL US Equity","CF_CASH_FROM_OPER","FY 2020","FY 2020","Currency=USD","Period=FY","BEST_FPERIOD_OVERRIDE=FY","FILING_STATUS=MR","SCALING_FORMAT=MLN","Sort=A","Dates=H","DateFormat=P","Fill=—","Direction=H","UseDPDF=Y")</f>
        <v>#NAME?</v>
      </c>
      <c r="F18" s="1061" t="e">
        <f ca="1">BDH("BMBL US Equity","CF_CASH_FROM_OPER","FY 2021","FY 2021","Currency=USD","Period=FY","BEST_FPERIOD_OVERRIDE=FY","FILING_STATUS=MR","SCALING_FORMAT=MLN","Sort=A","Dates=H","DateFormat=P","Fill=—","Direction=H","UseDPDF=Y")</f>
        <v>#NAME?</v>
      </c>
      <c r="G18" s="1061" t="e">
        <f ca="1">BDH("BMBL US Equity","CF_CASH_FROM_OPER","FY 2022","FY 2022","Currency=USD","Period=FY","BEST_FPERIOD_OVERRIDE=FY","FILING_STATUS=MR","SCALING_FORMAT=MLN","Sort=A","Dates=H","DateFormat=P","Fill=—","Direction=H","UseDPDF=Y")</f>
        <v>#NAME?</v>
      </c>
      <c r="H18" s="1061" t="e">
        <f ca="1">BDH("BMBL US Equity","CF_CASH_FROM_OPER","FY 2023","FY 2023","Currency=USD","Period=FY","BEST_FPERIOD_OVERRIDE=FY","FILING_STATUS=MR","SCALING_FORMAT=MLN","Sort=A","Dates=H","DateFormat=P","Fill=—","Direction=H","UseDPDF=Y")</f>
        <v>#NAME?</v>
      </c>
      <c r="I18" s="1079">
        <v>161.33099999999999</v>
      </c>
    </row>
    <row r="19" spans="1:9">
      <c r="A19" s="1062"/>
      <c r="B19" s="1063"/>
      <c r="C19" s="1063"/>
      <c r="D19" s="1063"/>
      <c r="E19" s="1063"/>
      <c r="F19" s="1063"/>
      <c r="G19" s="1063"/>
      <c r="H19" s="1063"/>
      <c r="I19" s="1078"/>
    </row>
    <row r="20" spans="1:9">
      <c r="A20" s="1062" t="s">
        <v>580</v>
      </c>
      <c r="B20" s="1063"/>
      <c r="C20" s="1063"/>
      <c r="D20" s="1063"/>
      <c r="E20" s="1063"/>
      <c r="F20" s="1063"/>
      <c r="G20" s="1063"/>
      <c r="H20" s="1063"/>
      <c r="I20" s="1078"/>
    </row>
    <row r="21" spans="1:9">
      <c r="A21" s="1058" t="s">
        <v>581</v>
      </c>
      <c r="B21" s="1058" t="s">
        <v>582</v>
      </c>
      <c r="C21" s="1059" t="e">
        <f ca="1">BDH("BMBL US Equity","FIXED_INTANG_ASST_CHANGE","FY 2018","FY 2018","Currency=USD","Period=FY","BEST_FPERIOD_OVERRIDE=FY","FILING_STATUS=MR","SCALING_FORMAT=MLN","Sort=A","Dates=H","DateFormat=P","Fill=—","Direction=H","UseDPDF=Y")</f>
        <v>#NAME?</v>
      </c>
      <c r="D21" s="1059" t="e">
        <f ca="1">BDH("BMBL US Equity","FIXED_INTANG_ASST_CHANGE","FY 2019","FY 2019","Currency=USD","Period=FY","BEST_FPERIOD_OVERRIDE=FY","FILING_STATUS=MR","SCALING_FORMAT=MLN","Sort=A","Dates=H","DateFormat=P","Fill=—","Direction=H","UseDPDF=Y")</f>
        <v>#NAME?</v>
      </c>
      <c r="E21" s="1059" t="e">
        <f ca="1">BDH("BMBL US Equity","FIXED_INTANG_ASST_CHANGE","FY 2020","FY 2020","Currency=USD","Period=FY","BEST_FPERIOD_OVERRIDE=FY","FILING_STATUS=MR","SCALING_FORMAT=MLN","Sort=A","Dates=H","DateFormat=P","Fill=—","Direction=H","UseDPDF=Y")</f>
        <v>#NAME?</v>
      </c>
      <c r="F21" s="1059" t="e">
        <f ca="1">BDH("BMBL US Equity","FIXED_INTANG_ASST_CHANGE","FY 2021","FY 2021","Currency=USD","Period=FY","BEST_FPERIOD_OVERRIDE=FY","FILING_STATUS=MR","SCALING_FORMAT=MLN","Sort=A","Dates=H","DateFormat=P","Fill=—","Direction=H","UseDPDF=Y")</f>
        <v>#NAME?</v>
      </c>
      <c r="G21" s="1059" t="e">
        <f ca="1">BDH("BMBL US Equity","FIXED_INTANG_ASST_CHANGE","FY 2022","FY 2022","Currency=USD","Period=FY","BEST_FPERIOD_OVERRIDE=FY","FILING_STATUS=MR","SCALING_FORMAT=MLN","Sort=A","Dates=H","DateFormat=P","Fill=—","Direction=H","UseDPDF=Y")</f>
        <v>#NAME?</v>
      </c>
      <c r="H21" s="1059" t="e">
        <f ca="1">BDH("BMBL US Equity","FIXED_INTANG_ASST_CHANGE","FY 2023","FY 2023","Currency=USD","Period=FY","BEST_FPERIOD_OVERRIDE=FY","FILING_STATUS=MR","SCALING_FORMAT=MLN","Sort=A","Dates=H","DateFormat=P","Fill=—","Direction=H","UseDPDF=Y")</f>
        <v>#NAME?</v>
      </c>
      <c r="I21" s="1077">
        <v>-10.256</v>
      </c>
    </row>
    <row r="22" spans="1:9">
      <c r="A22" s="1058" t="s">
        <v>583</v>
      </c>
      <c r="B22" s="1058" t="s">
        <v>584</v>
      </c>
      <c r="C22" s="1059" t="e">
        <f ca="1">BDH("BMBL US Equity","DISPOSAL_OF_FIXED_INTANG","FY 2018","FY 2018","Currency=USD","Period=FY","BEST_FPERIOD_OVERRIDE=FY","FILING_STATUS=MR","SCALING_FORMAT=MLN","Sort=A","Dates=H","DateFormat=P","Fill=—","Direction=H","UseDPDF=Y")</f>
        <v>#NAME?</v>
      </c>
      <c r="D22" s="1059" t="e">
        <f ca="1">BDH("BMBL US Equity","DISPOSAL_OF_FIXED_INTANG","FY 2019","FY 2019","Currency=USD","Period=FY","BEST_FPERIOD_OVERRIDE=FY","FILING_STATUS=MR","SCALING_FORMAT=MLN","Sort=A","Dates=H","DateFormat=P","Fill=—","Direction=H","UseDPDF=Y")</f>
        <v>#NAME?</v>
      </c>
      <c r="E22" s="1059" t="e">
        <f ca="1">BDH("BMBL US Equity","DISPOSAL_OF_FIXED_INTANG","FY 2020","FY 2020","Currency=USD","Period=FY","BEST_FPERIOD_OVERRIDE=FY","FILING_STATUS=MR","SCALING_FORMAT=MLN","Sort=A","Dates=H","DateFormat=P","Fill=—","Direction=H","UseDPDF=Y")</f>
        <v>#NAME?</v>
      </c>
      <c r="F22" s="1059" t="e">
        <f ca="1">BDH("BMBL US Equity","DISPOSAL_OF_FIXED_INTANG","FY 2021","FY 2021","Currency=USD","Period=FY","BEST_FPERIOD_OVERRIDE=FY","FILING_STATUS=MR","SCALING_FORMAT=MLN","Sort=A","Dates=H","DateFormat=P","Fill=—","Direction=H","UseDPDF=Y")</f>
        <v>#NAME?</v>
      </c>
      <c r="G22" s="1059" t="e">
        <f ca="1">BDH("BMBL US Equity","DISPOSAL_OF_FIXED_INTANG","FY 2022","FY 2022","Currency=USD","Period=FY","BEST_FPERIOD_OVERRIDE=FY","FILING_STATUS=MR","SCALING_FORMAT=MLN","Sort=A","Dates=H","DateFormat=P","Fill=—","Direction=H","UseDPDF=Y")</f>
        <v>#NAME?</v>
      </c>
      <c r="H22" s="1059" t="e">
        <f ca="1">BDH("BMBL US Equity","DISPOSAL_OF_FIXED_INTANG","FY 2023","FY 2023","Currency=USD","Period=FY","BEST_FPERIOD_OVERRIDE=FY","FILING_STATUS=MR","SCALING_FORMAT=MLN","Sort=A","Dates=H","DateFormat=P","Fill=—","Direction=H","UseDPDF=Y")</f>
        <v>#NAME?</v>
      </c>
      <c r="I22" s="1077">
        <v>0</v>
      </c>
    </row>
    <row r="23" spans="1:9">
      <c r="A23" s="1082" t="s">
        <v>585</v>
      </c>
      <c r="B23" s="1082" t="s">
        <v>586</v>
      </c>
      <c r="C23" s="1081" t="e">
        <f ca="1">BDH("BMBL US Equity","CF_DISPOSAL_OF_FIXED_PROD_ASSETS","FY 2018","FY 2018","Currency=USD","Period=FY","BEST_FPERIOD_OVERRIDE=FY","FILING_STATUS=MR","SCALING_FORMAT=MLN","Sort=A","Dates=H","DateFormat=P","Fill=—","Direction=H","UseDPDF=Y")</f>
        <v>#NAME?</v>
      </c>
      <c r="D23" s="1081" t="e">
        <f ca="1">BDH("BMBL US Equity","CF_DISPOSAL_OF_FIXED_PROD_ASSETS","FY 2019","FY 2019","Currency=USD","Period=FY","BEST_FPERIOD_OVERRIDE=FY","FILING_STATUS=MR","SCALING_FORMAT=MLN","Sort=A","Dates=H","DateFormat=P","Fill=—","Direction=H","UseDPDF=Y")</f>
        <v>#NAME?</v>
      </c>
      <c r="E23" s="1081" t="e">
        <f ca="1">BDH("BMBL US Equity","CF_DISPOSAL_OF_FIXED_PROD_ASSETS","FY 2020","FY 2020","Currency=USD","Period=FY","BEST_FPERIOD_OVERRIDE=FY","FILING_STATUS=MR","SCALING_FORMAT=MLN","Sort=A","Dates=H","DateFormat=P","Fill=—","Direction=H","UseDPDF=Y")</f>
        <v>#NAME?</v>
      </c>
      <c r="F23" s="1081" t="e">
        <f ca="1">BDH("BMBL US Equity","CF_DISPOSAL_OF_FIXED_PROD_ASSETS","FY 2021","FY 2021","Currency=USD","Period=FY","BEST_FPERIOD_OVERRIDE=FY","FILING_STATUS=MR","SCALING_FORMAT=MLN","Sort=A","Dates=H","DateFormat=P","Fill=—","Direction=H","UseDPDF=Y")</f>
        <v>#NAME?</v>
      </c>
      <c r="G23" s="1081" t="e">
        <f ca="1">BDH("BMBL US Equity","CF_DISPOSAL_OF_FIXED_PROD_ASSETS","FY 2022","FY 2022","Currency=USD","Period=FY","BEST_FPERIOD_OVERRIDE=FY","FILING_STATUS=MR","SCALING_FORMAT=MLN","Sort=A","Dates=H","DateFormat=P","Fill=—","Direction=H","UseDPDF=Y")</f>
        <v>#NAME?</v>
      </c>
      <c r="H23" s="1081" t="e">
        <f ca="1">BDH("BMBL US Equity","CF_DISPOSAL_OF_FIXED_PROD_ASSETS","FY 2023","FY 2023","Currency=USD","Period=FY","BEST_FPERIOD_OVERRIDE=FY","FILING_STATUS=MR","SCALING_FORMAT=MLN","Sort=A","Dates=H","DateFormat=P","Fill=—","Direction=H","UseDPDF=Y")</f>
        <v>#NAME?</v>
      </c>
      <c r="I23" s="1080">
        <v>0</v>
      </c>
    </row>
    <row r="24" spans="1:9">
      <c r="A24" s="1082" t="s">
        <v>587</v>
      </c>
      <c r="B24" s="1082" t="s">
        <v>588</v>
      </c>
      <c r="C24" s="1081" t="e">
        <f ca="1">BDH("BMBL US Equity","CF_DISPOSAL_OF_INTANGIBLE_ASSETS","FY 2018","FY 2018","Currency=USD","Period=FY","BEST_FPERIOD_OVERRIDE=FY","FILING_STATUS=MR","SCALING_FORMAT=MLN","Sort=A","Dates=H","DateFormat=P","Fill=—","Direction=H","UseDPDF=Y")</f>
        <v>#NAME?</v>
      </c>
      <c r="D24" s="1081" t="e">
        <f ca="1">BDH("BMBL US Equity","CF_DISPOSAL_OF_INTANGIBLE_ASSETS","FY 2019","FY 2019","Currency=USD","Period=FY","BEST_FPERIOD_OVERRIDE=FY","FILING_STATUS=MR","SCALING_FORMAT=MLN","Sort=A","Dates=H","DateFormat=P","Fill=—","Direction=H","UseDPDF=Y")</f>
        <v>#NAME?</v>
      </c>
      <c r="E24" s="1081" t="e">
        <f ca="1">BDH("BMBL US Equity","CF_DISPOSAL_OF_INTANGIBLE_ASSETS","FY 2020","FY 2020","Currency=USD","Period=FY","BEST_FPERIOD_OVERRIDE=FY","FILING_STATUS=MR","SCALING_FORMAT=MLN","Sort=A","Dates=H","DateFormat=P","Fill=—","Direction=H","UseDPDF=Y")</f>
        <v>#NAME?</v>
      </c>
      <c r="F24" s="1081" t="e">
        <f ca="1">BDH("BMBL US Equity","CF_DISPOSAL_OF_INTANGIBLE_ASSETS","FY 2021","FY 2021","Currency=USD","Period=FY","BEST_FPERIOD_OVERRIDE=FY","FILING_STATUS=MR","SCALING_FORMAT=MLN","Sort=A","Dates=H","DateFormat=P","Fill=—","Direction=H","UseDPDF=Y")</f>
        <v>#NAME?</v>
      </c>
      <c r="G24" s="1081" t="e">
        <f ca="1">BDH("BMBL US Equity","CF_DISPOSAL_OF_INTANGIBLE_ASSETS","FY 2022","FY 2022","Currency=USD","Period=FY","BEST_FPERIOD_OVERRIDE=FY","FILING_STATUS=MR","SCALING_FORMAT=MLN","Sort=A","Dates=H","DateFormat=P","Fill=—","Direction=H","UseDPDF=Y")</f>
        <v>#NAME?</v>
      </c>
      <c r="H24" s="1081" t="e">
        <f ca="1">BDH("BMBL US Equity","CF_DISPOSAL_OF_INTANGIBLE_ASSETS","FY 2023","FY 2023","Currency=USD","Period=FY","BEST_FPERIOD_OVERRIDE=FY","FILING_STATUS=MR","SCALING_FORMAT=MLN","Sort=A","Dates=H","DateFormat=P","Fill=—","Direction=H","UseDPDF=Y")</f>
        <v>#NAME?</v>
      </c>
      <c r="I24" s="1080">
        <v>0</v>
      </c>
    </row>
    <row r="25" spans="1:9">
      <c r="A25" s="1058" t="s">
        <v>589</v>
      </c>
      <c r="B25" s="1058" t="s">
        <v>590</v>
      </c>
      <c r="C25" s="1059" t="e">
        <f ca="1">BDH("BMBL US Equity","ACQUIS_OF_FIXED_INTANG","FY 2018","FY 2018","Currency=USD","Period=FY","BEST_FPERIOD_OVERRIDE=FY","FILING_STATUS=MR","SCALING_FORMAT=MLN","Sort=A","Dates=H","DateFormat=P","Fill=—","Direction=H","UseDPDF=Y")</f>
        <v>#NAME?</v>
      </c>
      <c r="D25" s="1059" t="e">
        <f ca="1">BDH("BMBL US Equity","ACQUIS_OF_FIXED_INTANG","FY 2019","FY 2019","Currency=USD","Period=FY","BEST_FPERIOD_OVERRIDE=FY","FILING_STATUS=MR","SCALING_FORMAT=MLN","Sort=A","Dates=H","DateFormat=P","Fill=—","Direction=H","UseDPDF=Y")</f>
        <v>#NAME?</v>
      </c>
      <c r="E25" s="1059" t="e">
        <f ca="1">BDH("BMBL US Equity","ACQUIS_OF_FIXED_INTANG","FY 2020","FY 2020","Currency=USD","Period=FY","BEST_FPERIOD_OVERRIDE=FY","FILING_STATUS=MR","SCALING_FORMAT=MLN","Sort=A","Dates=H","DateFormat=P","Fill=—","Direction=H","UseDPDF=Y")</f>
        <v>#NAME?</v>
      </c>
      <c r="F25" s="1059" t="e">
        <f ca="1">BDH("BMBL US Equity","ACQUIS_OF_FIXED_INTANG","FY 2021","FY 2021","Currency=USD","Period=FY","BEST_FPERIOD_OVERRIDE=FY","FILING_STATUS=MR","SCALING_FORMAT=MLN","Sort=A","Dates=H","DateFormat=P","Fill=—","Direction=H","UseDPDF=Y")</f>
        <v>#NAME?</v>
      </c>
      <c r="G25" s="1059" t="e">
        <f ca="1">BDH("BMBL US Equity","ACQUIS_OF_FIXED_INTANG","FY 2022","FY 2022","Currency=USD","Period=FY","BEST_FPERIOD_OVERRIDE=FY","FILING_STATUS=MR","SCALING_FORMAT=MLN","Sort=A","Dates=H","DateFormat=P","Fill=—","Direction=H","UseDPDF=Y")</f>
        <v>#NAME?</v>
      </c>
      <c r="H25" s="1059" t="e">
        <f ca="1">BDH("BMBL US Equity","ACQUIS_OF_FIXED_INTANG","FY 2023","FY 2023","Currency=USD","Period=FY","BEST_FPERIOD_OVERRIDE=FY","FILING_STATUS=MR","SCALING_FORMAT=MLN","Sort=A","Dates=H","DateFormat=P","Fill=—","Direction=H","UseDPDF=Y")</f>
        <v>#NAME?</v>
      </c>
      <c r="I25" s="1077">
        <v>-10.256</v>
      </c>
    </row>
    <row r="26" spans="1:9">
      <c r="A26" s="1082" t="s">
        <v>591</v>
      </c>
      <c r="B26" s="1082" t="s">
        <v>592</v>
      </c>
      <c r="C26" s="1081" t="e">
        <f ca="1">BDH("BMBL US Equity","CF_PURCHASE_OF_FIXED_PROD_ASSETS","FY 2018","FY 2018","Currency=USD","Period=FY","BEST_FPERIOD_OVERRIDE=FY","FILING_STATUS=MR","SCALING_FORMAT=MLN","Sort=A","Dates=H","DateFormat=P","Fill=—","Direction=H","UseDPDF=Y")</f>
        <v>#NAME?</v>
      </c>
      <c r="D26" s="1081" t="e">
        <f ca="1">BDH("BMBL US Equity","CF_PURCHASE_OF_FIXED_PROD_ASSETS","FY 2019","FY 2019","Currency=USD","Period=FY","BEST_FPERIOD_OVERRIDE=FY","FILING_STATUS=MR","SCALING_FORMAT=MLN","Sort=A","Dates=H","DateFormat=P","Fill=—","Direction=H","UseDPDF=Y")</f>
        <v>#NAME?</v>
      </c>
      <c r="E26" s="1081" t="e">
        <f ca="1">BDH("BMBL US Equity","CF_PURCHASE_OF_FIXED_PROD_ASSETS","FY 2020","FY 2020","Currency=USD","Period=FY","BEST_FPERIOD_OVERRIDE=FY","FILING_STATUS=MR","SCALING_FORMAT=MLN","Sort=A","Dates=H","DateFormat=P","Fill=—","Direction=H","UseDPDF=Y")</f>
        <v>#NAME?</v>
      </c>
      <c r="F26" s="1081" t="e">
        <f ca="1">BDH("BMBL US Equity","CF_PURCHASE_OF_FIXED_PROD_ASSETS","FY 2021","FY 2021","Currency=USD","Period=FY","BEST_FPERIOD_OVERRIDE=FY","FILING_STATUS=MR","SCALING_FORMAT=MLN","Sort=A","Dates=H","DateFormat=P","Fill=—","Direction=H","UseDPDF=Y")</f>
        <v>#NAME?</v>
      </c>
      <c r="G26" s="1081" t="e">
        <f ca="1">BDH("BMBL US Equity","CF_PURCHASE_OF_FIXED_PROD_ASSETS","FY 2022","FY 2022","Currency=USD","Period=FY","BEST_FPERIOD_OVERRIDE=FY","FILING_STATUS=MR","SCALING_FORMAT=MLN","Sort=A","Dates=H","DateFormat=P","Fill=—","Direction=H","UseDPDF=Y")</f>
        <v>#NAME?</v>
      </c>
      <c r="H26" s="1081" t="e">
        <f ca="1">BDH("BMBL US Equity","CF_PURCHASE_OF_FIXED_PROD_ASSETS","FY 2023","FY 2023","Currency=USD","Period=FY","BEST_FPERIOD_OVERRIDE=FY","FILING_STATUS=MR","SCALING_FORMAT=MLN","Sort=A","Dates=H","DateFormat=P","Fill=—","Direction=H","UseDPDF=Y")</f>
        <v>#NAME?</v>
      </c>
      <c r="I26" s="1080">
        <v>-10.256</v>
      </c>
    </row>
    <row r="27" spans="1:9">
      <c r="A27" s="1082" t="s">
        <v>593</v>
      </c>
      <c r="B27" s="1082" t="s">
        <v>594</v>
      </c>
      <c r="C27" s="1081" t="e">
        <f ca="1">BDH("BMBL US Equity","CF_ACQUISITION_OF_INTANG_ASSETS","FY 2018","FY 2018","Currency=USD","Period=FY","BEST_FPERIOD_OVERRIDE=FY","FILING_STATUS=MR","SCALING_FORMAT=MLN","Sort=A","Dates=H","DateFormat=P","Fill=—","Direction=H","UseDPDF=Y")</f>
        <v>#NAME?</v>
      </c>
      <c r="D27" s="1081" t="e">
        <f ca="1">BDH("BMBL US Equity","CF_ACQUISITION_OF_INTANG_ASSETS","FY 2019","FY 2019","Currency=USD","Period=FY","BEST_FPERIOD_OVERRIDE=FY","FILING_STATUS=MR","SCALING_FORMAT=MLN","Sort=A","Dates=H","DateFormat=P","Fill=—","Direction=H","UseDPDF=Y")</f>
        <v>#NAME?</v>
      </c>
      <c r="E27" s="1081" t="e">
        <f ca="1">BDH("BMBL US Equity","CF_ACQUISITION_OF_INTANG_ASSETS","FY 2020","FY 2020","Currency=USD","Period=FY","BEST_FPERIOD_OVERRIDE=FY","FILING_STATUS=MR","SCALING_FORMAT=MLN","Sort=A","Dates=H","DateFormat=P","Fill=—","Direction=H","UseDPDF=Y")</f>
        <v>#NAME?</v>
      </c>
      <c r="F27" s="1081" t="e">
        <f ca="1">BDH("BMBL US Equity","CF_ACQUISITION_OF_INTANG_ASSETS","FY 2021","FY 2021","Currency=USD","Period=FY","BEST_FPERIOD_OVERRIDE=FY","FILING_STATUS=MR","SCALING_FORMAT=MLN","Sort=A","Dates=H","DateFormat=P","Fill=—","Direction=H","UseDPDF=Y")</f>
        <v>#NAME?</v>
      </c>
      <c r="G27" s="1081" t="e">
        <f ca="1">BDH("BMBL US Equity","CF_ACQUISITION_OF_INTANG_ASSETS","FY 2022","FY 2022","Currency=USD","Period=FY","BEST_FPERIOD_OVERRIDE=FY","FILING_STATUS=MR","SCALING_FORMAT=MLN","Sort=A","Dates=H","DateFormat=P","Fill=—","Direction=H","UseDPDF=Y")</f>
        <v>#NAME?</v>
      </c>
      <c r="H27" s="1081" t="e">
        <f ca="1">BDH("BMBL US Equity","CF_ACQUISITION_OF_INTANG_ASSETS","FY 2023","FY 2023","Currency=USD","Period=FY","BEST_FPERIOD_OVERRIDE=FY","FILING_STATUS=MR","SCALING_FORMAT=MLN","Sort=A","Dates=H","DateFormat=P","Fill=—","Direction=H","UseDPDF=Y")</f>
        <v>#NAME?</v>
      </c>
      <c r="I27" s="1080">
        <v>0</v>
      </c>
    </row>
    <row r="28" spans="1:9">
      <c r="A28" s="1058" t="s">
        <v>595</v>
      </c>
      <c r="B28" s="1058" t="s">
        <v>596</v>
      </c>
      <c r="C28" s="1059" t="e">
        <f ca="1">BDH("BMBL US Equity","NET_CHG_IN_LT_INVEST_DETAILED","FY 2018","FY 2018","Currency=USD","Period=FY","BEST_FPERIOD_OVERRIDE=FY","FILING_STATUS=MR","SCALING_FORMAT=MLN","Sort=A","Dates=H","DateFormat=P","Fill=—","Direction=H","UseDPDF=Y")</f>
        <v>#NAME?</v>
      </c>
      <c r="D28" s="1059" t="e">
        <f ca="1">BDH("BMBL US Equity","NET_CHG_IN_LT_INVEST_DETAILED","FY 2019","FY 2019","Currency=USD","Period=FY","BEST_FPERIOD_OVERRIDE=FY","FILING_STATUS=MR","SCALING_FORMAT=MLN","Sort=A","Dates=H","DateFormat=P","Fill=—","Direction=H","UseDPDF=Y")</f>
        <v>#NAME?</v>
      </c>
      <c r="E28" s="1059" t="e">
        <f ca="1">BDH("BMBL US Equity","NET_CHG_IN_LT_INVEST_DETAILED","FY 2020","FY 2020","Currency=USD","Period=FY","BEST_FPERIOD_OVERRIDE=FY","FILING_STATUS=MR","SCALING_FORMAT=MLN","Sort=A","Dates=H","DateFormat=P","Fill=—","Direction=H","UseDPDF=Y")</f>
        <v>#NAME?</v>
      </c>
      <c r="F28" s="1059" t="e">
        <f ca="1">BDH("BMBL US Equity","NET_CHG_IN_LT_INVEST_DETAILED","FY 2021","FY 2021","Currency=USD","Period=FY","BEST_FPERIOD_OVERRIDE=FY","FILING_STATUS=MR","SCALING_FORMAT=MLN","Sort=A","Dates=H","DateFormat=P","Fill=—","Direction=H","UseDPDF=Y")</f>
        <v>#NAME?</v>
      </c>
      <c r="G28" s="1059" t="e">
        <f ca="1">BDH("BMBL US Equity","NET_CHG_IN_LT_INVEST_DETAILED","FY 2022","FY 2022","Currency=USD","Period=FY","BEST_FPERIOD_OVERRIDE=FY","FILING_STATUS=MR","SCALING_FORMAT=MLN","Sort=A","Dates=H","DateFormat=P","Fill=—","Direction=H","UseDPDF=Y")</f>
        <v>#NAME?</v>
      </c>
      <c r="H28" s="1059" t="e">
        <f ca="1">BDH("BMBL US Equity","NET_CHG_IN_LT_INVEST_DETAILED","FY 2023","FY 2023","Currency=USD","Period=FY","BEST_FPERIOD_OVERRIDE=FY","FILING_STATUS=MR","SCALING_FORMAT=MLN","Sort=A","Dates=H","DateFormat=P","Fill=—","Direction=H","UseDPDF=Y")</f>
        <v>#NAME?</v>
      </c>
      <c r="I28" s="1077">
        <v>0</v>
      </c>
    </row>
    <row r="29" spans="1:9">
      <c r="A29" s="1058" t="s">
        <v>597</v>
      </c>
      <c r="B29" s="1058" t="s">
        <v>598</v>
      </c>
      <c r="C29" s="1059" t="e">
        <f ca="1">BDH("BMBL US Equity","CF_DECR_INVEST","FY 2018","FY 2018","Currency=USD","Period=FY","BEST_FPERIOD_OVERRIDE=FY","FILING_STATUS=MR","SCALING_FORMAT=MLN","Sort=A","Dates=H","DateFormat=P","Fill=—","Direction=H","UseDPDF=Y")</f>
        <v>#NAME?</v>
      </c>
      <c r="D29" s="1059" t="e">
        <f ca="1">BDH("BMBL US Equity","CF_DECR_INVEST","FY 2019","FY 2019","Currency=USD","Period=FY","BEST_FPERIOD_OVERRIDE=FY","FILING_STATUS=MR","SCALING_FORMAT=MLN","Sort=A","Dates=H","DateFormat=P","Fill=—","Direction=H","UseDPDF=Y")</f>
        <v>#NAME?</v>
      </c>
      <c r="E29" s="1059" t="e">
        <f ca="1">BDH("BMBL US Equity","CF_DECR_INVEST","FY 2020","FY 2020","Currency=USD","Period=FY","BEST_FPERIOD_OVERRIDE=FY","FILING_STATUS=MR","SCALING_FORMAT=MLN","Sort=A","Dates=H","DateFormat=P","Fill=—","Direction=H","UseDPDF=Y")</f>
        <v>#NAME?</v>
      </c>
      <c r="F29" s="1059" t="e">
        <f ca="1">BDH("BMBL US Equity","CF_DECR_INVEST","FY 2021","FY 2021","Currency=USD","Period=FY","BEST_FPERIOD_OVERRIDE=FY","FILING_STATUS=MR","SCALING_FORMAT=MLN","Sort=A","Dates=H","DateFormat=P","Fill=—","Direction=H","UseDPDF=Y")</f>
        <v>#NAME?</v>
      </c>
      <c r="G29" s="1059" t="e">
        <f ca="1">BDH("BMBL US Equity","CF_DECR_INVEST","FY 2022","FY 2022","Currency=USD","Period=FY","BEST_FPERIOD_OVERRIDE=FY","FILING_STATUS=MR","SCALING_FORMAT=MLN","Sort=A","Dates=H","DateFormat=P","Fill=—","Direction=H","UseDPDF=Y")</f>
        <v>#NAME?</v>
      </c>
      <c r="H29" s="1059" t="e">
        <f ca="1">BDH("BMBL US Equity","CF_DECR_INVEST","FY 2023","FY 2023","Currency=USD","Period=FY","BEST_FPERIOD_OVERRIDE=FY","FILING_STATUS=MR","SCALING_FORMAT=MLN","Sort=A","Dates=H","DateFormat=P","Fill=—","Direction=H","UseDPDF=Y")</f>
        <v>#NAME?</v>
      </c>
      <c r="I29" s="1077">
        <v>0</v>
      </c>
    </row>
    <row r="30" spans="1:9">
      <c r="A30" s="1058" t="s">
        <v>599</v>
      </c>
      <c r="B30" s="1058" t="s">
        <v>600</v>
      </c>
      <c r="C30" s="1059" t="e">
        <f ca="1">BDH("BMBL US Equity","CF_INCR_INVEST","FY 2018","FY 2018","Currency=USD","Period=FY","BEST_FPERIOD_OVERRIDE=FY","FILING_STATUS=MR","SCALING_FORMAT=MLN","Sort=A","Dates=H","DateFormat=P","Fill=—","Direction=H","UseDPDF=Y")</f>
        <v>#NAME?</v>
      </c>
      <c r="D30" s="1059" t="e">
        <f ca="1">BDH("BMBL US Equity","CF_INCR_INVEST","FY 2019","FY 2019","Currency=USD","Period=FY","BEST_FPERIOD_OVERRIDE=FY","FILING_STATUS=MR","SCALING_FORMAT=MLN","Sort=A","Dates=H","DateFormat=P","Fill=—","Direction=H","UseDPDF=Y")</f>
        <v>#NAME?</v>
      </c>
      <c r="E30" s="1059" t="e">
        <f ca="1">BDH("BMBL US Equity","CF_INCR_INVEST","FY 2020","FY 2020","Currency=USD","Period=FY","BEST_FPERIOD_OVERRIDE=FY","FILING_STATUS=MR","SCALING_FORMAT=MLN","Sort=A","Dates=H","DateFormat=P","Fill=—","Direction=H","UseDPDF=Y")</f>
        <v>#NAME?</v>
      </c>
      <c r="F30" s="1059" t="e">
        <f ca="1">BDH("BMBL US Equity","CF_INCR_INVEST","FY 2021","FY 2021","Currency=USD","Period=FY","BEST_FPERIOD_OVERRIDE=FY","FILING_STATUS=MR","SCALING_FORMAT=MLN","Sort=A","Dates=H","DateFormat=P","Fill=—","Direction=H","UseDPDF=Y")</f>
        <v>#NAME?</v>
      </c>
      <c r="G30" s="1059" t="e">
        <f ca="1">BDH("BMBL US Equity","CF_INCR_INVEST","FY 2022","FY 2022","Currency=USD","Period=FY","BEST_FPERIOD_OVERRIDE=FY","FILING_STATUS=MR","SCALING_FORMAT=MLN","Sort=A","Dates=H","DateFormat=P","Fill=—","Direction=H","UseDPDF=Y")</f>
        <v>#NAME?</v>
      </c>
      <c r="H30" s="1059" t="e">
        <f ca="1">BDH("BMBL US Equity","CF_INCR_INVEST","FY 2023","FY 2023","Currency=USD","Period=FY","BEST_FPERIOD_OVERRIDE=FY","FILING_STATUS=MR","SCALING_FORMAT=MLN","Sort=A","Dates=H","DateFormat=P","Fill=—","Direction=H","UseDPDF=Y")</f>
        <v>#NAME?</v>
      </c>
      <c r="I30" s="1077">
        <v>0</v>
      </c>
    </row>
    <row r="31" spans="1:9">
      <c r="A31" s="1058" t="s">
        <v>601</v>
      </c>
      <c r="B31" s="1058" t="s">
        <v>602</v>
      </c>
      <c r="C31" s="1059" t="e">
        <f ca="1">BDH("BMBL US Equity","CF_NT_CSH_RCVD_PD_FOR_ACQUIS_DIV","FY 2018","FY 2018","Currency=USD","Period=FY","BEST_FPERIOD_OVERRIDE=FY","FILING_STATUS=MR","SCALING_FORMAT=MLN","Sort=A","Dates=H","DateFormat=P","Fill=—","Direction=H","UseDPDF=Y")</f>
        <v>#NAME?</v>
      </c>
      <c r="D31" s="1059" t="e">
        <f ca="1">BDH("BMBL US Equity","CF_NT_CSH_RCVD_PD_FOR_ACQUIS_DIV","FY 2019","FY 2019","Currency=USD","Period=FY","BEST_FPERIOD_OVERRIDE=FY","FILING_STATUS=MR","SCALING_FORMAT=MLN","Sort=A","Dates=H","DateFormat=P","Fill=—","Direction=H","UseDPDF=Y")</f>
        <v>#NAME?</v>
      </c>
      <c r="E31" s="1059" t="e">
        <f ca="1">BDH("BMBL US Equity","CF_NT_CSH_RCVD_PD_FOR_ACQUIS_DIV","FY 2020","FY 2020","Currency=USD","Period=FY","BEST_FPERIOD_OVERRIDE=FY","FILING_STATUS=MR","SCALING_FORMAT=MLN","Sort=A","Dates=H","DateFormat=P","Fill=—","Direction=H","UseDPDF=Y")</f>
        <v>#NAME?</v>
      </c>
      <c r="F31" s="1059" t="e">
        <f ca="1">BDH("BMBL US Equity","CF_NT_CSH_RCVD_PD_FOR_ACQUIS_DIV","FY 2021","FY 2021","Currency=USD","Period=FY","BEST_FPERIOD_OVERRIDE=FY","FILING_STATUS=MR","SCALING_FORMAT=MLN","Sort=A","Dates=H","DateFormat=P","Fill=—","Direction=H","UseDPDF=Y")</f>
        <v>#NAME?</v>
      </c>
      <c r="G31" s="1059" t="e">
        <f ca="1">BDH("BMBL US Equity","CF_NT_CSH_RCVD_PD_FOR_ACQUIS_DIV","FY 2022","FY 2022","Currency=USD","Period=FY","BEST_FPERIOD_OVERRIDE=FY","FILING_STATUS=MR","SCALING_FORMAT=MLN","Sort=A","Dates=H","DateFormat=P","Fill=—","Direction=H","UseDPDF=Y")</f>
        <v>#NAME?</v>
      </c>
      <c r="H31" s="1059" t="e">
        <f ca="1">BDH("BMBL US Equity","CF_NT_CSH_RCVD_PD_FOR_ACQUIS_DIV","FY 2023","FY 2023","Currency=USD","Period=FY","BEST_FPERIOD_OVERRIDE=FY","FILING_STATUS=MR","SCALING_FORMAT=MLN","Sort=A","Dates=H","DateFormat=P","Fill=—","Direction=H","UseDPDF=Y")</f>
        <v>#NAME?</v>
      </c>
      <c r="I31" s="1077">
        <v>5.7000000000000002E-2</v>
      </c>
    </row>
    <row r="32" spans="1:9">
      <c r="A32" s="1058" t="s">
        <v>603</v>
      </c>
      <c r="B32" s="1058" t="s">
        <v>604</v>
      </c>
      <c r="C32" s="1059" t="e">
        <f ca="1">BDH("BMBL US Equity","CF_CASH_FOR_DIVESTITURES","FY 2018","FY 2018","Currency=USD","Period=FY","BEST_FPERIOD_OVERRIDE=FY","FILING_STATUS=MR","SCALING_FORMAT=MLN","Sort=A","Dates=H","DateFormat=P","Fill=—","Direction=H","UseDPDF=Y")</f>
        <v>#NAME?</v>
      </c>
      <c r="D32" s="1059" t="e">
        <f ca="1">BDH("BMBL US Equity","CF_CASH_FOR_DIVESTITURES","FY 2019","FY 2019","Currency=USD","Period=FY","BEST_FPERIOD_OVERRIDE=FY","FILING_STATUS=MR","SCALING_FORMAT=MLN","Sort=A","Dates=H","DateFormat=P","Fill=—","Direction=H","UseDPDF=Y")</f>
        <v>#NAME?</v>
      </c>
      <c r="E32" s="1059" t="e">
        <f ca="1">BDH("BMBL US Equity","CF_CASH_FOR_DIVESTITURES","FY 2020","FY 2020","Currency=USD","Period=FY","BEST_FPERIOD_OVERRIDE=FY","FILING_STATUS=MR","SCALING_FORMAT=MLN","Sort=A","Dates=H","DateFormat=P","Fill=—","Direction=H","UseDPDF=Y")</f>
        <v>#NAME?</v>
      </c>
      <c r="F32" s="1059" t="e">
        <f ca="1">BDH("BMBL US Equity","CF_CASH_FOR_DIVESTITURES","FY 2021","FY 2021","Currency=USD","Period=FY","BEST_FPERIOD_OVERRIDE=FY","FILING_STATUS=MR","SCALING_FORMAT=MLN","Sort=A","Dates=H","DateFormat=P","Fill=—","Direction=H","UseDPDF=Y")</f>
        <v>#NAME?</v>
      </c>
      <c r="G32" s="1059" t="e">
        <f ca="1">BDH("BMBL US Equity","CF_CASH_FOR_DIVESTITURES","FY 2022","FY 2022","Currency=USD","Period=FY","BEST_FPERIOD_OVERRIDE=FY","FILING_STATUS=MR","SCALING_FORMAT=MLN","Sort=A","Dates=H","DateFormat=P","Fill=—","Direction=H","UseDPDF=Y")</f>
        <v>#NAME?</v>
      </c>
      <c r="H32" s="1059" t="e">
        <f ca="1">BDH("BMBL US Equity","CF_CASH_FOR_DIVESTITURES","FY 2023","FY 2023","Currency=USD","Period=FY","BEST_FPERIOD_OVERRIDE=FY","FILING_STATUS=MR","SCALING_FORMAT=MLN","Sort=A","Dates=H","DateFormat=P","Fill=—","Direction=H","UseDPDF=Y")</f>
        <v>#NAME?</v>
      </c>
      <c r="I32" s="1077">
        <v>0</v>
      </c>
    </row>
    <row r="33" spans="1:9">
      <c r="A33" s="1058" t="s">
        <v>605</v>
      </c>
      <c r="B33" s="1058" t="s">
        <v>606</v>
      </c>
      <c r="C33" s="1059" t="e">
        <f ca="1">BDH("BMBL US Equity","CF_CASH_FOR_ACQUIS_SUBSIDIARIES","FY 2018","FY 2018","Currency=USD","Period=FY","BEST_FPERIOD_OVERRIDE=FY","FILING_STATUS=MR","SCALING_FORMAT=MLN","Sort=A","Dates=H","DateFormat=P","Fill=—","Direction=H","UseDPDF=Y")</f>
        <v>#NAME?</v>
      </c>
      <c r="D33" s="1059" t="e">
        <f ca="1">BDH("BMBL US Equity","CF_CASH_FOR_ACQUIS_SUBSIDIARIES","FY 2019","FY 2019","Currency=USD","Period=FY","BEST_FPERIOD_OVERRIDE=FY","FILING_STATUS=MR","SCALING_FORMAT=MLN","Sort=A","Dates=H","DateFormat=P","Fill=—","Direction=H","UseDPDF=Y")</f>
        <v>#NAME?</v>
      </c>
      <c r="E33" s="1059" t="e">
        <f ca="1">BDH("BMBL US Equity","CF_CASH_FOR_ACQUIS_SUBSIDIARIES","FY 2020","FY 2020","Currency=USD","Period=FY","BEST_FPERIOD_OVERRIDE=FY","FILING_STATUS=MR","SCALING_FORMAT=MLN","Sort=A","Dates=H","DateFormat=P","Fill=—","Direction=H","UseDPDF=Y")</f>
        <v>#NAME?</v>
      </c>
      <c r="F33" s="1059" t="e">
        <f ca="1">BDH("BMBL US Equity","CF_CASH_FOR_ACQUIS_SUBSIDIARIES","FY 2021","FY 2021","Currency=USD","Period=FY","BEST_FPERIOD_OVERRIDE=FY","FILING_STATUS=MR","SCALING_FORMAT=MLN","Sort=A","Dates=H","DateFormat=P","Fill=—","Direction=H","UseDPDF=Y")</f>
        <v>#NAME?</v>
      </c>
      <c r="G33" s="1059" t="e">
        <f ca="1">BDH("BMBL US Equity","CF_CASH_FOR_ACQUIS_SUBSIDIARIES","FY 2022","FY 2022","Currency=USD","Period=FY","BEST_FPERIOD_OVERRIDE=FY","FILING_STATUS=MR","SCALING_FORMAT=MLN","Sort=A","Dates=H","DateFormat=P","Fill=—","Direction=H","UseDPDF=Y")</f>
        <v>#NAME?</v>
      </c>
      <c r="H33" s="1059" t="e">
        <f ca="1">BDH("BMBL US Equity","CF_CASH_FOR_ACQUIS_SUBSIDIARIES","FY 2023","FY 2023","Currency=USD","Period=FY","BEST_FPERIOD_OVERRIDE=FY","FILING_STATUS=MR","SCALING_FORMAT=MLN","Sort=A","Dates=H","DateFormat=P","Fill=—","Direction=H","UseDPDF=Y")</f>
        <v>#NAME?</v>
      </c>
      <c r="I33" s="1077">
        <v>5.7000000000000002E-2</v>
      </c>
    </row>
    <row r="34" spans="1:9">
      <c r="A34" s="1058" t="s">
        <v>607</v>
      </c>
      <c r="B34" s="1058" t="s">
        <v>608</v>
      </c>
      <c r="C34" s="1059" t="e">
        <f ca="1">BDH("BMBL US Equity","CF_CASH_FOR_JOINT_VENTURES_ASSOC","FY 2018","FY 2018","Currency=USD","Period=FY","BEST_FPERIOD_OVERRIDE=FY","FILING_STATUS=MR","SCALING_FORMAT=MLN","Sort=A","Dates=H","DateFormat=P","Fill=—","Direction=H","UseDPDF=Y")</f>
        <v>#NAME?</v>
      </c>
      <c r="D34" s="1059" t="e">
        <f ca="1">BDH("BMBL US Equity","CF_CASH_FOR_JOINT_VENTURES_ASSOC","FY 2019","FY 2019","Currency=USD","Period=FY","BEST_FPERIOD_OVERRIDE=FY","FILING_STATUS=MR","SCALING_FORMAT=MLN","Sort=A","Dates=H","DateFormat=P","Fill=—","Direction=H","UseDPDF=Y")</f>
        <v>#NAME?</v>
      </c>
      <c r="E34" s="1059" t="e">
        <f ca="1">BDH("BMBL US Equity","CF_CASH_FOR_JOINT_VENTURES_ASSOC","FY 2020","FY 2020","Currency=USD","Period=FY","BEST_FPERIOD_OVERRIDE=FY","FILING_STATUS=MR","SCALING_FORMAT=MLN","Sort=A","Dates=H","DateFormat=P","Fill=—","Direction=H","UseDPDF=Y")</f>
        <v>#NAME?</v>
      </c>
      <c r="F34" s="1059" t="e">
        <f ca="1">BDH("BMBL US Equity","CF_CASH_FOR_JOINT_VENTURES_ASSOC","FY 2021","FY 2021","Currency=USD","Period=FY","BEST_FPERIOD_OVERRIDE=FY","FILING_STATUS=MR","SCALING_FORMAT=MLN","Sort=A","Dates=H","DateFormat=P","Fill=—","Direction=H","UseDPDF=Y")</f>
        <v>#NAME?</v>
      </c>
      <c r="G34" s="1059" t="e">
        <f ca="1">BDH("BMBL US Equity","CF_CASH_FOR_JOINT_VENTURES_ASSOC","FY 2022","FY 2022","Currency=USD","Period=FY","BEST_FPERIOD_OVERRIDE=FY","FILING_STATUS=MR","SCALING_FORMAT=MLN","Sort=A","Dates=H","DateFormat=P","Fill=—","Direction=H","UseDPDF=Y")</f>
        <v>#NAME?</v>
      </c>
      <c r="H34" s="1059" t="e">
        <f ca="1">BDH("BMBL US Equity","CF_CASH_FOR_JOINT_VENTURES_ASSOC","FY 2023","FY 2023","Currency=USD","Period=FY","BEST_FPERIOD_OVERRIDE=FY","FILING_STATUS=MR","SCALING_FORMAT=MLN","Sort=A","Dates=H","DateFormat=P","Fill=—","Direction=H","UseDPDF=Y")</f>
        <v>#NAME?</v>
      </c>
      <c r="I34" s="1077">
        <v>0</v>
      </c>
    </row>
    <row r="35" spans="1:9">
      <c r="A35" s="1058" t="s">
        <v>609</v>
      </c>
      <c r="B35" s="1058" t="s">
        <v>610</v>
      </c>
      <c r="C35" s="1059" t="e">
        <f ca="1">BDH("BMBL US Equity","OTHER_INVESTING_ACT_DETAILED","FY 2018","FY 2018","Currency=USD","Period=FY","BEST_FPERIOD_OVERRIDE=FY","FILING_STATUS=MR","SCALING_FORMAT=MLN","Sort=A","Dates=H","DateFormat=P","Fill=—","Direction=H","UseDPDF=Y")</f>
        <v>#NAME?</v>
      </c>
      <c r="D35" s="1059" t="e">
        <f ca="1">BDH("BMBL US Equity","OTHER_INVESTING_ACT_DETAILED","FY 2019","FY 2019","Currency=USD","Period=FY","BEST_FPERIOD_OVERRIDE=FY","FILING_STATUS=MR","SCALING_FORMAT=MLN","Sort=A","Dates=H","DateFormat=P","Fill=—","Direction=H","UseDPDF=Y")</f>
        <v>#NAME?</v>
      </c>
      <c r="E35" s="1059" t="e">
        <f ca="1">BDH("BMBL US Equity","OTHER_INVESTING_ACT_DETAILED","FY 2020","FY 2020","Currency=USD","Period=FY","BEST_FPERIOD_OVERRIDE=FY","FILING_STATUS=MR","SCALING_FORMAT=MLN","Sort=A","Dates=H","DateFormat=P","Fill=—","Direction=H","UseDPDF=Y")</f>
        <v>#NAME?</v>
      </c>
      <c r="F35" s="1059" t="e">
        <f ca="1">BDH("BMBL US Equity","OTHER_INVESTING_ACT_DETAILED","FY 2021","FY 2021","Currency=USD","Period=FY","BEST_FPERIOD_OVERRIDE=FY","FILING_STATUS=MR","SCALING_FORMAT=MLN","Sort=A","Dates=H","DateFormat=P","Fill=—","Direction=H","UseDPDF=Y")</f>
        <v>#NAME?</v>
      </c>
      <c r="G35" s="1059" t="e">
        <f ca="1">BDH("BMBL US Equity","OTHER_INVESTING_ACT_DETAILED","FY 2022","FY 2022","Currency=USD","Period=FY","BEST_FPERIOD_OVERRIDE=FY","FILING_STATUS=MR","SCALING_FORMAT=MLN","Sort=A","Dates=H","DateFormat=P","Fill=—","Direction=H","UseDPDF=Y")</f>
        <v>#NAME?</v>
      </c>
      <c r="H35" s="1059" t="e">
        <f ca="1">BDH("BMBL US Equity","OTHER_INVESTING_ACT_DETAILED","FY 2023","FY 2023","Currency=USD","Period=FY","BEST_FPERIOD_OVERRIDE=FY","FILING_STATUS=MR","SCALING_FORMAT=MLN","Sort=A","Dates=H","DateFormat=P","Fill=—","Direction=H","UseDPDF=Y")</f>
        <v>#NAME?</v>
      </c>
      <c r="I35" s="1077">
        <v>0</v>
      </c>
    </row>
    <row r="36" spans="1:9">
      <c r="A36" s="1058" t="s">
        <v>577</v>
      </c>
      <c r="B36" s="1058" t="s">
        <v>611</v>
      </c>
      <c r="C36" s="1059" t="e">
        <f ca="1">BDH("BMBL US Equity","CF_NET_CASH_DISCONTINUED_OPS_INV","FY 2018","FY 2018","Currency=USD","Period=FY","BEST_FPERIOD_OVERRIDE=FY","FILING_STATUS=MR","SCALING_FORMAT=MLN","Sort=A","Dates=H","DateFormat=P","Fill=—","Direction=H","UseDPDF=Y")</f>
        <v>#NAME?</v>
      </c>
      <c r="D36" s="1059" t="e">
        <f ca="1">BDH("BMBL US Equity","CF_NET_CASH_DISCONTINUED_OPS_INV","FY 2019","FY 2019","Currency=USD","Period=FY","BEST_FPERIOD_OVERRIDE=FY","FILING_STATUS=MR","SCALING_FORMAT=MLN","Sort=A","Dates=H","DateFormat=P","Fill=—","Direction=H","UseDPDF=Y")</f>
        <v>#NAME?</v>
      </c>
      <c r="E36" s="1059" t="e">
        <f ca="1">BDH("BMBL US Equity","CF_NET_CASH_DISCONTINUED_OPS_INV","FY 2020","FY 2020","Currency=USD","Period=FY","BEST_FPERIOD_OVERRIDE=FY","FILING_STATUS=MR","SCALING_FORMAT=MLN","Sort=A","Dates=H","DateFormat=P","Fill=—","Direction=H","UseDPDF=Y")</f>
        <v>#NAME?</v>
      </c>
      <c r="F36" s="1059" t="e">
        <f ca="1">BDH("BMBL US Equity","CF_NET_CASH_DISCONTINUED_OPS_INV","FY 2021","FY 2021","Currency=USD","Period=FY","BEST_FPERIOD_OVERRIDE=FY","FILING_STATUS=MR","SCALING_FORMAT=MLN","Sort=A","Dates=H","DateFormat=P","Fill=—","Direction=H","UseDPDF=Y")</f>
        <v>#NAME?</v>
      </c>
      <c r="G36" s="1059" t="e">
        <f ca="1">BDH("BMBL US Equity","CF_NET_CASH_DISCONTINUED_OPS_INV","FY 2022","FY 2022","Currency=USD","Period=FY","BEST_FPERIOD_OVERRIDE=FY","FILING_STATUS=MR","SCALING_FORMAT=MLN","Sort=A","Dates=H","DateFormat=P","Fill=—","Direction=H","UseDPDF=Y")</f>
        <v>#NAME?</v>
      </c>
      <c r="H36" s="1059" t="e">
        <f ca="1">BDH("BMBL US Equity","CF_NET_CASH_DISCONTINUED_OPS_INV","FY 2023","FY 2023","Currency=USD","Period=FY","BEST_FPERIOD_OVERRIDE=FY","FILING_STATUS=MR","SCALING_FORMAT=MLN","Sort=A","Dates=H","DateFormat=P","Fill=—","Direction=H","UseDPDF=Y")</f>
        <v>#NAME?</v>
      </c>
      <c r="I36" s="1077">
        <v>0</v>
      </c>
    </row>
    <row r="37" spans="1:9">
      <c r="A37" s="1062" t="s">
        <v>580</v>
      </c>
      <c r="B37" s="1062" t="s">
        <v>612</v>
      </c>
      <c r="C37" s="1061" t="e">
        <f ca="1">BDH("BMBL US Equity","CF_CASH_FROM_INV_ACT","FY 2018","FY 2018","Currency=USD","Period=FY","BEST_FPERIOD_OVERRIDE=FY","FILING_STATUS=MR","SCALING_FORMAT=MLN","Sort=A","Dates=H","DateFormat=P","Fill=—","Direction=H","UseDPDF=Y")</f>
        <v>#NAME?</v>
      </c>
      <c r="D37" s="1061" t="e">
        <f ca="1">BDH("BMBL US Equity","CF_CASH_FROM_INV_ACT","FY 2019","FY 2019","Currency=USD","Period=FY","BEST_FPERIOD_OVERRIDE=FY","FILING_STATUS=MR","SCALING_FORMAT=MLN","Sort=A","Dates=H","DateFormat=P","Fill=—","Direction=H","UseDPDF=Y")</f>
        <v>#NAME?</v>
      </c>
      <c r="E37" s="1061" t="e">
        <f ca="1">BDH("BMBL US Equity","CF_CASH_FROM_INV_ACT","FY 2020","FY 2020","Currency=USD","Period=FY","BEST_FPERIOD_OVERRIDE=FY","FILING_STATUS=MR","SCALING_FORMAT=MLN","Sort=A","Dates=H","DateFormat=P","Fill=—","Direction=H","UseDPDF=Y")</f>
        <v>#NAME?</v>
      </c>
      <c r="F37" s="1061" t="e">
        <f ca="1">BDH("BMBL US Equity","CF_CASH_FROM_INV_ACT","FY 2021","FY 2021","Currency=USD","Period=FY","BEST_FPERIOD_OVERRIDE=FY","FILING_STATUS=MR","SCALING_FORMAT=MLN","Sort=A","Dates=H","DateFormat=P","Fill=—","Direction=H","UseDPDF=Y")</f>
        <v>#NAME?</v>
      </c>
      <c r="G37" s="1061" t="e">
        <f ca="1">BDH("BMBL US Equity","CF_CASH_FROM_INV_ACT","FY 2022","FY 2022","Currency=USD","Period=FY","BEST_FPERIOD_OVERRIDE=FY","FILING_STATUS=MR","SCALING_FORMAT=MLN","Sort=A","Dates=H","DateFormat=P","Fill=—","Direction=H","UseDPDF=Y")</f>
        <v>#NAME?</v>
      </c>
      <c r="H37" s="1061" t="e">
        <f ca="1">BDH("BMBL US Equity","CF_CASH_FROM_INV_ACT","FY 2023","FY 2023","Currency=USD","Period=FY","BEST_FPERIOD_OVERRIDE=FY","FILING_STATUS=MR","SCALING_FORMAT=MLN","Sort=A","Dates=H","DateFormat=P","Fill=—","Direction=H","UseDPDF=Y")</f>
        <v>#NAME?</v>
      </c>
      <c r="I37" s="1079">
        <v>-10.199000101089499</v>
      </c>
    </row>
    <row r="38" spans="1:9">
      <c r="A38" s="1062"/>
      <c r="B38" s="1063"/>
      <c r="C38" s="1063"/>
      <c r="D38" s="1063"/>
      <c r="E38" s="1063"/>
      <c r="F38" s="1063"/>
      <c r="G38" s="1063"/>
      <c r="H38" s="1063"/>
      <c r="I38" s="1078"/>
    </row>
    <row r="39" spans="1:9">
      <c r="A39" s="1062" t="s">
        <v>613</v>
      </c>
      <c r="B39" s="1063"/>
      <c r="C39" s="1063"/>
      <c r="D39" s="1063"/>
      <c r="E39" s="1063"/>
      <c r="F39" s="1063"/>
      <c r="G39" s="1063"/>
      <c r="H39" s="1063"/>
      <c r="I39" s="1078"/>
    </row>
    <row r="40" spans="1:9">
      <c r="A40" s="1058" t="s">
        <v>614</v>
      </c>
      <c r="B40" s="1058" t="s">
        <v>615</v>
      </c>
      <c r="C40" s="1059" t="e">
        <f ca="1">BDH("BMBL US Equity","CF_DVD_PAID","FY 2018","FY 2018","Currency=USD","Period=FY","BEST_FPERIOD_OVERRIDE=FY","FILING_STATUS=MR","SCALING_FORMAT=MLN","Sort=A","Dates=H","DateFormat=P","Fill=—","Direction=H","UseDPDF=Y")</f>
        <v>#NAME?</v>
      </c>
      <c r="D40" s="1059" t="e">
        <f ca="1">BDH("BMBL US Equity","CF_DVD_PAID","FY 2019","FY 2019","Currency=USD","Period=FY","BEST_FPERIOD_OVERRIDE=FY","FILING_STATUS=MR","SCALING_FORMAT=MLN","Sort=A","Dates=H","DateFormat=P","Fill=—","Direction=H","UseDPDF=Y")</f>
        <v>#NAME?</v>
      </c>
      <c r="E40" s="1059" t="e">
        <f ca="1">BDH("BMBL US Equity","CF_DVD_PAID","FY 2020","FY 2020","Currency=USD","Period=FY","BEST_FPERIOD_OVERRIDE=FY","FILING_STATUS=MR","SCALING_FORMAT=MLN","Sort=A","Dates=H","DateFormat=P","Fill=—","Direction=H","UseDPDF=Y")</f>
        <v>#NAME?</v>
      </c>
      <c r="F40" s="1059" t="e">
        <f ca="1">BDH("BMBL US Equity","CF_DVD_PAID","FY 2021","FY 2021","Currency=USD","Period=FY","BEST_FPERIOD_OVERRIDE=FY","FILING_STATUS=MR","SCALING_FORMAT=MLN","Sort=A","Dates=H","DateFormat=P","Fill=—","Direction=H","UseDPDF=Y")</f>
        <v>#NAME?</v>
      </c>
      <c r="G40" s="1059" t="e">
        <f ca="1">BDH("BMBL US Equity","CF_DVD_PAID","FY 2022","FY 2022","Currency=USD","Period=FY","BEST_FPERIOD_OVERRIDE=FY","FILING_STATUS=MR","SCALING_FORMAT=MLN","Sort=A","Dates=H","DateFormat=P","Fill=—","Direction=H","UseDPDF=Y")</f>
        <v>#NAME?</v>
      </c>
      <c r="H40" s="1059" t="e">
        <f ca="1">BDH("BMBL US Equity","CF_DVD_PAID","FY 2023","FY 2023","Currency=USD","Period=FY","BEST_FPERIOD_OVERRIDE=FY","FILING_STATUS=MR","SCALING_FORMAT=MLN","Sort=A","Dates=H","DateFormat=P","Fill=—","Direction=H","UseDPDF=Y")</f>
        <v>#NAME?</v>
      </c>
      <c r="I40" s="1077">
        <v>0</v>
      </c>
    </row>
    <row r="41" spans="1:9">
      <c r="A41" s="1058" t="s">
        <v>616</v>
      </c>
      <c r="B41" s="1058" t="s">
        <v>617</v>
      </c>
      <c r="C41" s="1059" t="e">
        <f ca="1">BDH("BMBL US Equity","PROC_FR_REPAYMNTS_BOR_DETAILED","FY 2018","FY 2018","Currency=USD","Period=FY","BEST_FPERIOD_OVERRIDE=FY","FILING_STATUS=MR","SCALING_FORMAT=MLN","Sort=A","Dates=H","DateFormat=P","Fill=—","Direction=H","UseDPDF=Y")</f>
        <v>#NAME?</v>
      </c>
      <c r="D41" s="1059" t="e">
        <f ca="1">BDH("BMBL US Equity","PROC_FR_REPAYMNTS_BOR_DETAILED","FY 2019","FY 2019","Currency=USD","Period=FY","BEST_FPERIOD_OVERRIDE=FY","FILING_STATUS=MR","SCALING_FORMAT=MLN","Sort=A","Dates=H","DateFormat=P","Fill=—","Direction=H","UseDPDF=Y")</f>
        <v>#NAME?</v>
      </c>
      <c r="E41" s="1059" t="e">
        <f ca="1">BDH("BMBL US Equity","PROC_FR_REPAYMNTS_BOR_DETAILED","FY 2020","FY 2020","Currency=USD","Period=FY","BEST_FPERIOD_OVERRIDE=FY","FILING_STATUS=MR","SCALING_FORMAT=MLN","Sort=A","Dates=H","DateFormat=P","Fill=—","Direction=H","UseDPDF=Y")</f>
        <v>#NAME?</v>
      </c>
      <c r="F41" s="1059" t="e">
        <f ca="1">BDH("BMBL US Equity","PROC_FR_REPAYMNTS_BOR_DETAILED","FY 2021","FY 2021","Currency=USD","Period=FY","BEST_FPERIOD_OVERRIDE=FY","FILING_STATUS=MR","SCALING_FORMAT=MLN","Sort=A","Dates=H","DateFormat=P","Fill=—","Direction=H","UseDPDF=Y")</f>
        <v>#NAME?</v>
      </c>
      <c r="G41" s="1059" t="e">
        <f ca="1">BDH("BMBL US Equity","PROC_FR_REPAYMNTS_BOR_DETAILED","FY 2022","FY 2022","Currency=USD","Period=FY","BEST_FPERIOD_OVERRIDE=FY","FILING_STATUS=MR","SCALING_FORMAT=MLN","Sort=A","Dates=H","DateFormat=P","Fill=—","Direction=H","UseDPDF=Y")</f>
        <v>#NAME?</v>
      </c>
      <c r="H41" s="1059" t="e">
        <f ca="1">BDH("BMBL US Equity","PROC_FR_REPAYMNTS_BOR_DETAILED","FY 2023","FY 2023","Currency=USD","Period=FY","BEST_FPERIOD_OVERRIDE=FY","FILING_STATUS=MR","SCALING_FORMAT=MLN","Sort=A","Dates=H","DateFormat=P","Fill=—","Direction=H","UseDPDF=Y")</f>
        <v>#NAME?</v>
      </c>
      <c r="I41" s="1077">
        <v>-5.75</v>
      </c>
    </row>
    <row r="42" spans="1:9">
      <c r="A42" s="1058" t="s">
        <v>618</v>
      </c>
      <c r="B42" s="1058" t="s">
        <v>619</v>
      </c>
      <c r="C42" s="1059" t="e">
        <f ca="1">BDH("BMBL US Equity","CF_NET_CHG_ST_DEBT_CPTL_LEAS","FY 2018","FY 2018","Currency=USD","Period=FY","BEST_FPERIOD_OVERRIDE=FY","FILING_STATUS=MR","SCALING_FORMAT=MLN","Sort=A","Dates=H","DateFormat=P","Fill=—","Direction=H","UseDPDF=Y")</f>
        <v>#NAME?</v>
      </c>
      <c r="D42" s="1059" t="e">
        <f ca="1">BDH("BMBL US Equity","CF_NET_CHG_ST_DEBT_CPTL_LEAS","FY 2019","FY 2019","Currency=USD","Period=FY","BEST_FPERIOD_OVERRIDE=FY","FILING_STATUS=MR","SCALING_FORMAT=MLN","Sort=A","Dates=H","DateFormat=P","Fill=—","Direction=H","UseDPDF=Y")</f>
        <v>#NAME?</v>
      </c>
      <c r="E42" s="1059" t="e">
        <f ca="1">BDH("BMBL US Equity","CF_NET_CHG_ST_DEBT_CPTL_LEAS","FY 2020","FY 2020","Currency=USD","Period=FY","BEST_FPERIOD_OVERRIDE=FY","FILING_STATUS=MR","SCALING_FORMAT=MLN","Sort=A","Dates=H","DateFormat=P","Fill=—","Direction=H","UseDPDF=Y")</f>
        <v>#NAME?</v>
      </c>
      <c r="F42" s="1059" t="e">
        <f ca="1">BDH("BMBL US Equity","CF_NET_CHG_ST_DEBT_CPTL_LEAS","FY 2021","FY 2021","Currency=USD","Period=FY","BEST_FPERIOD_OVERRIDE=FY","FILING_STATUS=MR","SCALING_FORMAT=MLN","Sort=A","Dates=H","DateFormat=P","Fill=—","Direction=H","UseDPDF=Y")</f>
        <v>#NAME?</v>
      </c>
      <c r="G42" s="1059" t="e">
        <f ca="1">BDH("BMBL US Equity","CF_NET_CHG_ST_DEBT_CPTL_LEAS","FY 2022","FY 2022","Currency=USD","Period=FY","BEST_FPERIOD_OVERRIDE=FY","FILING_STATUS=MR","SCALING_FORMAT=MLN","Sort=A","Dates=H","DateFormat=P","Fill=—","Direction=H","UseDPDF=Y")</f>
        <v>#NAME?</v>
      </c>
      <c r="H42" s="1059" t="e">
        <f ca="1">BDH("BMBL US Equity","CF_NET_CHG_ST_DEBT_CPTL_LEAS","FY 2023","FY 2023","Currency=USD","Period=FY","BEST_FPERIOD_OVERRIDE=FY","FILING_STATUS=MR","SCALING_FORMAT=MLN","Sort=A","Dates=H","DateFormat=P","Fill=—","Direction=H","UseDPDF=Y")</f>
        <v>#NAME?</v>
      </c>
      <c r="I42" s="1077"/>
    </row>
    <row r="43" spans="1:9">
      <c r="A43" s="1058" t="s">
        <v>620</v>
      </c>
      <c r="B43" s="1058" t="s">
        <v>621</v>
      </c>
      <c r="C43" s="1059" t="e">
        <f ca="1">BDH("BMBL US Equity","CF_LT_DEBT_CAP_LEAS_PROCEEDS","FY 2018","FY 2018","Currency=USD","Period=FY","BEST_FPERIOD_OVERRIDE=FY","FILING_STATUS=MR","SCALING_FORMAT=MLN","Sort=A","Dates=H","DateFormat=P","Fill=—","Direction=H","UseDPDF=Y")</f>
        <v>#NAME?</v>
      </c>
      <c r="D43" s="1059" t="e">
        <f ca="1">BDH("BMBL US Equity","CF_LT_DEBT_CAP_LEAS_PROCEEDS","FY 2019","FY 2019","Currency=USD","Period=FY","BEST_FPERIOD_OVERRIDE=FY","FILING_STATUS=MR","SCALING_FORMAT=MLN","Sort=A","Dates=H","DateFormat=P","Fill=—","Direction=H","UseDPDF=Y")</f>
        <v>#NAME?</v>
      </c>
      <c r="E43" s="1059" t="e">
        <f ca="1">BDH("BMBL US Equity","CF_LT_DEBT_CAP_LEAS_PROCEEDS","FY 2020","FY 2020","Currency=USD","Period=FY","BEST_FPERIOD_OVERRIDE=FY","FILING_STATUS=MR","SCALING_FORMAT=MLN","Sort=A","Dates=H","DateFormat=P","Fill=—","Direction=H","UseDPDF=Y")</f>
        <v>#NAME?</v>
      </c>
      <c r="F43" s="1059" t="e">
        <f ca="1">BDH("BMBL US Equity","CF_LT_DEBT_CAP_LEAS_PROCEEDS","FY 2021","FY 2021","Currency=USD","Period=FY","BEST_FPERIOD_OVERRIDE=FY","FILING_STATUS=MR","SCALING_FORMAT=MLN","Sort=A","Dates=H","DateFormat=P","Fill=—","Direction=H","UseDPDF=Y")</f>
        <v>#NAME?</v>
      </c>
      <c r="G43" s="1059" t="e">
        <f ca="1">BDH("BMBL US Equity","CF_LT_DEBT_CAP_LEAS_PROCEEDS","FY 2022","FY 2022","Currency=USD","Period=FY","BEST_FPERIOD_OVERRIDE=FY","FILING_STATUS=MR","SCALING_FORMAT=MLN","Sort=A","Dates=H","DateFormat=P","Fill=—","Direction=H","UseDPDF=Y")</f>
        <v>#NAME?</v>
      </c>
      <c r="H43" s="1059" t="e">
        <f ca="1">BDH("BMBL US Equity","CF_LT_DEBT_CAP_LEAS_PROCEEDS","FY 2023","FY 2023","Currency=USD","Period=FY","BEST_FPERIOD_OVERRIDE=FY","FILING_STATUS=MR","SCALING_FORMAT=MLN","Sort=A","Dates=H","DateFormat=P","Fill=—","Direction=H","UseDPDF=Y")</f>
        <v>#NAME?</v>
      </c>
      <c r="I43" s="1077"/>
    </row>
    <row r="44" spans="1:9">
      <c r="A44" s="1058" t="s">
        <v>622</v>
      </c>
      <c r="B44" s="1058" t="s">
        <v>623</v>
      </c>
      <c r="C44" s="1059" t="e">
        <f ca="1">BDH("BMBL US Equity","CF_LT_DEBT_CAP_LEAS_PAYMENT","FY 2018","FY 2018","Currency=USD","Period=FY","BEST_FPERIOD_OVERRIDE=FY","FILING_STATUS=MR","SCALING_FORMAT=MLN","Sort=A","Dates=H","DateFormat=P","Fill=—","Direction=H","UseDPDF=Y")</f>
        <v>#NAME?</v>
      </c>
      <c r="D44" s="1059" t="e">
        <f ca="1">BDH("BMBL US Equity","CF_LT_DEBT_CAP_LEAS_PAYMENT","FY 2019","FY 2019","Currency=USD","Period=FY","BEST_FPERIOD_OVERRIDE=FY","FILING_STATUS=MR","SCALING_FORMAT=MLN","Sort=A","Dates=H","DateFormat=P","Fill=—","Direction=H","UseDPDF=Y")</f>
        <v>#NAME?</v>
      </c>
      <c r="E44" s="1059" t="e">
        <f ca="1">BDH("BMBL US Equity","CF_LT_DEBT_CAP_LEAS_PAYMENT","FY 2020","FY 2020","Currency=USD","Period=FY","BEST_FPERIOD_OVERRIDE=FY","FILING_STATUS=MR","SCALING_FORMAT=MLN","Sort=A","Dates=H","DateFormat=P","Fill=—","Direction=H","UseDPDF=Y")</f>
        <v>#NAME?</v>
      </c>
      <c r="F44" s="1059" t="e">
        <f ca="1">BDH("BMBL US Equity","CF_LT_DEBT_CAP_LEAS_PAYMENT","FY 2021","FY 2021","Currency=USD","Period=FY","BEST_FPERIOD_OVERRIDE=FY","FILING_STATUS=MR","SCALING_FORMAT=MLN","Sort=A","Dates=H","DateFormat=P","Fill=—","Direction=H","UseDPDF=Y")</f>
        <v>#NAME?</v>
      </c>
      <c r="G44" s="1059" t="e">
        <f ca="1">BDH("BMBL US Equity","CF_LT_DEBT_CAP_LEAS_PAYMENT","FY 2022","FY 2022","Currency=USD","Period=FY","BEST_FPERIOD_OVERRIDE=FY","FILING_STATUS=MR","SCALING_FORMAT=MLN","Sort=A","Dates=H","DateFormat=P","Fill=—","Direction=H","UseDPDF=Y")</f>
        <v>#NAME?</v>
      </c>
      <c r="H44" s="1059" t="e">
        <f ca="1">BDH("BMBL US Equity","CF_LT_DEBT_CAP_LEAS_PAYMENT","FY 2023","FY 2023","Currency=USD","Period=FY","BEST_FPERIOD_OVERRIDE=FY","FILING_STATUS=MR","SCALING_FORMAT=MLN","Sort=A","Dates=H","DateFormat=P","Fill=—","Direction=H","UseDPDF=Y")</f>
        <v>#NAME?</v>
      </c>
      <c r="I44" s="1077"/>
    </row>
    <row r="45" spans="1:9">
      <c r="A45" s="1058" t="s">
        <v>624</v>
      </c>
      <c r="B45" s="1058" t="s">
        <v>625</v>
      </c>
      <c r="C45" s="1059" t="e">
        <f ca="1">BDH("BMBL US Equity","PROC_FR_REPURCH_EQTY_DETAILED","FY 2018","FY 2018","Currency=USD","Period=FY","BEST_FPERIOD_OVERRIDE=FY","FILING_STATUS=MR","SCALING_FORMAT=MLN","Sort=A","Dates=H","DateFormat=P","Fill=—","Direction=H","UseDPDF=Y")</f>
        <v>#NAME?</v>
      </c>
      <c r="D45" s="1059" t="e">
        <f ca="1">BDH("BMBL US Equity","PROC_FR_REPURCH_EQTY_DETAILED","FY 2019","FY 2019","Currency=USD","Period=FY","BEST_FPERIOD_OVERRIDE=FY","FILING_STATUS=MR","SCALING_FORMAT=MLN","Sort=A","Dates=H","DateFormat=P","Fill=—","Direction=H","UseDPDF=Y")</f>
        <v>#NAME?</v>
      </c>
      <c r="E45" s="1059" t="e">
        <f ca="1">BDH("BMBL US Equity","PROC_FR_REPURCH_EQTY_DETAILED","FY 2020","FY 2020","Currency=USD","Period=FY","BEST_FPERIOD_OVERRIDE=FY","FILING_STATUS=MR","SCALING_FORMAT=MLN","Sort=A","Dates=H","DateFormat=P","Fill=—","Direction=H","UseDPDF=Y")</f>
        <v>#NAME?</v>
      </c>
      <c r="F45" s="1059" t="e">
        <f ca="1">BDH("BMBL US Equity","PROC_FR_REPURCH_EQTY_DETAILED","FY 2021","FY 2021","Currency=USD","Period=FY","BEST_FPERIOD_OVERRIDE=FY","FILING_STATUS=MR","SCALING_FORMAT=MLN","Sort=A","Dates=H","DateFormat=P","Fill=—","Direction=H","UseDPDF=Y")</f>
        <v>#NAME?</v>
      </c>
      <c r="G45" s="1059" t="e">
        <f ca="1">BDH("BMBL US Equity","PROC_FR_REPURCH_EQTY_DETAILED","FY 2022","FY 2022","Currency=USD","Period=FY","BEST_FPERIOD_OVERRIDE=FY","FILING_STATUS=MR","SCALING_FORMAT=MLN","Sort=A","Dates=H","DateFormat=P","Fill=—","Direction=H","UseDPDF=Y")</f>
        <v>#NAME?</v>
      </c>
      <c r="H45" s="1059" t="e">
        <f ca="1">BDH("BMBL US Equity","PROC_FR_REPURCH_EQTY_DETAILED","FY 2023","FY 2023","Currency=USD","Period=FY","BEST_FPERIOD_OVERRIDE=FY","FILING_STATUS=MR","SCALING_FORMAT=MLN","Sort=A","Dates=H","DateFormat=P","Fill=—","Direction=H","UseDPDF=Y")</f>
        <v>#NAME?</v>
      </c>
      <c r="I45" s="1077">
        <v>-167.29300000000001</v>
      </c>
    </row>
    <row r="46" spans="1:9">
      <c r="A46" s="1058" t="s">
        <v>626</v>
      </c>
      <c r="B46" s="1058" t="s">
        <v>627</v>
      </c>
      <c r="C46" s="1059" t="e">
        <f ca="1">BDH("BMBL US Equity","CF_INCR_CAP_STOCK","FY 2018","FY 2018","Currency=USD","Period=FY","BEST_FPERIOD_OVERRIDE=FY","FILING_STATUS=MR","SCALING_FORMAT=MLN","Sort=A","Dates=H","DateFormat=P","Fill=—","Direction=H","UseDPDF=Y")</f>
        <v>#NAME?</v>
      </c>
      <c r="D46" s="1059" t="e">
        <f ca="1">BDH("BMBL US Equity","CF_INCR_CAP_STOCK","FY 2019","FY 2019","Currency=USD","Period=FY","BEST_FPERIOD_OVERRIDE=FY","FILING_STATUS=MR","SCALING_FORMAT=MLN","Sort=A","Dates=H","DateFormat=P","Fill=—","Direction=H","UseDPDF=Y")</f>
        <v>#NAME?</v>
      </c>
      <c r="E46" s="1059" t="e">
        <f ca="1">BDH("BMBL US Equity","CF_INCR_CAP_STOCK","FY 2020","FY 2020","Currency=USD","Period=FY","BEST_FPERIOD_OVERRIDE=FY","FILING_STATUS=MR","SCALING_FORMAT=MLN","Sort=A","Dates=H","DateFormat=P","Fill=—","Direction=H","UseDPDF=Y")</f>
        <v>#NAME?</v>
      </c>
      <c r="F46" s="1059" t="e">
        <f ca="1">BDH("BMBL US Equity","CF_INCR_CAP_STOCK","FY 2021","FY 2021","Currency=USD","Period=FY","BEST_FPERIOD_OVERRIDE=FY","FILING_STATUS=MR","SCALING_FORMAT=MLN","Sort=A","Dates=H","DateFormat=P","Fill=—","Direction=H","UseDPDF=Y")</f>
        <v>#NAME?</v>
      </c>
      <c r="G46" s="1059" t="e">
        <f ca="1">BDH("BMBL US Equity","CF_INCR_CAP_STOCK","FY 2022","FY 2022","Currency=USD","Period=FY","BEST_FPERIOD_OVERRIDE=FY","FILING_STATUS=MR","SCALING_FORMAT=MLN","Sort=A","Dates=H","DateFormat=P","Fill=—","Direction=H","UseDPDF=Y")</f>
        <v>#NAME?</v>
      </c>
      <c r="H46" s="1059" t="e">
        <f ca="1">BDH("BMBL US Equity","CF_INCR_CAP_STOCK","FY 2023","FY 2023","Currency=USD","Period=FY","BEST_FPERIOD_OVERRIDE=FY","FILING_STATUS=MR","SCALING_FORMAT=MLN","Sort=A","Dates=H","DateFormat=P","Fill=—","Direction=H","UseDPDF=Y")</f>
        <v>#NAME?</v>
      </c>
      <c r="I46" s="1077">
        <v>0</v>
      </c>
    </row>
    <row r="47" spans="1:9">
      <c r="A47" s="1058" t="s">
        <v>628</v>
      </c>
      <c r="B47" s="1058" t="s">
        <v>629</v>
      </c>
      <c r="C47" s="1059" t="e">
        <f ca="1">BDH("BMBL US Equity","CF_DECR_CAP_STOCK","FY 2018","FY 2018","Currency=USD","Period=FY","BEST_FPERIOD_OVERRIDE=FY","FILING_STATUS=MR","SCALING_FORMAT=MLN","Sort=A","Dates=H","DateFormat=P","Fill=—","Direction=H","UseDPDF=Y")</f>
        <v>#NAME?</v>
      </c>
      <c r="D47" s="1059" t="e">
        <f ca="1">BDH("BMBL US Equity","CF_DECR_CAP_STOCK","FY 2019","FY 2019","Currency=USD","Period=FY","BEST_FPERIOD_OVERRIDE=FY","FILING_STATUS=MR","SCALING_FORMAT=MLN","Sort=A","Dates=H","DateFormat=P","Fill=—","Direction=H","UseDPDF=Y")</f>
        <v>#NAME?</v>
      </c>
      <c r="E47" s="1059" t="e">
        <f ca="1">BDH("BMBL US Equity","CF_DECR_CAP_STOCK","FY 2020","FY 2020","Currency=USD","Period=FY","BEST_FPERIOD_OVERRIDE=FY","FILING_STATUS=MR","SCALING_FORMAT=MLN","Sort=A","Dates=H","DateFormat=P","Fill=—","Direction=H","UseDPDF=Y")</f>
        <v>#NAME?</v>
      </c>
      <c r="F47" s="1059" t="e">
        <f ca="1">BDH("BMBL US Equity","CF_DECR_CAP_STOCK","FY 2021","FY 2021","Currency=USD","Period=FY","BEST_FPERIOD_OVERRIDE=FY","FILING_STATUS=MR","SCALING_FORMAT=MLN","Sort=A","Dates=H","DateFormat=P","Fill=—","Direction=H","UseDPDF=Y")</f>
        <v>#NAME?</v>
      </c>
      <c r="G47" s="1059" t="e">
        <f ca="1">BDH("BMBL US Equity","CF_DECR_CAP_STOCK","FY 2022","FY 2022","Currency=USD","Period=FY","BEST_FPERIOD_OVERRIDE=FY","FILING_STATUS=MR","SCALING_FORMAT=MLN","Sort=A","Dates=H","DateFormat=P","Fill=—","Direction=H","UseDPDF=Y")</f>
        <v>#NAME?</v>
      </c>
      <c r="H47" s="1059" t="e">
        <f ca="1">BDH("BMBL US Equity","CF_DECR_CAP_STOCK","FY 2023","FY 2023","Currency=USD","Period=FY","BEST_FPERIOD_OVERRIDE=FY","FILING_STATUS=MR","SCALING_FORMAT=MLN","Sort=A","Dates=H","DateFormat=P","Fill=—","Direction=H","UseDPDF=Y")</f>
        <v>#NAME?</v>
      </c>
      <c r="I47" s="1077">
        <v>-167.29300024795501</v>
      </c>
    </row>
    <row r="48" spans="1:9">
      <c r="A48" s="1058" t="s">
        <v>630</v>
      </c>
      <c r="B48" s="1058" t="s">
        <v>631</v>
      </c>
      <c r="C48" s="1059" t="e">
        <f ca="1">BDH("BMBL US Equity","OTHER_FIN_AND_DEC_CAP","FY 2018","FY 2018","Currency=USD","Period=FY","BEST_FPERIOD_OVERRIDE=FY","FILING_STATUS=MR","SCALING_FORMAT=MLN","Sort=A","Dates=H","DateFormat=P","Fill=—","Direction=H","UseDPDF=Y")</f>
        <v>#NAME?</v>
      </c>
      <c r="D48" s="1059" t="e">
        <f ca="1">BDH("BMBL US Equity","OTHER_FIN_AND_DEC_CAP","FY 2019","FY 2019","Currency=USD","Period=FY","BEST_FPERIOD_OVERRIDE=FY","FILING_STATUS=MR","SCALING_FORMAT=MLN","Sort=A","Dates=H","DateFormat=P","Fill=—","Direction=H","UseDPDF=Y")</f>
        <v>#NAME?</v>
      </c>
      <c r="E48" s="1059" t="e">
        <f ca="1">BDH("BMBL US Equity","OTHER_FIN_AND_DEC_CAP","FY 2020","FY 2020","Currency=USD","Period=FY","BEST_FPERIOD_OVERRIDE=FY","FILING_STATUS=MR","SCALING_FORMAT=MLN","Sort=A","Dates=H","DateFormat=P","Fill=—","Direction=H","UseDPDF=Y")</f>
        <v>#NAME?</v>
      </c>
      <c r="F48" s="1059" t="e">
        <f ca="1">BDH("BMBL US Equity","OTHER_FIN_AND_DEC_CAP","FY 2021","FY 2021","Currency=USD","Period=FY","BEST_FPERIOD_OVERRIDE=FY","FILING_STATUS=MR","SCALING_FORMAT=MLN","Sort=A","Dates=H","DateFormat=P","Fill=—","Direction=H","UseDPDF=Y")</f>
        <v>#NAME?</v>
      </c>
      <c r="G48" s="1059" t="e">
        <f ca="1">BDH("BMBL US Equity","OTHER_FIN_AND_DEC_CAP","FY 2022","FY 2022","Currency=USD","Period=FY","BEST_FPERIOD_OVERRIDE=FY","FILING_STATUS=MR","SCALING_FORMAT=MLN","Sort=A","Dates=H","DateFormat=P","Fill=—","Direction=H","UseDPDF=Y")</f>
        <v>#NAME?</v>
      </c>
      <c r="H48" s="1059" t="e">
        <f ca="1">BDH("BMBL US Equity","OTHER_FIN_AND_DEC_CAP","FY 2023","FY 2023","Currency=USD","Period=FY","BEST_FPERIOD_OVERRIDE=FY","FILING_STATUS=MR","SCALING_FORMAT=MLN","Sort=A","Dates=H","DateFormat=P","Fill=—","Direction=H","UseDPDF=Y")</f>
        <v>#NAME?</v>
      </c>
      <c r="I48" s="1077">
        <v>-72.150999999999996</v>
      </c>
    </row>
    <row r="49" spans="1:9">
      <c r="A49" s="1058" t="s">
        <v>577</v>
      </c>
      <c r="B49" s="1058" t="s">
        <v>632</v>
      </c>
      <c r="C49" s="1059" t="e">
        <f ca="1">BDH("BMBL US Equity","CF_NET_CASH_DISCONTINUED_OPS_FIN","FY 2018","FY 2018","Currency=USD","Period=FY","BEST_FPERIOD_OVERRIDE=FY","FILING_STATUS=MR","SCALING_FORMAT=MLN","Sort=A","Dates=H","DateFormat=P","Fill=—","Direction=H","UseDPDF=Y")</f>
        <v>#NAME?</v>
      </c>
      <c r="D49" s="1059" t="e">
        <f ca="1">BDH("BMBL US Equity","CF_NET_CASH_DISCONTINUED_OPS_FIN","FY 2019","FY 2019","Currency=USD","Period=FY","BEST_FPERIOD_OVERRIDE=FY","FILING_STATUS=MR","SCALING_FORMAT=MLN","Sort=A","Dates=H","DateFormat=P","Fill=—","Direction=H","UseDPDF=Y")</f>
        <v>#NAME?</v>
      </c>
      <c r="E49" s="1059" t="e">
        <f ca="1">BDH("BMBL US Equity","CF_NET_CASH_DISCONTINUED_OPS_FIN","FY 2020","FY 2020","Currency=USD","Period=FY","BEST_FPERIOD_OVERRIDE=FY","FILING_STATUS=MR","SCALING_FORMAT=MLN","Sort=A","Dates=H","DateFormat=P","Fill=—","Direction=H","UseDPDF=Y")</f>
        <v>#NAME?</v>
      </c>
      <c r="F49" s="1059" t="e">
        <f ca="1">BDH("BMBL US Equity","CF_NET_CASH_DISCONTINUED_OPS_FIN","FY 2021","FY 2021","Currency=USD","Period=FY","BEST_FPERIOD_OVERRIDE=FY","FILING_STATUS=MR","SCALING_FORMAT=MLN","Sort=A","Dates=H","DateFormat=P","Fill=—","Direction=H","UseDPDF=Y")</f>
        <v>#NAME?</v>
      </c>
      <c r="G49" s="1059" t="e">
        <f ca="1">BDH("BMBL US Equity","CF_NET_CASH_DISCONTINUED_OPS_FIN","FY 2022","FY 2022","Currency=USD","Period=FY","BEST_FPERIOD_OVERRIDE=FY","FILING_STATUS=MR","SCALING_FORMAT=MLN","Sort=A","Dates=H","DateFormat=P","Fill=—","Direction=H","UseDPDF=Y")</f>
        <v>#NAME?</v>
      </c>
      <c r="H49" s="1059" t="e">
        <f ca="1">BDH("BMBL US Equity","CF_NET_CASH_DISCONTINUED_OPS_FIN","FY 2023","FY 2023","Currency=USD","Period=FY","BEST_FPERIOD_OVERRIDE=FY","FILING_STATUS=MR","SCALING_FORMAT=MLN","Sort=A","Dates=H","DateFormat=P","Fill=—","Direction=H","UseDPDF=Y")</f>
        <v>#NAME?</v>
      </c>
      <c r="I49" s="1077">
        <v>0</v>
      </c>
    </row>
    <row r="50" spans="1:9">
      <c r="A50" s="1062" t="s">
        <v>613</v>
      </c>
      <c r="B50" s="1062" t="s">
        <v>633</v>
      </c>
      <c r="C50" s="1061" t="e">
        <f ca="1">BDH("BMBL US Equity","CFF_ACTIVITIES_DETAILED","FY 2018","FY 2018","Currency=USD","Period=FY","BEST_FPERIOD_OVERRIDE=FY","FILING_STATUS=MR","SCALING_FORMAT=MLN","Sort=A","Dates=H","DateFormat=P","Fill=—","Direction=H","UseDPDF=Y")</f>
        <v>#NAME?</v>
      </c>
      <c r="D50" s="1061" t="e">
        <f ca="1">BDH("BMBL US Equity","CFF_ACTIVITIES_DETAILED","FY 2019","FY 2019","Currency=USD","Period=FY","BEST_FPERIOD_OVERRIDE=FY","FILING_STATUS=MR","SCALING_FORMAT=MLN","Sort=A","Dates=H","DateFormat=P","Fill=—","Direction=H","UseDPDF=Y")</f>
        <v>#NAME?</v>
      </c>
      <c r="E50" s="1061" t="e">
        <f ca="1">BDH("BMBL US Equity","CFF_ACTIVITIES_DETAILED","FY 2020","FY 2020","Currency=USD","Period=FY","BEST_FPERIOD_OVERRIDE=FY","FILING_STATUS=MR","SCALING_FORMAT=MLN","Sort=A","Dates=H","DateFormat=P","Fill=—","Direction=H","UseDPDF=Y")</f>
        <v>#NAME?</v>
      </c>
      <c r="F50" s="1061" t="e">
        <f ca="1">BDH("BMBL US Equity","CFF_ACTIVITIES_DETAILED","FY 2021","FY 2021","Currency=USD","Period=FY","BEST_FPERIOD_OVERRIDE=FY","FILING_STATUS=MR","SCALING_FORMAT=MLN","Sort=A","Dates=H","DateFormat=P","Fill=—","Direction=H","UseDPDF=Y")</f>
        <v>#NAME?</v>
      </c>
      <c r="G50" s="1061" t="e">
        <f ca="1">BDH("BMBL US Equity","CFF_ACTIVITIES_DETAILED","FY 2022","FY 2022","Currency=USD","Period=FY","BEST_FPERIOD_OVERRIDE=FY","FILING_STATUS=MR","SCALING_FORMAT=MLN","Sort=A","Dates=H","DateFormat=P","Fill=—","Direction=H","UseDPDF=Y")</f>
        <v>#NAME?</v>
      </c>
      <c r="H50" s="1061" t="e">
        <f ca="1">BDH("BMBL US Equity","CFF_ACTIVITIES_DETAILED","FY 2023","FY 2023","Currency=USD","Period=FY","BEST_FPERIOD_OVERRIDE=FY","FILING_STATUS=MR","SCALING_FORMAT=MLN","Sort=A","Dates=H","DateFormat=P","Fill=—","Direction=H","UseDPDF=Y")</f>
        <v>#NAME?</v>
      </c>
      <c r="I50" s="1079">
        <v>-245.19399999999999</v>
      </c>
    </row>
    <row r="51" spans="1:9">
      <c r="A51" s="1062"/>
      <c r="B51" s="1063"/>
      <c r="C51" s="1063"/>
      <c r="D51" s="1063"/>
      <c r="E51" s="1063"/>
      <c r="F51" s="1063"/>
      <c r="G51" s="1063"/>
      <c r="H51" s="1063"/>
      <c r="I51" s="1078"/>
    </row>
    <row r="52" spans="1:9">
      <c r="A52" s="1058" t="s">
        <v>634</v>
      </c>
      <c r="B52" s="1058" t="s">
        <v>635</v>
      </c>
      <c r="C52" s="1059" t="e">
        <f ca="1">BDH("BMBL US Equity","CF_EFFECT_FOREIGN_EXCHANGES","FY 2018","FY 2018","Currency=USD","Period=FY","BEST_FPERIOD_OVERRIDE=FY","FILING_STATUS=MR","SCALING_FORMAT=MLN","Sort=A","Dates=H","DateFormat=P","Fill=—","Direction=H","UseDPDF=Y")</f>
        <v>#NAME?</v>
      </c>
      <c r="D52" s="1059" t="e">
        <f ca="1">BDH("BMBL US Equity","CF_EFFECT_FOREIGN_EXCHANGES","FY 2019","FY 2019","Currency=USD","Period=FY","BEST_FPERIOD_OVERRIDE=FY","FILING_STATUS=MR","SCALING_FORMAT=MLN","Sort=A","Dates=H","DateFormat=P","Fill=—","Direction=H","UseDPDF=Y")</f>
        <v>#NAME?</v>
      </c>
      <c r="E52" s="1059" t="e">
        <f ca="1">BDH("BMBL US Equity","CF_EFFECT_FOREIGN_EXCHANGES","FY 2020","FY 2020","Currency=USD","Period=FY","BEST_FPERIOD_OVERRIDE=FY","FILING_STATUS=MR","SCALING_FORMAT=MLN","Sort=A","Dates=H","DateFormat=P","Fill=—","Direction=H","UseDPDF=Y")</f>
        <v>#NAME?</v>
      </c>
      <c r="F52" s="1059" t="e">
        <f ca="1">BDH("BMBL US Equity","CF_EFFECT_FOREIGN_EXCHANGES","FY 2021","FY 2021","Currency=USD","Period=FY","BEST_FPERIOD_OVERRIDE=FY","FILING_STATUS=MR","SCALING_FORMAT=MLN","Sort=A","Dates=H","DateFormat=P","Fill=—","Direction=H","UseDPDF=Y")</f>
        <v>#NAME?</v>
      </c>
      <c r="G52" s="1059" t="e">
        <f ca="1">BDH("BMBL US Equity","CF_EFFECT_FOREIGN_EXCHANGES","FY 2022","FY 2022","Currency=USD","Period=FY","BEST_FPERIOD_OVERRIDE=FY","FILING_STATUS=MR","SCALING_FORMAT=MLN","Sort=A","Dates=H","DateFormat=P","Fill=—","Direction=H","UseDPDF=Y")</f>
        <v>#NAME?</v>
      </c>
      <c r="H52" s="1059" t="e">
        <f ca="1">BDH("BMBL US Equity","CF_EFFECT_FOREIGN_EXCHANGES","FY 2023","FY 2023","Currency=USD","Period=FY","BEST_FPERIOD_OVERRIDE=FY","FILING_STATUS=MR","SCALING_FORMAT=MLN","Sort=A","Dates=H","DateFormat=P","Fill=—","Direction=H","UseDPDF=Y")</f>
        <v>#NAME?</v>
      </c>
      <c r="I52" s="1077">
        <v>-0.52700000000000002</v>
      </c>
    </row>
    <row r="53" spans="1:9">
      <c r="A53" s="1062"/>
      <c r="B53" s="1063"/>
      <c r="C53" s="1063"/>
      <c r="D53" s="1063"/>
      <c r="E53" s="1063"/>
      <c r="F53" s="1063"/>
      <c r="G53" s="1063"/>
      <c r="H53" s="1063"/>
      <c r="I53" s="1078"/>
    </row>
    <row r="54" spans="1:9">
      <c r="A54" s="1062" t="s">
        <v>636</v>
      </c>
      <c r="B54" s="1062" t="s">
        <v>637</v>
      </c>
      <c r="C54" s="1061" t="e">
        <f ca="1">BDH("BMBL US Equity","CF_NET_CHNG_CASH","FY 2018","FY 2018","Currency=USD","Period=FY","BEST_FPERIOD_OVERRIDE=FY","FILING_STATUS=MR","SCALING_FORMAT=MLN","Sort=A","Dates=H","DateFormat=P","Fill=—","Direction=H","UseDPDF=Y")</f>
        <v>#NAME?</v>
      </c>
      <c r="D54" s="1061" t="e">
        <f ca="1">BDH("BMBL US Equity","CF_NET_CHNG_CASH","FY 2019","FY 2019","Currency=USD","Period=FY","BEST_FPERIOD_OVERRIDE=FY","FILING_STATUS=MR","SCALING_FORMAT=MLN","Sort=A","Dates=H","DateFormat=P","Fill=—","Direction=H","UseDPDF=Y")</f>
        <v>#NAME?</v>
      </c>
      <c r="E54" s="1061" t="e">
        <f ca="1">BDH("BMBL US Equity","CF_NET_CHNG_CASH","FY 2020","FY 2020","Currency=USD","Period=FY","BEST_FPERIOD_OVERRIDE=FY","FILING_STATUS=MR","SCALING_FORMAT=MLN","Sort=A","Dates=H","DateFormat=P","Fill=—","Direction=H","UseDPDF=Y")</f>
        <v>#NAME?</v>
      </c>
      <c r="F54" s="1061" t="e">
        <f ca="1">BDH("BMBL US Equity","CF_NET_CHNG_CASH","FY 2021","FY 2021","Currency=USD","Period=FY","BEST_FPERIOD_OVERRIDE=FY","FILING_STATUS=MR","SCALING_FORMAT=MLN","Sort=A","Dates=H","DateFormat=P","Fill=—","Direction=H","UseDPDF=Y")</f>
        <v>#NAME?</v>
      </c>
      <c r="G54" s="1061" t="e">
        <f ca="1">BDH("BMBL US Equity","CF_NET_CHNG_CASH","FY 2022","FY 2022","Currency=USD","Period=FY","BEST_FPERIOD_OVERRIDE=FY","FILING_STATUS=MR","SCALING_FORMAT=MLN","Sort=A","Dates=H","DateFormat=P","Fill=—","Direction=H","UseDPDF=Y")</f>
        <v>#NAME?</v>
      </c>
      <c r="H54" s="1061" t="e">
        <f ca="1">BDH("BMBL US Equity","CF_NET_CHNG_CASH","FY 2023","FY 2023","Currency=USD","Period=FY","BEST_FPERIOD_OVERRIDE=FY","FILING_STATUS=MR","SCALING_FORMAT=MLN","Sort=A","Dates=H","DateFormat=P","Fill=—","Direction=H","UseDPDF=Y")</f>
        <v>#NAME?</v>
      </c>
      <c r="I54" s="1079">
        <v>-94.588998840331996</v>
      </c>
    </row>
    <row r="55" spans="1:9">
      <c r="A55" s="1062"/>
      <c r="B55" s="1063"/>
      <c r="C55" s="1063"/>
      <c r="D55" s="1063"/>
      <c r="E55" s="1063"/>
      <c r="F55" s="1063"/>
      <c r="G55" s="1063"/>
      <c r="H55" s="1063"/>
      <c r="I55" s="1078"/>
    </row>
    <row r="56" spans="1:9">
      <c r="A56" s="1062" t="s">
        <v>638</v>
      </c>
      <c r="B56" s="1062" t="s">
        <v>639</v>
      </c>
      <c r="C56" s="1061" t="e">
        <f ca="1">BDH("BMBL US Equity","CF_CASH_PAID_FOR_TAX","FY 2018","FY 2018","Currency=USD","Period=FY","BEST_FPERIOD_OVERRIDE=FY","FILING_STATUS=MR","SCALING_FORMAT=MLN","Sort=A","Dates=H","DateFormat=P","Fill=—","Direction=H","UseDPDF=Y")</f>
        <v>#NAME?</v>
      </c>
      <c r="D56" s="1061" t="e">
        <f ca="1">BDH("BMBL US Equity","CF_CASH_PAID_FOR_TAX","FY 2019","FY 2019","Currency=USD","Period=FY","BEST_FPERIOD_OVERRIDE=FY","FILING_STATUS=MR","SCALING_FORMAT=MLN","Sort=A","Dates=H","DateFormat=P","Fill=—","Direction=H","UseDPDF=Y")</f>
        <v>#NAME?</v>
      </c>
      <c r="E56" s="1061" t="e">
        <f ca="1">BDH("BMBL US Equity","CF_CASH_PAID_FOR_TAX","FY 2020","FY 2020","Currency=USD","Period=FY","BEST_FPERIOD_OVERRIDE=FY","FILING_STATUS=MR","SCALING_FORMAT=MLN","Sort=A","Dates=H","DateFormat=P","Fill=—","Direction=H","UseDPDF=Y")</f>
        <v>#NAME?</v>
      </c>
      <c r="F56" s="1061" t="e">
        <f ca="1">BDH("BMBL US Equity","CF_CASH_PAID_FOR_TAX","FY 2021","FY 2021","Currency=USD","Period=FY","BEST_FPERIOD_OVERRIDE=FY","FILING_STATUS=MR","SCALING_FORMAT=MLN","Sort=A","Dates=H","DateFormat=P","Fill=—","Direction=H","UseDPDF=Y")</f>
        <v>#NAME?</v>
      </c>
      <c r="G56" s="1061" t="e">
        <f ca="1">BDH("BMBL US Equity","CF_CASH_PAID_FOR_TAX","FY 2022","FY 2022","Currency=USD","Period=FY","BEST_FPERIOD_OVERRIDE=FY","FILING_STATUS=MR","SCALING_FORMAT=MLN","Sort=A","Dates=H","DateFormat=P","Fill=—","Direction=H","UseDPDF=Y")</f>
        <v>#NAME?</v>
      </c>
      <c r="H56" s="1061" t="e">
        <f ca="1">BDH("BMBL US Equity","CF_CASH_PAID_FOR_TAX","FY 2023","FY 2023","Currency=USD","Period=FY","BEST_FPERIOD_OVERRIDE=FY","FILING_STATUS=MR","SCALING_FORMAT=MLN","Sort=A","Dates=H","DateFormat=P","Fill=—","Direction=H","UseDPDF=Y")</f>
        <v>#NAME?</v>
      </c>
      <c r="I56" s="1079"/>
    </row>
    <row r="57" spans="1:9">
      <c r="A57" s="1062"/>
      <c r="B57" s="1063"/>
      <c r="C57" s="1063"/>
      <c r="D57" s="1063"/>
      <c r="E57" s="1063"/>
      <c r="F57" s="1063"/>
      <c r="G57" s="1063"/>
      <c r="H57" s="1063"/>
      <c r="I57" s="1078"/>
    </row>
    <row r="58" spans="1:9">
      <c r="A58" s="1062" t="s">
        <v>451</v>
      </c>
      <c r="B58" s="1063"/>
      <c r="C58" s="1063"/>
      <c r="D58" s="1063"/>
      <c r="E58" s="1063"/>
      <c r="F58" s="1063"/>
      <c r="G58" s="1063"/>
      <c r="H58" s="1063"/>
      <c r="I58" s="1078"/>
    </row>
    <row r="59" spans="1:9">
      <c r="A59" s="1058" t="s">
        <v>640</v>
      </c>
      <c r="B59" s="1058" t="s">
        <v>640</v>
      </c>
      <c r="C59" s="1059" t="e">
        <f ca="1">BDH("BMBL US Equity","EBITDA","FY 2018","FY 2018","Currency=USD","Period=FY","BEST_FPERIOD_OVERRIDE=FY","FILING_STATUS=MR","SCALING_FORMAT=MLN","FA_ADJUSTED=GAAP","Sort=A","Dates=H","DateFormat=P","Fill=—","Direction=H","UseDPDF=Y")</f>
        <v>#NAME?</v>
      </c>
      <c r="D59" s="1059" t="e">
        <f ca="1">BDH("BMBL US Equity","EBITDA","FY 2019","FY 2019","Currency=USD","Period=FY","BEST_FPERIOD_OVERRIDE=FY","FILING_STATUS=MR","SCALING_FORMAT=MLN","FA_ADJUSTED=GAAP","Sort=A","Dates=H","DateFormat=P","Fill=—","Direction=H","UseDPDF=Y")</f>
        <v>#NAME?</v>
      </c>
      <c r="E59" s="1059" t="e">
        <f ca="1">BDH("BMBL US Equity","EBITDA","FY 2020","FY 2020","Currency=USD","Period=FY","BEST_FPERIOD_OVERRIDE=FY","FILING_STATUS=MR","SCALING_FORMAT=MLN","FA_ADJUSTED=GAAP","Sort=A","Dates=H","DateFormat=P","Fill=—","Direction=H","UseDPDF=Y")</f>
        <v>#NAME?</v>
      </c>
      <c r="F59" s="1059" t="e">
        <f ca="1">BDH("BMBL US Equity","EBITDA","FY 2021","FY 2021","Currency=USD","Period=FY","BEST_FPERIOD_OVERRIDE=FY","FILING_STATUS=MR","SCALING_FORMAT=MLN","FA_ADJUSTED=GAAP","Sort=A","Dates=H","DateFormat=P","Fill=—","Direction=H","UseDPDF=Y")</f>
        <v>#NAME?</v>
      </c>
      <c r="G59" s="1059" t="e">
        <f ca="1">BDH("BMBL US Equity","EBITDA","FY 2022","FY 2022","Currency=USD","Period=FY","BEST_FPERIOD_OVERRIDE=FY","FILING_STATUS=MR","SCALING_FORMAT=MLN","FA_ADJUSTED=GAAP","Sort=A","Dates=H","DateFormat=P","Fill=—","Direction=H","UseDPDF=Y")</f>
        <v>#NAME?</v>
      </c>
      <c r="H59" s="1059" t="e">
        <f ca="1">BDH("BMBL US Equity","EBITDA","FY 2023","FY 2023","Currency=USD","Period=FY","BEST_FPERIOD_OVERRIDE=FY","FILING_STATUS=MR","SCALING_FORMAT=MLN","FA_ADJUSTED=GAAP","Sort=A","Dates=H","DateFormat=P","Fill=—","Direction=H","UseDPDF=Y")</f>
        <v>#NAME?</v>
      </c>
      <c r="I59" s="1077">
        <v>192.44200000000001</v>
      </c>
    </row>
    <row r="60" spans="1:9">
      <c r="A60" s="1058" t="s">
        <v>641</v>
      </c>
      <c r="B60" s="1058" t="s">
        <v>642</v>
      </c>
      <c r="C60" s="1057" t="e">
        <f ca="1">BDH("BMBL US Equity","EBITDA_MARGIN","FY 2018","FY 2018","Currency=USD","Period=FY","BEST_FPERIOD_OVERRIDE=FY","FILING_STATUS=MR","FA_ADJUSTED=GAAP","Sort=A","Dates=H","DateFormat=P","Fill=—","Direction=H","UseDPDF=Y")</f>
        <v>#NAME?</v>
      </c>
      <c r="D60" s="1057" t="e">
        <f ca="1">BDH("BMBL US Equity","EBITDA_MARGIN","FY 2019","FY 2019","Currency=USD","Period=FY","BEST_FPERIOD_OVERRIDE=FY","FILING_STATUS=MR","FA_ADJUSTED=GAAP","Sort=A","Dates=H","DateFormat=P","Fill=—","Direction=H","UseDPDF=Y")</f>
        <v>#NAME?</v>
      </c>
      <c r="E60" s="1057" t="e">
        <f ca="1">BDH("BMBL US Equity","EBITDA_MARGIN","FY 2020","FY 2020","Currency=USD","Period=FY","BEST_FPERIOD_OVERRIDE=FY","FILING_STATUS=MR","FA_ADJUSTED=GAAP","Sort=A","Dates=H","DateFormat=P","Fill=—","Direction=H","UseDPDF=Y")</f>
        <v>#NAME?</v>
      </c>
      <c r="F60" s="1057" t="e">
        <f ca="1">BDH("BMBL US Equity","EBITDA_MARGIN","FY 2021","FY 2021","Currency=USD","Period=FY","BEST_FPERIOD_OVERRIDE=FY","FILING_STATUS=MR","FA_ADJUSTED=GAAP","Sort=A","Dates=H","DateFormat=P","Fill=—","Direction=H","UseDPDF=Y")</f>
        <v>#NAME?</v>
      </c>
      <c r="G60" s="1057" t="e">
        <f ca="1">BDH("BMBL US Equity","EBITDA_MARGIN","FY 2022","FY 2022","Currency=USD","Period=FY","BEST_FPERIOD_OVERRIDE=FY","FILING_STATUS=MR","FA_ADJUSTED=GAAP","Sort=A","Dates=H","DateFormat=P","Fill=—","Direction=H","UseDPDF=Y")</f>
        <v>#NAME?</v>
      </c>
      <c r="H60" s="1057" t="e">
        <f ca="1">BDH("BMBL US Equity","EBITDA_MARGIN","FY 2023","FY 2023","Currency=USD","Period=FY","BEST_FPERIOD_OVERRIDE=FY","FILING_STATUS=MR","FA_ADJUSTED=GAAP","Sort=A","Dates=H","DateFormat=P","Fill=—","Direction=H","UseDPDF=Y")</f>
        <v>#NAME?</v>
      </c>
      <c r="I60" s="1076">
        <v>17.727815818346102</v>
      </c>
    </row>
    <row r="61" spans="1:9">
      <c r="A61" s="1058" t="s">
        <v>643</v>
      </c>
      <c r="B61" s="1058" t="s">
        <v>644</v>
      </c>
      <c r="C61" s="1059" t="e">
        <f ca="1">BDH("BMBL US Equity","CF_NET_CASH_PAID_FOR_AQUIS","FY 2018","FY 2018","Currency=USD","Period=FY","BEST_FPERIOD_OVERRIDE=FY","FILING_STATUS=MR","SCALING_FORMAT=MLN","Sort=A","Dates=H","DateFormat=P","Fill=—","Direction=H","UseDPDF=Y")</f>
        <v>#NAME?</v>
      </c>
      <c r="D61" s="1059" t="e">
        <f ca="1">BDH("BMBL US Equity","CF_NET_CASH_PAID_FOR_AQUIS","FY 2019","FY 2019","Currency=USD","Period=FY","BEST_FPERIOD_OVERRIDE=FY","FILING_STATUS=MR","SCALING_FORMAT=MLN","Sort=A","Dates=H","DateFormat=P","Fill=—","Direction=H","UseDPDF=Y")</f>
        <v>#NAME?</v>
      </c>
      <c r="E61" s="1059" t="e">
        <f ca="1">BDH("BMBL US Equity","CF_NET_CASH_PAID_FOR_AQUIS","FY 2020","FY 2020","Currency=USD","Period=FY","BEST_FPERIOD_OVERRIDE=FY","FILING_STATUS=MR","SCALING_FORMAT=MLN","Sort=A","Dates=H","DateFormat=P","Fill=—","Direction=H","UseDPDF=Y")</f>
        <v>#NAME?</v>
      </c>
      <c r="F61" s="1059" t="e">
        <f ca="1">BDH("BMBL US Equity","CF_NET_CASH_PAID_FOR_AQUIS","FY 2021","FY 2021","Currency=USD","Period=FY","BEST_FPERIOD_OVERRIDE=FY","FILING_STATUS=MR","SCALING_FORMAT=MLN","Sort=A","Dates=H","DateFormat=P","Fill=—","Direction=H","UseDPDF=Y")</f>
        <v>#NAME?</v>
      </c>
      <c r="G61" s="1059" t="e">
        <f ca="1">BDH("BMBL US Equity","CF_NET_CASH_PAID_FOR_AQUIS","FY 2022","FY 2022","Currency=USD","Period=FY","BEST_FPERIOD_OVERRIDE=FY","FILING_STATUS=MR","SCALING_FORMAT=MLN","Sort=A","Dates=H","DateFormat=P","Fill=—","Direction=H","UseDPDF=Y")</f>
        <v>#NAME?</v>
      </c>
      <c r="H61" s="1059" t="e">
        <f ca="1">BDH("BMBL US Equity","CF_NET_CASH_PAID_FOR_AQUIS","FY 2023","FY 2023","Currency=USD","Period=FY","BEST_FPERIOD_OVERRIDE=FY","FILING_STATUS=MR","SCALING_FORMAT=MLN","Sort=A","Dates=H","DateFormat=P","Fill=—","Direction=H","UseDPDF=Y")</f>
        <v>#NAME?</v>
      </c>
      <c r="I61" s="1077"/>
    </row>
    <row r="62" spans="1:9">
      <c r="A62" s="1058" t="s">
        <v>645</v>
      </c>
      <c r="B62" s="1058" t="s">
        <v>646</v>
      </c>
      <c r="C62" s="1059" t="e">
        <f ca="1">BDH("BMBL US Equity","CF_FREE_CASH_FLOW","FY 2018","FY 2018","Currency=USD","Period=FY","BEST_FPERIOD_OVERRIDE=FY","FILING_STATUS=MR","SCALING_FORMAT=MLN","Sort=A","Dates=H","DateFormat=P","Fill=—","Direction=H","UseDPDF=Y")</f>
        <v>#NAME?</v>
      </c>
      <c r="D62" s="1059" t="e">
        <f ca="1">BDH("BMBL US Equity","CF_FREE_CASH_FLOW","FY 2019","FY 2019","Currency=USD","Period=FY","BEST_FPERIOD_OVERRIDE=FY","FILING_STATUS=MR","SCALING_FORMAT=MLN","Sort=A","Dates=H","DateFormat=P","Fill=—","Direction=H","UseDPDF=Y")</f>
        <v>#NAME?</v>
      </c>
      <c r="E62" s="1059" t="e">
        <f ca="1">BDH("BMBL US Equity","CF_FREE_CASH_FLOW","FY 2020","FY 2020","Currency=USD","Period=FY","BEST_FPERIOD_OVERRIDE=FY","FILING_STATUS=MR","SCALING_FORMAT=MLN","Sort=A","Dates=H","DateFormat=P","Fill=—","Direction=H","UseDPDF=Y")</f>
        <v>#NAME?</v>
      </c>
      <c r="F62" s="1059" t="e">
        <f ca="1">BDH("BMBL US Equity","CF_FREE_CASH_FLOW","FY 2021","FY 2021","Currency=USD","Period=FY","BEST_FPERIOD_OVERRIDE=FY","FILING_STATUS=MR","SCALING_FORMAT=MLN","Sort=A","Dates=H","DateFormat=P","Fill=—","Direction=H","UseDPDF=Y")</f>
        <v>#NAME?</v>
      </c>
      <c r="G62" s="1059" t="e">
        <f ca="1">BDH("BMBL US Equity","CF_FREE_CASH_FLOW","FY 2022","FY 2022","Currency=USD","Period=FY","BEST_FPERIOD_OVERRIDE=FY","FILING_STATUS=MR","SCALING_FORMAT=MLN","Sort=A","Dates=H","DateFormat=P","Fill=—","Direction=H","UseDPDF=Y")</f>
        <v>#NAME?</v>
      </c>
      <c r="H62" s="1059" t="e">
        <f ca="1">BDH("BMBL US Equity","CF_FREE_CASH_FLOW","FY 2023","FY 2023","Currency=USD","Period=FY","BEST_FPERIOD_OVERRIDE=FY","FILING_STATUS=MR","SCALING_FORMAT=MLN","Sort=A","Dates=H","DateFormat=P","Fill=—","Direction=H","UseDPDF=Y")</f>
        <v>#NAME?</v>
      </c>
      <c r="I62" s="1077">
        <v>151.07499999999999</v>
      </c>
    </row>
    <row r="63" spans="1:9">
      <c r="A63" s="1058" t="s">
        <v>647</v>
      </c>
      <c r="B63" s="1058" t="s">
        <v>648</v>
      </c>
      <c r="C63" s="1059" t="e">
        <f ca="1">BDH("BMBL US Equity","CF_FREE_CASH_FLOW_FIRM","FY 2018","FY 2018","Currency=USD","Period=FY","BEST_FPERIOD_OVERRIDE=FY","FILING_STATUS=MR","SCALING_FORMAT=MLN","FA_ADJUSTED=GAAP","Sort=A","Dates=H","DateFormat=P","Fill=—","Direction=H","UseDPDF=Y")</f>
        <v>#NAME?</v>
      </c>
      <c r="D63" s="1059" t="e">
        <f ca="1">BDH("BMBL US Equity","CF_FREE_CASH_FLOW_FIRM","FY 2019","FY 2019","Currency=USD","Period=FY","BEST_FPERIOD_OVERRIDE=FY","FILING_STATUS=MR","SCALING_FORMAT=MLN","FA_ADJUSTED=GAAP","Sort=A","Dates=H","DateFormat=P","Fill=—","Direction=H","UseDPDF=Y")</f>
        <v>#NAME?</v>
      </c>
      <c r="E63" s="1059" t="e">
        <f ca="1">BDH("BMBL US Equity","CF_FREE_CASH_FLOW_FIRM","FY 2020","FY 2020","Currency=USD","Period=FY","BEST_FPERIOD_OVERRIDE=FY","FILING_STATUS=MR","SCALING_FORMAT=MLN","FA_ADJUSTED=GAAP","Sort=A","Dates=H","DateFormat=P","Fill=—","Direction=H","UseDPDF=Y")</f>
        <v>#NAME?</v>
      </c>
      <c r="F63" s="1059" t="e">
        <f ca="1">BDH("BMBL US Equity","CF_FREE_CASH_FLOW_FIRM","FY 2021","FY 2021","Currency=USD","Period=FY","BEST_FPERIOD_OVERRIDE=FY","FILING_STATUS=MR","SCALING_FORMAT=MLN","FA_ADJUSTED=GAAP","Sort=A","Dates=H","DateFormat=P","Fill=—","Direction=H","UseDPDF=Y")</f>
        <v>#NAME?</v>
      </c>
      <c r="G63" s="1059" t="e">
        <f ca="1">BDH("BMBL US Equity","CF_FREE_CASH_FLOW_FIRM","FY 2022","FY 2022","Currency=USD","Period=FY","BEST_FPERIOD_OVERRIDE=FY","FILING_STATUS=MR","SCALING_FORMAT=MLN","FA_ADJUSTED=GAAP","Sort=A","Dates=H","DateFormat=P","Fill=—","Direction=H","UseDPDF=Y")</f>
        <v>#NAME?</v>
      </c>
      <c r="H63" s="1059" t="e">
        <f ca="1">BDH("BMBL US Equity","CF_FREE_CASH_FLOW_FIRM","FY 2023","FY 2023","Currency=USD","Period=FY","BEST_FPERIOD_OVERRIDE=FY","FILING_STATUS=MR","SCALING_FORMAT=MLN","FA_ADJUSTED=GAAP","Sort=A","Dates=H","DateFormat=P","Fill=—","Direction=H","UseDPDF=Y")</f>
        <v>#NAME?</v>
      </c>
      <c r="I63" s="1077">
        <v>169.58837026805901</v>
      </c>
    </row>
    <row r="64" spans="1:9">
      <c r="A64" s="1058" t="s">
        <v>649</v>
      </c>
      <c r="B64" s="1058" t="s">
        <v>650</v>
      </c>
      <c r="C64" s="1059" t="e">
        <f ca="1">BDH("BMBL US Equity","FREE_CASH_FLOW_EQUITY","FY 2018","FY 2018","Currency=USD","Period=FY","BEST_FPERIOD_OVERRIDE=FY","FILING_STATUS=MR","SCALING_FORMAT=MLN","Sort=A","Dates=H","DateFormat=P","Fill=—","Direction=H","UseDPDF=Y")</f>
        <v>#NAME?</v>
      </c>
      <c r="D64" s="1059" t="e">
        <f ca="1">BDH("BMBL US Equity","FREE_CASH_FLOW_EQUITY","FY 2019","FY 2019","Currency=USD","Period=FY","BEST_FPERIOD_OVERRIDE=FY","FILING_STATUS=MR","SCALING_FORMAT=MLN","Sort=A","Dates=H","DateFormat=P","Fill=—","Direction=H","UseDPDF=Y")</f>
        <v>#NAME?</v>
      </c>
      <c r="E64" s="1059" t="e">
        <f ca="1">BDH("BMBL US Equity","FREE_CASH_FLOW_EQUITY","FY 2020","FY 2020","Currency=USD","Period=FY","BEST_FPERIOD_OVERRIDE=FY","FILING_STATUS=MR","SCALING_FORMAT=MLN","Sort=A","Dates=H","DateFormat=P","Fill=—","Direction=H","UseDPDF=Y")</f>
        <v>#NAME?</v>
      </c>
      <c r="F64" s="1059" t="e">
        <f ca="1">BDH("BMBL US Equity","FREE_CASH_FLOW_EQUITY","FY 2021","FY 2021","Currency=USD","Period=FY","BEST_FPERIOD_OVERRIDE=FY","FILING_STATUS=MR","SCALING_FORMAT=MLN","Sort=A","Dates=H","DateFormat=P","Fill=—","Direction=H","UseDPDF=Y")</f>
        <v>#NAME?</v>
      </c>
      <c r="G64" s="1059" t="e">
        <f ca="1">BDH("BMBL US Equity","FREE_CASH_FLOW_EQUITY","FY 2022","FY 2022","Currency=USD","Period=FY","BEST_FPERIOD_OVERRIDE=FY","FILING_STATUS=MR","SCALING_FORMAT=MLN","Sort=A","Dates=H","DateFormat=P","Fill=—","Direction=H","UseDPDF=Y")</f>
        <v>#NAME?</v>
      </c>
      <c r="H64" s="1059" t="e">
        <f ca="1">BDH("BMBL US Equity","FREE_CASH_FLOW_EQUITY","FY 2023","FY 2023","Currency=USD","Period=FY","BEST_FPERIOD_OVERRIDE=FY","FILING_STATUS=MR","SCALING_FORMAT=MLN","Sort=A","Dates=H","DateFormat=P","Fill=—","Direction=H","UseDPDF=Y")</f>
        <v>#NAME?</v>
      </c>
      <c r="I64" s="1077">
        <v>145.32499999999999</v>
      </c>
    </row>
    <row r="65" spans="1:9">
      <c r="A65" s="1058" t="s">
        <v>651</v>
      </c>
      <c r="B65" s="1058" t="s">
        <v>652</v>
      </c>
      <c r="C65" s="1057" t="e">
        <f ca="1">BDH("BMBL US Equity","FREE_CASH_FLOW_PER_SH","FY 2018","FY 2018","Currency=USD","Period=FY","BEST_FPERIOD_OVERRIDE=FY","FILING_STATUS=MR","Sort=A","Dates=H","DateFormat=P","Fill=—","Direction=H","UseDPDF=Y")</f>
        <v>#NAME?</v>
      </c>
      <c r="D65" s="1057" t="e">
        <f ca="1">BDH("BMBL US Equity","FREE_CASH_FLOW_PER_SH","FY 2019","FY 2019","Currency=USD","Period=FY","BEST_FPERIOD_OVERRIDE=FY","FILING_STATUS=MR","Sort=A","Dates=H","DateFormat=P","Fill=—","Direction=H","UseDPDF=Y")</f>
        <v>#NAME?</v>
      </c>
      <c r="E65" s="1057" t="e">
        <f ca="1">BDH("BMBL US Equity","FREE_CASH_FLOW_PER_SH","FY 2020","FY 2020","Currency=USD","Period=FY","BEST_FPERIOD_OVERRIDE=FY","FILING_STATUS=MR","Sort=A","Dates=H","DateFormat=P","Fill=—","Direction=H","UseDPDF=Y")</f>
        <v>#NAME?</v>
      </c>
      <c r="F65" s="1057" t="e">
        <f ca="1">BDH("BMBL US Equity","FREE_CASH_FLOW_PER_SH","FY 2021","FY 2021","Currency=USD","Period=FY","BEST_FPERIOD_OVERRIDE=FY","FILING_STATUS=MR","Sort=A","Dates=H","DateFormat=P","Fill=—","Direction=H","UseDPDF=Y")</f>
        <v>#NAME?</v>
      </c>
      <c r="G65" s="1057" t="e">
        <f ca="1">BDH("BMBL US Equity","FREE_CASH_FLOW_PER_SH","FY 2022","FY 2022","Currency=USD","Period=FY","BEST_FPERIOD_OVERRIDE=FY","FILING_STATUS=MR","Sort=A","Dates=H","DateFormat=P","Fill=—","Direction=H","UseDPDF=Y")</f>
        <v>#NAME?</v>
      </c>
      <c r="H65" s="1057" t="e">
        <f ca="1">BDH("BMBL US Equity","FREE_CASH_FLOW_PER_SH","FY 2023","FY 2023","Currency=USD","Period=FY","BEST_FPERIOD_OVERRIDE=FY","FILING_STATUS=MR","Sort=A","Dates=H","DateFormat=P","Fill=—","Direction=H","UseDPDF=Y")</f>
        <v>#NAME?</v>
      </c>
      <c r="I65" s="1076">
        <v>1.1237626889444401</v>
      </c>
    </row>
    <row r="66" spans="1:9">
      <c r="A66" s="1058" t="s">
        <v>653</v>
      </c>
      <c r="B66" s="1058" t="s">
        <v>654</v>
      </c>
      <c r="C66" s="1057" t="e">
        <f ca="1">BDH("BMBL US Equity","PX_TO_FREE_CASH_FLOW","FY 2018","FY 2018","Currency=USD","Period=FY","BEST_FPERIOD_OVERRIDE=FY","FILING_STATUS=MR","Sort=A","Dates=H","DateFormat=P","Fill=—","Direction=H","UseDPDF=Y")</f>
        <v>#NAME?</v>
      </c>
      <c r="D66" s="1057" t="e">
        <f ca="1">BDH("BMBL US Equity","PX_TO_FREE_CASH_FLOW","FY 2019","FY 2019","Currency=USD","Period=FY","BEST_FPERIOD_OVERRIDE=FY","FILING_STATUS=MR","Sort=A","Dates=H","DateFormat=P","Fill=—","Direction=H","UseDPDF=Y")</f>
        <v>#NAME?</v>
      </c>
      <c r="E66" s="1057" t="e">
        <f ca="1">BDH("BMBL US Equity","PX_TO_FREE_CASH_FLOW","FY 2020","FY 2020","Currency=USD","Period=FY","BEST_FPERIOD_OVERRIDE=FY","FILING_STATUS=MR","Sort=A","Dates=H","DateFormat=P","Fill=—","Direction=H","UseDPDF=Y")</f>
        <v>#NAME?</v>
      </c>
      <c r="F66" s="1057" t="e">
        <f ca="1">BDH("BMBL US Equity","PX_TO_FREE_CASH_FLOW","FY 2021","FY 2021","Currency=USD","Period=FY","BEST_FPERIOD_OVERRIDE=FY","FILING_STATUS=MR","Sort=A","Dates=H","DateFormat=P","Fill=—","Direction=H","UseDPDF=Y")</f>
        <v>#NAME?</v>
      </c>
      <c r="G66" s="1057" t="e">
        <f ca="1">BDH("BMBL US Equity","PX_TO_FREE_CASH_FLOW","FY 2022","FY 2022","Currency=USD","Period=FY","BEST_FPERIOD_OVERRIDE=FY","FILING_STATUS=MR","Sort=A","Dates=H","DateFormat=P","Fill=—","Direction=H","UseDPDF=Y")</f>
        <v>#NAME?</v>
      </c>
      <c r="H66" s="1057" t="e">
        <f ca="1">BDH("BMBL US Equity","PX_TO_FREE_CASH_FLOW","FY 2023","FY 2023","Currency=USD","Period=FY","BEST_FPERIOD_OVERRIDE=FY","FILING_STATUS=MR","Sort=A","Dates=H","DateFormat=P","Fill=—","Direction=H","UseDPDF=Y")</f>
        <v>#NAME?</v>
      </c>
      <c r="I66" s="1076">
        <v>6.3269587106445604</v>
      </c>
    </row>
    <row r="67" spans="1:9">
      <c r="A67" s="1058" t="s">
        <v>655</v>
      </c>
      <c r="B67" s="1058" t="s">
        <v>656</v>
      </c>
      <c r="C67" s="1057" t="e">
        <f ca="1">BDH("BMBL US Equity","CASH_FLOW_TO_NET_INC","FY 2018","FY 2018","Currency=USD","Period=FY","BEST_FPERIOD_OVERRIDE=FY","FILING_STATUS=MR","FA_ADJUSTED=GAAP","Sort=A","Dates=H","DateFormat=P","Fill=—","Direction=H","UseDPDF=Y")</f>
        <v>#NAME?</v>
      </c>
      <c r="D67" s="1057" t="e">
        <f ca="1">BDH("BMBL US Equity","CASH_FLOW_TO_NET_INC","FY 2019","FY 2019","Currency=USD","Period=FY","BEST_FPERIOD_OVERRIDE=FY","FILING_STATUS=MR","FA_ADJUSTED=GAAP","Sort=A","Dates=H","DateFormat=P","Fill=—","Direction=H","UseDPDF=Y")</f>
        <v>#NAME?</v>
      </c>
      <c r="E67" s="1057" t="e">
        <f ca="1">BDH("BMBL US Equity","CASH_FLOW_TO_NET_INC","FY 2020","FY 2020","Currency=USD","Period=FY","BEST_FPERIOD_OVERRIDE=FY","FILING_STATUS=MR","FA_ADJUSTED=GAAP","Sort=A","Dates=H","DateFormat=P","Fill=—","Direction=H","UseDPDF=Y")</f>
        <v>#NAME?</v>
      </c>
      <c r="F67" s="1057" t="e">
        <f ca="1">BDH("BMBL US Equity","CASH_FLOW_TO_NET_INC","FY 2021","FY 2021","Currency=USD","Period=FY","BEST_FPERIOD_OVERRIDE=FY","FILING_STATUS=MR","FA_ADJUSTED=GAAP","Sort=A","Dates=H","DateFormat=P","Fill=—","Direction=H","UseDPDF=Y")</f>
        <v>#NAME?</v>
      </c>
      <c r="G67" s="1057" t="e">
        <f ca="1">BDH("BMBL US Equity","CASH_FLOW_TO_NET_INC","FY 2022","FY 2022","Currency=USD","Period=FY","BEST_FPERIOD_OVERRIDE=FY","FILING_STATUS=MR","FA_ADJUSTED=GAAP","Sort=A","Dates=H","DateFormat=P","Fill=—","Direction=H","UseDPDF=Y")</f>
        <v>#NAME?</v>
      </c>
      <c r="H67" s="1057" t="e">
        <f ca="1">BDH("BMBL US Equity","CASH_FLOW_TO_NET_INC","FY 2023","FY 2023","Currency=USD","Period=FY","BEST_FPERIOD_OVERRIDE=FY","FILING_STATUS=MR","FA_ADJUSTED=GAAP","Sort=A","Dates=H","DateFormat=P","Fill=—","Direction=H","UseDPDF=Y")</f>
        <v>#NAME?</v>
      </c>
      <c r="I67" s="1076">
        <v>1.2018616535864199</v>
      </c>
    </row>
    <row r="68" spans="1:9">
      <c r="A68" s="1056" t="s">
        <v>313</v>
      </c>
      <c r="B68" s="1056"/>
      <c r="C68" s="1056" t="s">
        <v>314</v>
      </c>
      <c r="D68" s="1056"/>
      <c r="E68" s="1056"/>
      <c r="F68" s="1056"/>
      <c r="G68" s="1056"/>
      <c r="H68" s="1056"/>
      <c r="I68" s="105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4"/>
  <sheetViews>
    <sheetView workbookViewId="0">
      <selection activeCell="E8" sqref="E8"/>
    </sheetView>
  </sheetViews>
  <sheetFormatPr defaultColWidth="8.88671875" defaultRowHeight="14.4"/>
  <cols>
    <col min="1" max="1" width="35.109375" customWidth="1"/>
    <col min="2" max="2" width="0" hidden="1" customWidth="1"/>
    <col min="3" max="8" width="11.88671875" customWidth="1"/>
  </cols>
  <sheetData>
    <row r="1" spans="1:8">
      <c r="A1" s="1070"/>
      <c r="B1" s="1070"/>
      <c r="C1" s="1070"/>
      <c r="D1" s="1070"/>
      <c r="E1" s="1070"/>
      <c r="F1" s="1070"/>
      <c r="G1" s="1070"/>
      <c r="H1" s="1070"/>
    </row>
    <row r="2" spans="1:8" ht="21">
      <c r="A2" s="1069" t="s">
        <v>0</v>
      </c>
      <c r="B2" s="1069"/>
      <c r="C2" s="1069"/>
      <c r="D2" s="1069"/>
      <c r="E2" s="1069"/>
      <c r="F2" s="1069"/>
      <c r="G2" s="1069"/>
      <c r="H2" s="1069"/>
    </row>
    <row r="3" spans="1:8">
      <c r="A3" s="1068"/>
      <c r="B3" s="1068"/>
      <c r="C3" s="1068"/>
      <c r="D3" s="1068"/>
      <c r="E3" s="1068"/>
      <c r="F3" s="1068"/>
      <c r="G3" s="1068"/>
      <c r="H3" s="1068"/>
    </row>
    <row r="4" spans="1:8">
      <c r="A4" s="1067" t="s">
        <v>1</v>
      </c>
      <c r="B4" s="1067"/>
      <c r="C4" s="1066" t="s">
        <v>2</v>
      </c>
      <c r="D4" s="1066" t="s">
        <v>3</v>
      </c>
      <c r="E4" s="1066" t="s">
        <v>4</v>
      </c>
      <c r="F4" s="1066" t="s">
        <v>5</v>
      </c>
      <c r="G4" s="1066" t="s">
        <v>6</v>
      </c>
      <c r="H4" s="1066" t="s">
        <v>7</v>
      </c>
    </row>
    <row r="5" spans="1:8">
      <c r="A5" s="1074" t="s">
        <v>8</v>
      </c>
      <c r="B5" s="1074"/>
      <c r="C5" s="1073" t="s">
        <v>9</v>
      </c>
      <c r="D5" s="1073" t="s">
        <v>10</v>
      </c>
      <c r="E5" s="1073" t="s">
        <v>11</v>
      </c>
      <c r="F5" s="1073" t="s">
        <v>12</v>
      </c>
      <c r="G5" s="1073" t="s">
        <v>13</v>
      </c>
      <c r="H5" s="1073" t="s">
        <v>14</v>
      </c>
    </row>
    <row r="6" spans="1:8">
      <c r="A6" s="1062" t="s">
        <v>657</v>
      </c>
      <c r="B6" s="1063"/>
      <c r="C6" s="1063"/>
      <c r="D6" s="1063"/>
      <c r="E6" s="1063"/>
      <c r="F6" s="1063"/>
      <c r="G6" s="1063"/>
      <c r="H6" s="1063"/>
    </row>
    <row r="7" spans="1:8">
      <c r="A7" s="1058" t="s">
        <v>658</v>
      </c>
      <c r="B7" s="1060"/>
      <c r="C7" s="1060"/>
      <c r="D7" s="1060"/>
      <c r="E7" s="1060"/>
      <c r="F7" s="1060"/>
      <c r="G7" s="1060"/>
      <c r="H7" s="1060"/>
    </row>
    <row r="8" spans="1:8">
      <c r="A8" s="1058" t="s">
        <v>659</v>
      </c>
      <c r="B8" s="1058" t="s">
        <v>660</v>
      </c>
      <c r="C8" s="1059" t="e">
        <f ca="1">BDH("BMBL US Equity","ARD_REVENUES","FY 2018","FY 2018","Currency=USD","Period=FY","BEST_FPERIOD_OVERRIDE=FY","FILING_STATUS=MR","SCALING_FORMAT=MLN","Sort=A","Dates=H","DateFormat=P","Fill=—","Direction=H","UseDPDF=Y")</f>
        <v>#NAME?</v>
      </c>
      <c r="D8" s="1059" t="e">
        <f ca="1">BDH("BMBL US Equity","ARD_REVENUES","FY 2019","FY 2019","Currency=USD","Period=FY","BEST_FPERIOD_OVERRIDE=FY","FILING_STATUS=MR","SCALING_FORMAT=MLN","Sort=A","Dates=H","DateFormat=P","Fill=—","Direction=H","UseDPDF=Y")</f>
        <v>#NAME?</v>
      </c>
      <c r="E8" s="1059" t="e">
        <f ca="1">BDH("BMBL US Equity","ARD_REVENUES","FY 2020","FY 2020","Currency=USD","Period=FY","BEST_FPERIOD_OVERRIDE=FY","FILING_STATUS=MR","SCALING_FORMAT=MLN","Sort=A","Dates=H","DateFormat=P","Fill=—","Direction=H","UseDPDF=Y")</f>
        <v>#NAME?</v>
      </c>
      <c r="F8" s="1059" t="e">
        <f ca="1">BDH("BMBL US Equity","ARD_REVENUES","FY 2021","FY 2021","Currency=USD","Period=FY","BEST_FPERIOD_OVERRIDE=FY","FILING_STATUS=MR","SCALING_FORMAT=MLN","Sort=A","Dates=H","DateFormat=P","Fill=—","Direction=H","UseDPDF=Y")</f>
        <v>#NAME?</v>
      </c>
      <c r="G8" s="1059" t="e">
        <f ca="1">BDH("BMBL US Equity","ARD_REVENUES","FY 2022","FY 2022","Currency=USD","Period=FY","BEST_FPERIOD_OVERRIDE=FY","FILING_STATUS=MR","SCALING_FORMAT=MLN","Sort=A","Dates=H","DateFormat=P","Fill=—","Direction=H","UseDPDF=Y")</f>
        <v>#NAME?</v>
      </c>
      <c r="H8" s="1059" t="e">
        <f ca="1">BDH("BMBL US Equity","ARD_REVENUES","FY 2023","FY 2023","Currency=USD","Period=FY","BEST_FPERIOD_OVERRIDE=FY","FILING_STATUS=MR","SCALING_FORMAT=MLN","Sort=A","Dates=H","DateFormat=P","Fill=—","Direction=H","UseDPDF=Y")</f>
        <v>#NAME?</v>
      </c>
    </row>
    <row r="9" spans="1:8">
      <c r="A9" s="1062" t="s">
        <v>661</v>
      </c>
      <c r="B9" s="1062" t="s">
        <v>662</v>
      </c>
      <c r="C9" s="1061" t="e">
        <f ca="1">BDH("BMBL US Equity","ARD_TOTAL_REVENUES","FY 2018","FY 2018","Currency=USD","Period=FY","BEST_FPERIOD_OVERRIDE=FY","FILING_STATUS=MR","SCALING_FORMAT=MLN","Sort=A","Dates=H","DateFormat=P","Fill=—","Direction=H","UseDPDF=Y")</f>
        <v>#NAME?</v>
      </c>
      <c r="D9" s="1061" t="e">
        <f ca="1">BDH("BMBL US Equity","ARD_TOTAL_REVENUES","FY 2019","FY 2019","Currency=USD","Period=FY","BEST_FPERIOD_OVERRIDE=FY","FILING_STATUS=MR","SCALING_FORMAT=MLN","Sort=A","Dates=H","DateFormat=P","Fill=—","Direction=H","UseDPDF=Y")</f>
        <v>#NAME?</v>
      </c>
      <c r="E9" s="1061" t="e">
        <f ca="1">BDH("BMBL US Equity","ARD_TOTAL_REVENUES","FY 2020","FY 2020","Currency=USD","Period=FY","BEST_FPERIOD_OVERRIDE=FY","FILING_STATUS=MR","SCALING_FORMAT=MLN","Sort=A","Dates=H","DateFormat=P","Fill=—","Direction=H","UseDPDF=Y")</f>
        <v>#NAME?</v>
      </c>
      <c r="F9" s="1061" t="e">
        <f ca="1">BDH("BMBL US Equity","ARD_TOTAL_REVENUES","FY 2021","FY 2021","Currency=USD","Period=FY","BEST_FPERIOD_OVERRIDE=FY","FILING_STATUS=MR","SCALING_FORMAT=MLN","Sort=A","Dates=H","DateFormat=P","Fill=—","Direction=H","UseDPDF=Y")</f>
        <v>#NAME?</v>
      </c>
      <c r="G9" s="1061" t="e">
        <f ca="1">BDH("BMBL US Equity","ARD_TOTAL_REVENUES","FY 2022","FY 2022","Currency=USD","Period=FY","BEST_FPERIOD_OVERRIDE=FY","FILING_STATUS=MR","SCALING_FORMAT=MLN","Sort=A","Dates=H","DateFormat=P","Fill=—","Direction=H","UseDPDF=Y")</f>
        <v>#NAME?</v>
      </c>
      <c r="H9" s="1061" t="e">
        <f ca="1">BDH("BMBL US Equity","ARD_TOTAL_REVENUES","FY 2023","FY 2023","Currency=USD","Period=FY","BEST_FPERIOD_OVERRIDE=FY","FILING_STATUS=MR","SCALING_FORMAT=MLN","Sort=A","Dates=H","DateFormat=P","Fill=—","Direction=H","UseDPDF=Y")</f>
        <v>#NAME?</v>
      </c>
    </row>
    <row r="10" spans="1:8">
      <c r="A10" s="1058" t="s">
        <v>663</v>
      </c>
      <c r="B10" s="1060"/>
      <c r="C10" s="1060"/>
      <c r="D10" s="1060"/>
      <c r="E10" s="1060"/>
      <c r="F10" s="1060"/>
      <c r="G10" s="1060"/>
      <c r="H10" s="1060"/>
    </row>
    <row r="11" spans="1:8">
      <c r="A11" s="1058" t="s">
        <v>664</v>
      </c>
      <c r="B11" s="1058" t="s">
        <v>665</v>
      </c>
      <c r="C11" s="1059" t="e">
        <f ca="1">BDH("BMBL US Equity","ARD_TOTAL_OPERATING_EXPENSES","FY 2018","FY 2018","Currency=USD","Period=FY","BEST_FPERIOD_OVERRIDE=FY","FILING_STATUS=MR","SCALING_FORMAT=MLN","Sort=A","Dates=H","DateFormat=P","Fill=—","Direction=H","UseDPDF=Y")</f>
        <v>#NAME?</v>
      </c>
      <c r="D11" s="1059" t="e">
        <f ca="1">BDH("BMBL US Equity","ARD_TOTAL_OPERATING_EXPENSES","FY 2019","FY 2019","Currency=USD","Period=FY","BEST_FPERIOD_OVERRIDE=FY","FILING_STATUS=MR","SCALING_FORMAT=MLN","Sort=A","Dates=H","DateFormat=P","Fill=—","Direction=H","UseDPDF=Y")</f>
        <v>#NAME?</v>
      </c>
      <c r="E11" s="1059" t="e">
        <f ca="1">BDH("BMBL US Equity","ARD_TOTAL_OPERATING_EXPENSES","FY 2020","FY 2020","Currency=USD","Period=FY","BEST_FPERIOD_OVERRIDE=FY","FILING_STATUS=MR","SCALING_FORMAT=MLN","Sort=A","Dates=H","DateFormat=P","Fill=—","Direction=H","UseDPDF=Y")</f>
        <v>#NAME?</v>
      </c>
      <c r="F11" s="1059" t="e">
        <f ca="1">BDH("BMBL US Equity","ARD_TOTAL_OPERATING_EXPENSES","FY 2021","FY 2021","Currency=USD","Period=FY","BEST_FPERIOD_OVERRIDE=FY","FILING_STATUS=MR","SCALING_FORMAT=MLN","Sort=A","Dates=H","DateFormat=P","Fill=—","Direction=H","UseDPDF=Y")</f>
        <v>#NAME?</v>
      </c>
      <c r="G11" s="1059" t="e">
        <f ca="1">BDH("BMBL US Equity","ARD_TOTAL_OPERATING_EXPENSES","FY 2022","FY 2022","Currency=USD","Period=FY","BEST_FPERIOD_OVERRIDE=FY","FILING_STATUS=MR","SCALING_FORMAT=MLN","Sort=A","Dates=H","DateFormat=P","Fill=—","Direction=H","UseDPDF=Y")</f>
        <v>#NAME?</v>
      </c>
      <c r="H11" s="1059" t="e">
        <f ca="1">BDH("BMBL US Equity","ARD_TOTAL_OPERATING_EXPENSES","FY 2023","FY 2023","Currency=USD","Period=FY","BEST_FPERIOD_OVERRIDE=FY","FILING_STATUS=MR","SCALING_FORMAT=MLN","Sort=A","Dates=H","DateFormat=P","Fill=—","Direction=H","UseDPDF=Y")</f>
        <v>#NAME?</v>
      </c>
    </row>
    <row r="12" spans="1:8">
      <c r="A12" s="1058" t="s">
        <v>666</v>
      </c>
      <c r="B12" s="1058" t="s">
        <v>667</v>
      </c>
      <c r="C12" s="1059" t="e">
        <f ca="1">BDH("BMBL US Equity","ARD_COST_OF_GOODS_SOLD","FY 2018","FY 2018","Currency=USD","Period=FY","BEST_FPERIOD_OVERRIDE=FY","FILING_STATUS=MR","SCALING_FORMAT=MLN","Sort=A","Dates=H","DateFormat=P","Fill=—","Direction=H","UseDPDF=Y")</f>
        <v>#NAME?</v>
      </c>
      <c r="D12" s="1059" t="e">
        <f ca="1">BDH("BMBL US Equity","ARD_COST_OF_GOODS_SOLD","FY 2019","FY 2019","Currency=USD","Period=FY","BEST_FPERIOD_OVERRIDE=FY","FILING_STATUS=MR","SCALING_FORMAT=MLN","Sort=A","Dates=H","DateFormat=P","Fill=—","Direction=H","UseDPDF=Y")</f>
        <v>#NAME?</v>
      </c>
      <c r="E12" s="1059" t="e">
        <f ca="1">BDH("BMBL US Equity","ARD_COST_OF_GOODS_SOLD","FY 2020","FY 2020","Currency=USD","Period=FY","BEST_FPERIOD_OVERRIDE=FY","FILING_STATUS=MR","SCALING_FORMAT=MLN","Sort=A","Dates=H","DateFormat=P","Fill=—","Direction=H","UseDPDF=Y")</f>
        <v>#NAME?</v>
      </c>
      <c r="F12" s="1059" t="e">
        <f ca="1">BDH("BMBL US Equity","ARD_COST_OF_GOODS_SOLD","FY 2021","FY 2021","Currency=USD","Period=FY","BEST_FPERIOD_OVERRIDE=FY","FILING_STATUS=MR","SCALING_FORMAT=MLN","Sort=A","Dates=H","DateFormat=P","Fill=—","Direction=H","UseDPDF=Y")</f>
        <v>#NAME?</v>
      </c>
      <c r="G12" s="1059" t="e">
        <f ca="1">BDH("BMBL US Equity","ARD_COST_OF_GOODS_SOLD","FY 2022","FY 2022","Currency=USD","Period=FY","BEST_FPERIOD_OVERRIDE=FY","FILING_STATUS=MR","SCALING_FORMAT=MLN","Sort=A","Dates=H","DateFormat=P","Fill=—","Direction=H","UseDPDF=Y")</f>
        <v>#NAME?</v>
      </c>
      <c r="H12" s="1059" t="e">
        <f ca="1">BDH("BMBL US Equity","ARD_COST_OF_GOODS_SOLD","FY 2023","FY 2023","Currency=USD","Period=FY","BEST_FPERIOD_OVERRIDE=FY","FILING_STATUS=MR","SCALING_FORMAT=MLN","Sort=A","Dates=H","DateFormat=P","Fill=—","Direction=H","UseDPDF=Y")</f>
        <v>#NAME?</v>
      </c>
    </row>
    <row r="13" spans="1:8">
      <c r="A13" s="1058" t="s">
        <v>668</v>
      </c>
      <c r="B13" s="1058" t="s">
        <v>669</v>
      </c>
      <c r="C13" s="1059" t="e">
        <f ca="1">BDH("BMBL US Equity","ARD_R&amp;D_EXPENDITURES","FY 2018","FY 2018","Currency=USD","Period=FY","BEST_FPERIOD_OVERRIDE=FY","FILING_STATUS=MR","SCALING_FORMAT=MLN","Sort=A","Dates=H","DateFormat=P","Fill=—","Direction=H","UseDPDF=Y")</f>
        <v>#NAME?</v>
      </c>
      <c r="D13" s="1059" t="e">
        <f ca="1">BDH("BMBL US Equity","ARD_R&amp;D_EXPENDITURES","FY 2019","FY 2019","Currency=USD","Period=FY","BEST_FPERIOD_OVERRIDE=FY","FILING_STATUS=MR","SCALING_FORMAT=MLN","Sort=A","Dates=H","DateFormat=P","Fill=—","Direction=H","UseDPDF=Y")</f>
        <v>#NAME?</v>
      </c>
      <c r="E13" s="1059" t="e">
        <f ca="1">BDH("BMBL US Equity","ARD_R&amp;D_EXPENDITURES","FY 2020","FY 2020","Currency=USD","Period=FY","BEST_FPERIOD_OVERRIDE=FY","FILING_STATUS=MR","SCALING_FORMAT=MLN","Sort=A","Dates=H","DateFormat=P","Fill=—","Direction=H","UseDPDF=Y")</f>
        <v>#NAME?</v>
      </c>
      <c r="F13" s="1059" t="e">
        <f ca="1">BDH("BMBL US Equity","ARD_R&amp;D_EXPENDITURES","FY 2021","FY 2021","Currency=USD","Period=FY","BEST_FPERIOD_OVERRIDE=FY","FILING_STATUS=MR","SCALING_FORMAT=MLN","Sort=A","Dates=H","DateFormat=P","Fill=—","Direction=H","UseDPDF=Y")</f>
        <v>#NAME?</v>
      </c>
      <c r="G13" s="1059" t="e">
        <f ca="1">BDH("BMBL US Equity","ARD_R&amp;D_EXPENDITURES","FY 2022","FY 2022","Currency=USD","Period=FY","BEST_FPERIOD_OVERRIDE=FY","FILING_STATUS=MR","SCALING_FORMAT=MLN","Sort=A","Dates=H","DateFormat=P","Fill=—","Direction=H","UseDPDF=Y")</f>
        <v>#NAME?</v>
      </c>
      <c r="H13" s="1059" t="e">
        <f ca="1">BDH("BMBL US Equity","ARD_R&amp;D_EXPENDITURES","FY 2023","FY 2023","Currency=USD","Period=FY","BEST_FPERIOD_OVERRIDE=FY","FILING_STATUS=MR","SCALING_FORMAT=MLN","Sort=A","Dates=H","DateFormat=P","Fill=—","Direction=H","UseDPDF=Y")</f>
        <v>#NAME?</v>
      </c>
    </row>
    <row r="14" spans="1:8">
      <c r="A14" s="1058" t="s">
        <v>670</v>
      </c>
      <c r="B14" s="1058" t="s">
        <v>671</v>
      </c>
      <c r="C14" s="1059" t="e">
        <f ca="1">BDH("BMBL US Equity","ARD_SALES_MKT_ADVERTISING_EXP","FY 2018","FY 2018","Currency=USD","Period=FY","BEST_FPERIOD_OVERRIDE=FY","FILING_STATUS=MR","SCALING_FORMAT=MLN","Sort=A","Dates=H","DateFormat=P","Fill=—","Direction=H","UseDPDF=Y")</f>
        <v>#NAME?</v>
      </c>
      <c r="D14" s="1059" t="e">
        <f ca="1">BDH("BMBL US Equity","ARD_SALES_MKT_ADVERTISING_EXP","FY 2019","FY 2019","Currency=USD","Period=FY","BEST_FPERIOD_OVERRIDE=FY","FILING_STATUS=MR","SCALING_FORMAT=MLN","Sort=A","Dates=H","DateFormat=P","Fill=—","Direction=H","UseDPDF=Y")</f>
        <v>#NAME?</v>
      </c>
      <c r="E14" s="1059" t="e">
        <f ca="1">BDH("BMBL US Equity","ARD_SALES_MKT_ADVERTISING_EXP","FY 2020","FY 2020","Currency=USD","Period=FY","BEST_FPERIOD_OVERRIDE=FY","FILING_STATUS=MR","SCALING_FORMAT=MLN","Sort=A","Dates=H","DateFormat=P","Fill=—","Direction=H","UseDPDF=Y")</f>
        <v>#NAME?</v>
      </c>
      <c r="F14" s="1059" t="e">
        <f ca="1">BDH("BMBL US Equity","ARD_SALES_MKT_ADVERTISING_EXP","FY 2021","FY 2021","Currency=USD","Period=FY","BEST_FPERIOD_OVERRIDE=FY","FILING_STATUS=MR","SCALING_FORMAT=MLN","Sort=A","Dates=H","DateFormat=P","Fill=—","Direction=H","UseDPDF=Y")</f>
        <v>#NAME?</v>
      </c>
      <c r="G14" s="1059" t="e">
        <f ca="1">BDH("BMBL US Equity","ARD_SALES_MKT_ADVERTISING_EXP","FY 2022","FY 2022","Currency=USD","Period=FY","BEST_FPERIOD_OVERRIDE=FY","FILING_STATUS=MR","SCALING_FORMAT=MLN","Sort=A","Dates=H","DateFormat=P","Fill=—","Direction=H","UseDPDF=Y")</f>
        <v>#NAME?</v>
      </c>
      <c r="H14" s="1059" t="e">
        <f ca="1">BDH("BMBL US Equity","ARD_SALES_MKT_ADVERTISING_EXP","FY 2023","FY 2023","Currency=USD","Period=FY","BEST_FPERIOD_OVERRIDE=FY","FILING_STATUS=MR","SCALING_FORMAT=MLN","Sort=A","Dates=H","DateFormat=P","Fill=—","Direction=H","UseDPDF=Y")</f>
        <v>#NAME?</v>
      </c>
    </row>
    <row r="15" spans="1:8">
      <c r="A15" s="1058" t="s">
        <v>672</v>
      </c>
      <c r="B15" s="1058" t="s">
        <v>673</v>
      </c>
      <c r="C15" s="1059" t="e">
        <f ca="1">BDH("BMBL US Equity","ARD_DEPRECIATION_AMORTIZATION","FY 2018","FY 2018","Currency=USD","Period=FY","BEST_FPERIOD_OVERRIDE=FY","FILING_STATUS=MR","SCALING_FORMAT=MLN","Sort=A","Dates=H","DateFormat=P","Fill=—","Direction=H","UseDPDF=Y")</f>
        <v>#NAME?</v>
      </c>
      <c r="D15" s="1059" t="e">
        <f ca="1">BDH("BMBL US Equity","ARD_DEPRECIATION_AMORTIZATION","FY 2019","FY 2019","Currency=USD","Period=FY","BEST_FPERIOD_OVERRIDE=FY","FILING_STATUS=MR","SCALING_FORMAT=MLN","Sort=A","Dates=H","DateFormat=P","Fill=—","Direction=H","UseDPDF=Y")</f>
        <v>#NAME?</v>
      </c>
      <c r="E15" s="1059" t="e">
        <f ca="1">BDH("BMBL US Equity","ARD_DEPRECIATION_AMORTIZATION","FY 2020","FY 2020","Currency=USD","Period=FY","BEST_FPERIOD_OVERRIDE=FY","FILING_STATUS=MR","SCALING_FORMAT=MLN","Sort=A","Dates=H","DateFormat=P","Fill=—","Direction=H","UseDPDF=Y")</f>
        <v>#NAME?</v>
      </c>
      <c r="F15" s="1059" t="e">
        <f ca="1">BDH("BMBL US Equity","ARD_DEPRECIATION_AMORTIZATION","FY 2021","FY 2021","Currency=USD","Period=FY","BEST_FPERIOD_OVERRIDE=FY","FILING_STATUS=MR","SCALING_FORMAT=MLN","Sort=A","Dates=H","DateFormat=P","Fill=—","Direction=H","UseDPDF=Y")</f>
        <v>#NAME?</v>
      </c>
      <c r="G15" s="1059" t="e">
        <f ca="1">BDH("BMBL US Equity","ARD_DEPRECIATION_AMORTIZATION","FY 2022","FY 2022","Currency=USD","Period=FY","BEST_FPERIOD_OVERRIDE=FY","FILING_STATUS=MR","SCALING_FORMAT=MLN","Sort=A","Dates=H","DateFormat=P","Fill=—","Direction=H","UseDPDF=Y")</f>
        <v>#NAME?</v>
      </c>
      <c r="H15" s="1059" t="e">
        <f ca="1">BDH("BMBL US Equity","ARD_DEPRECIATION_AMORTIZATION","FY 2023","FY 2023","Currency=USD","Period=FY","BEST_FPERIOD_OVERRIDE=FY","FILING_STATUS=MR","SCALING_FORMAT=MLN","Sort=A","Dates=H","DateFormat=P","Fill=—","Direction=H","UseDPDF=Y")</f>
        <v>#NAME?</v>
      </c>
    </row>
    <row r="16" spans="1:8">
      <c r="A16" s="1058" t="s">
        <v>674</v>
      </c>
      <c r="B16" s="1058" t="s">
        <v>675</v>
      </c>
      <c r="C16" s="1059" t="e">
        <f ca="1">BDH("BMBL US Equity","ARD_GENERAL_ADMINISTRATIVE_EXP","FY 2018","FY 2018","Currency=USD","Period=FY","BEST_FPERIOD_OVERRIDE=FY","FILING_STATUS=MR","SCALING_FORMAT=MLN","Sort=A","Dates=H","DateFormat=P","Fill=—","Direction=H","UseDPDF=Y")</f>
        <v>#NAME?</v>
      </c>
      <c r="D16" s="1059" t="e">
        <f ca="1">BDH("BMBL US Equity","ARD_GENERAL_ADMINISTRATIVE_EXP","FY 2019","FY 2019","Currency=USD","Period=FY","BEST_FPERIOD_OVERRIDE=FY","FILING_STATUS=MR","SCALING_FORMAT=MLN","Sort=A","Dates=H","DateFormat=P","Fill=—","Direction=H","UseDPDF=Y")</f>
        <v>#NAME?</v>
      </c>
      <c r="E16" s="1059" t="e">
        <f ca="1">BDH("BMBL US Equity","ARD_GENERAL_ADMINISTRATIVE_EXP","FY 2020","FY 2020","Currency=USD","Period=FY","BEST_FPERIOD_OVERRIDE=FY","FILING_STATUS=MR","SCALING_FORMAT=MLN","Sort=A","Dates=H","DateFormat=P","Fill=—","Direction=H","UseDPDF=Y")</f>
        <v>#NAME?</v>
      </c>
      <c r="F16" s="1059" t="e">
        <f ca="1">BDH("BMBL US Equity","ARD_GENERAL_ADMINISTRATIVE_EXP","FY 2021","FY 2021","Currency=USD","Period=FY","BEST_FPERIOD_OVERRIDE=FY","FILING_STATUS=MR","SCALING_FORMAT=MLN","Sort=A","Dates=H","DateFormat=P","Fill=—","Direction=H","UseDPDF=Y")</f>
        <v>#NAME?</v>
      </c>
      <c r="G16" s="1059" t="e">
        <f ca="1">BDH("BMBL US Equity","ARD_GENERAL_ADMINISTRATIVE_EXP","FY 2022","FY 2022","Currency=USD","Period=FY","BEST_FPERIOD_OVERRIDE=FY","FILING_STATUS=MR","SCALING_FORMAT=MLN","Sort=A","Dates=H","DateFormat=P","Fill=—","Direction=H","UseDPDF=Y")</f>
        <v>#NAME?</v>
      </c>
      <c r="H16" s="1059" t="e">
        <f ca="1">BDH("BMBL US Equity","ARD_GENERAL_ADMINISTRATIVE_EXP","FY 2023","FY 2023","Currency=USD","Period=FY","BEST_FPERIOD_OVERRIDE=FY","FILING_STATUS=MR","SCALING_FORMAT=MLN","Sort=A","Dates=H","DateFormat=P","Fill=—","Direction=H","UseDPDF=Y")</f>
        <v>#NAME?</v>
      </c>
    </row>
    <row r="17" spans="1:8">
      <c r="A17" s="1058" t="s">
        <v>676</v>
      </c>
      <c r="B17" s="1058" t="s">
        <v>677</v>
      </c>
      <c r="C17" s="1059" t="e">
        <f ca="1">BDH("BMBL US Equity","ARD_GROSS_PROFITS","FY 2018","FY 2018","Currency=USD","Period=FY","BEST_FPERIOD_OVERRIDE=FY","FILING_STATUS=MR","SCALING_FORMAT=MLN","Sort=A","Dates=H","DateFormat=P","Fill=—","Direction=H","UseDPDF=Y")</f>
        <v>#NAME?</v>
      </c>
      <c r="D17" s="1059" t="e">
        <f ca="1">BDH("BMBL US Equity","ARD_GROSS_PROFITS","FY 2019","FY 2019","Currency=USD","Period=FY","BEST_FPERIOD_OVERRIDE=FY","FILING_STATUS=MR","SCALING_FORMAT=MLN","Sort=A","Dates=H","DateFormat=P","Fill=—","Direction=H","UseDPDF=Y")</f>
        <v>#NAME?</v>
      </c>
      <c r="E17" s="1059" t="e">
        <f ca="1">BDH("BMBL US Equity","ARD_GROSS_PROFITS","FY 2020","FY 2020","Currency=USD","Period=FY","BEST_FPERIOD_OVERRIDE=FY","FILING_STATUS=MR","SCALING_FORMAT=MLN","Sort=A","Dates=H","DateFormat=P","Fill=—","Direction=H","UseDPDF=Y")</f>
        <v>#NAME?</v>
      </c>
      <c r="F17" s="1059" t="e">
        <f ca="1">BDH("BMBL US Equity","ARD_GROSS_PROFITS","FY 2021","FY 2021","Currency=USD","Period=FY","BEST_FPERIOD_OVERRIDE=FY","FILING_STATUS=MR","SCALING_FORMAT=MLN","Sort=A","Dates=H","DateFormat=P","Fill=—","Direction=H","UseDPDF=Y")</f>
        <v>#NAME?</v>
      </c>
      <c r="G17" s="1059" t="e">
        <f ca="1">BDH("BMBL US Equity","ARD_GROSS_PROFITS","FY 2022","FY 2022","Currency=USD","Period=FY","BEST_FPERIOD_OVERRIDE=FY","FILING_STATUS=MR","SCALING_FORMAT=MLN","Sort=A","Dates=H","DateFormat=P","Fill=—","Direction=H","UseDPDF=Y")</f>
        <v>#NAME?</v>
      </c>
      <c r="H17" s="1059" t="e">
        <f ca="1">BDH("BMBL US Equity","ARD_GROSS_PROFITS","FY 2023","FY 2023","Currency=USD","Period=FY","BEST_FPERIOD_OVERRIDE=FY","FILING_STATUS=MR","SCALING_FORMAT=MLN","Sort=A","Dates=H","DateFormat=P","Fill=—","Direction=H","UseDPDF=Y")</f>
        <v>#NAME?</v>
      </c>
    </row>
    <row r="18" spans="1:8">
      <c r="A18" s="1058" t="s">
        <v>678</v>
      </c>
      <c r="B18" s="1058" t="s">
        <v>679</v>
      </c>
      <c r="C18" s="1059" t="e">
        <f ca="1">BDH("BMBL US Equity","ARD_OPERATING_INCOME","FY 2018","FY 2018","Currency=USD","Period=FY","BEST_FPERIOD_OVERRIDE=FY","FILING_STATUS=MR","SCALING_FORMAT=MLN","Sort=A","Dates=H","DateFormat=P","Fill=—","Direction=H","UseDPDF=Y")</f>
        <v>#NAME?</v>
      </c>
      <c r="D18" s="1059" t="e">
        <f ca="1">BDH("BMBL US Equity","ARD_OPERATING_INCOME","FY 2019","FY 2019","Currency=USD","Period=FY","BEST_FPERIOD_OVERRIDE=FY","FILING_STATUS=MR","SCALING_FORMAT=MLN","Sort=A","Dates=H","DateFormat=P","Fill=—","Direction=H","UseDPDF=Y")</f>
        <v>#NAME?</v>
      </c>
      <c r="E18" s="1059" t="e">
        <f ca="1">BDH("BMBL US Equity","ARD_OPERATING_INCOME","FY 2020","FY 2020","Currency=USD","Period=FY","BEST_FPERIOD_OVERRIDE=FY","FILING_STATUS=MR","SCALING_FORMAT=MLN","Sort=A","Dates=H","DateFormat=P","Fill=—","Direction=H","UseDPDF=Y")</f>
        <v>#NAME?</v>
      </c>
      <c r="F18" s="1059" t="e">
        <f ca="1">BDH("BMBL US Equity","ARD_OPERATING_INCOME","FY 2021","FY 2021","Currency=USD","Period=FY","BEST_FPERIOD_OVERRIDE=FY","FILING_STATUS=MR","SCALING_FORMAT=MLN","Sort=A","Dates=H","DateFormat=P","Fill=—","Direction=H","UseDPDF=Y")</f>
        <v>#NAME?</v>
      </c>
      <c r="G18" s="1059" t="e">
        <f ca="1">BDH("BMBL US Equity","ARD_OPERATING_INCOME","FY 2022","FY 2022","Currency=USD","Period=FY","BEST_FPERIOD_OVERRIDE=FY","FILING_STATUS=MR","SCALING_FORMAT=MLN","Sort=A","Dates=H","DateFormat=P","Fill=—","Direction=H","UseDPDF=Y")</f>
        <v>#NAME?</v>
      </c>
      <c r="H18" s="1059" t="e">
        <f ca="1">BDH("BMBL US Equity","ARD_OPERATING_INCOME","FY 2023","FY 2023","Currency=USD","Period=FY","BEST_FPERIOD_OVERRIDE=FY","FILING_STATUS=MR","SCALING_FORMAT=MLN","Sort=A","Dates=H","DateFormat=P","Fill=—","Direction=H","UseDPDF=Y")</f>
        <v>#NAME?</v>
      </c>
    </row>
    <row r="19" spans="1:8">
      <c r="A19" s="1058" t="s">
        <v>680</v>
      </c>
      <c r="B19" s="1058" t="s">
        <v>681</v>
      </c>
      <c r="C19" s="1059" t="e">
        <f ca="1">BDH("BMBL US Equity","ARD_TOT_COST_OF_REVENUES","FY 2018","FY 2018","Currency=USD","Period=FY","BEST_FPERIOD_OVERRIDE=FY","FILING_STATUS=MR","SCALING_FORMAT=MLN","Sort=A","Dates=H","DateFormat=P","Fill=—","Direction=H","UseDPDF=Y")</f>
        <v>#NAME?</v>
      </c>
      <c r="D19" s="1059" t="e">
        <f ca="1">BDH("BMBL US Equity","ARD_TOT_COST_OF_REVENUES","FY 2019","FY 2019","Currency=USD","Period=FY","BEST_FPERIOD_OVERRIDE=FY","FILING_STATUS=MR","SCALING_FORMAT=MLN","Sort=A","Dates=H","DateFormat=P","Fill=—","Direction=H","UseDPDF=Y")</f>
        <v>#NAME?</v>
      </c>
      <c r="E19" s="1059" t="e">
        <f ca="1">BDH("BMBL US Equity","ARD_TOT_COST_OF_REVENUES","FY 2020","FY 2020","Currency=USD","Period=FY","BEST_FPERIOD_OVERRIDE=FY","FILING_STATUS=MR","SCALING_FORMAT=MLN","Sort=A","Dates=H","DateFormat=P","Fill=—","Direction=H","UseDPDF=Y")</f>
        <v>#NAME?</v>
      </c>
      <c r="F19" s="1059" t="e">
        <f ca="1">BDH("BMBL US Equity","ARD_TOT_COST_OF_REVENUES","FY 2021","FY 2021","Currency=USD","Period=FY","BEST_FPERIOD_OVERRIDE=FY","FILING_STATUS=MR","SCALING_FORMAT=MLN","Sort=A","Dates=H","DateFormat=P","Fill=—","Direction=H","UseDPDF=Y")</f>
        <v>#NAME?</v>
      </c>
      <c r="G19" s="1059" t="e">
        <f ca="1">BDH("BMBL US Equity","ARD_TOT_COST_OF_REVENUES","FY 2022","FY 2022","Currency=USD","Period=FY","BEST_FPERIOD_OVERRIDE=FY","FILING_STATUS=MR","SCALING_FORMAT=MLN","Sort=A","Dates=H","DateFormat=P","Fill=—","Direction=H","UseDPDF=Y")</f>
        <v>#NAME?</v>
      </c>
      <c r="H19" s="1059" t="e">
        <f ca="1">BDH("BMBL US Equity","ARD_TOT_COST_OF_REVENUES","FY 2023","FY 2023","Currency=USD","Period=FY","BEST_FPERIOD_OVERRIDE=FY","FILING_STATUS=MR","SCALING_FORMAT=MLN","Sort=A","Dates=H","DateFormat=P","Fill=—","Direction=H","UseDPDF=Y")</f>
        <v>#NAME?</v>
      </c>
    </row>
    <row r="20" spans="1:8">
      <c r="A20" s="1058" t="s">
        <v>682</v>
      </c>
      <c r="B20" s="1060"/>
      <c r="C20" s="1060"/>
      <c r="D20" s="1060"/>
      <c r="E20" s="1060"/>
      <c r="F20" s="1060"/>
      <c r="G20" s="1060"/>
      <c r="H20" s="1060"/>
    </row>
    <row r="21" spans="1:8">
      <c r="A21" s="1058" t="s">
        <v>683</v>
      </c>
      <c r="B21" s="1058" t="s">
        <v>684</v>
      </c>
      <c r="C21" s="1059" t="e">
        <f ca="1">BDH("BMBL US Equity","ARD_INT_EXP","FY 2018","FY 2018","Currency=USD","Period=FY","BEST_FPERIOD_OVERRIDE=FY","FILING_STATUS=MR","SCALING_FORMAT=MLN","Sort=A","Dates=H","DateFormat=P","Fill=—","Direction=H","UseDPDF=Y")</f>
        <v>#NAME?</v>
      </c>
      <c r="D21" s="1059" t="e">
        <f ca="1">BDH("BMBL US Equity","ARD_INT_EXP","FY 2019","FY 2019","Currency=USD","Period=FY","BEST_FPERIOD_OVERRIDE=FY","FILING_STATUS=MR","SCALING_FORMAT=MLN","Sort=A","Dates=H","DateFormat=P","Fill=—","Direction=H","UseDPDF=Y")</f>
        <v>#NAME?</v>
      </c>
      <c r="E21" s="1059" t="e">
        <f ca="1">BDH("BMBL US Equity","ARD_INT_EXP","FY 2020","FY 2020","Currency=USD","Period=FY","BEST_FPERIOD_OVERRIDE=FY","FILING_STATUS=MR","SCALING_FORMAT=MLN","Sort=A","Dates=H","DateFormat=P","Fill=—","Direction=H","UseDPDF=Y")</f>
        <v>#NAME?</v>
      </c>
      <c r="F21" s="1059" t="e">
        <f ca="1">BDH("BMBL US Equity","ARD_INT_EXP","FY 2021","FY 2021","Currency=USD","Period=FY","BEST_FPERIOD_OVERRIDE=FY","FILING_STATUS=MR","SCALING_FORMAT=MLN","Sort=A","Dates=H","DateFormat=P","Fill=—","Direction=H","UseDPDF=Y")</f>
        <v>#NAME?</v>
      </c>
      <c r="G21" s="1059" t="e">
        <f ca="1">BDH("BMBL US Equity","ARD_INT_EXP","FY 2022","FY 2022","Currency=USD","Period=FY","BEST_FPERIOD_OVERRIDE=FY","FILING_STATUS=MR","SCALING_FORMAT=MLN","Sort=A","Dates=H","DateFormat=P","Fill=—","Direction=H","UseDPDF=Y")</f>
        <v>#NAME?</v>
      </c>
      <c r="H21" s="1059" t="e">
        <f ca="1">BDH("BMBL US Equity","ARD_INT_EXP","FY 2023","FY 2023","Currency=USD","Period=FY","BEST_FPERIOD_OVERRIDE=FY","FILING_STATUS=MR","SCALING_FORMAT=MLN","Sort=A","Dates=H","DateFormat=P","Fill=—","Direction=H","UseDPDF=Y")</f>
        <v>#NAME?</v>
      </c>
    </row>
    <row r="22" spans="1:8">
      <c r="A22" s="1058" t="s">
        <v>685</v>
      </c>
      <c r="B22" s="1058" t="s">
        <v>686</v>
      </c>
      <c r="C22" s="1059" t="e">
        <f ca="1">BDH("BMBL US Equity","ARD_OTHER_NON_OPERATING_INC","FY 2018","FY 2018","Currency=USD","Period=FY","BEST_FPERIOD_OVERRIDE=FY","FILING_STATUS=MR","SCALING_FORMAT=MLN","Sort=A","Dates=H","DateFormat=P","Fill=—","Direction=H","UseDPDF=Y")</f>
        <v>#NAME?</v>
      </c>
      <c r="D22" s="1059" t="e">
        <f ca="1">BDH("BMBL US Equity","ARD_OTHER_NON_OPERATING_INC","FY 2019","FY 2019","Currency=USD","Period=FY","BEST_FPERIOD_OVERRIDE=FY","FILING_STATUS=MR","SCALING_FORMAT=MLN","Sort=A","Dates=H","DateFormat=P","Fill=—","Direction=H","UseDPDF=Y")</f>
        <v>#NAME?</v>
      </c>
      <c r="E22" s="1059" t="e">
        <f ca="1">BDH("BMBL US Equity","ARD_OTHER_NON_OPERATING_INC","FY 2020","FY 2020","Currency=USD","Period=FY","BEST_FPERIOD_OVERRIDE=FY","FILING_STATUS=MR","SCALING_FORMAT=MLN","Sort=A","Dates=H","DateFormat=P","Fill=—","Direction=H","UseDPDF=Y")</f>
        <v>#NAME?</v>
      </c>
      <c r="F22" s="1059" t="e">
        <f ca="1">BDH("BMBL US Equity","ARD_OTHER_NON_OPERATING_INC","FY 2021","FY 2021","Currency=USD","Period=FY","BEST_FPERIOD_OVERRIDE=FY","FILING_STATUS=MR","SCALING_FORMAT=MLN","Sort=A","Dates=H","DateFormat=P","Fill=—","Direction=H","UseDPDF=Y")</f>
        <v>#NAME?</v>
      </c>
      <c r="G22" s="1059" t="e">
        <f ca="1">BDH("BMBL US Equity","ARD_OTHER_NON_OPERATING_INC","FY 2022","FY 2022","Currency=USD","Period=FY","BEST_FPERIOD_OVERRIDE=FY","FILING_STATUS=MR","SCALING_FORMAT=MLN","Sort=A","Dates=H","DateFormat=P","Fill=—","Direction=H","UseDPDF=Y")</f>
        <v>#NAME?</v>
      </c>
      <c r="H22" s="1059" t="e">
        <f ca="1">BDH("BMBL US Equity","ARD_OTHER_NON_OPERATING_INC","FY 2023","FY 2023","Currency=USD","Period=FY","BEST_FPERIOD_OVERRIDE=FY","FILING_STATUS=MR","SCALING_FORMAT=MLN","Sort=A","Dates=H","DateFormat=P","Fill=—","Direction=H","UseDPDF=Y")</f>
        <v>#NAME?</v>
      </c>
    </row>
    <row r="23" spans="1:8">
      <c r="A23" s="1058" t="s">
        <v>687</v>
      </c>
      <c r="B23" s="1058" t="s">
        <v>688</v>
      </c>
      <c r="C23" s="1059" t="e">
        <f ca="1">BDH("BMBL US Equity","ARD_INCOME_TAX_EXP_BENEFIT","FY 2018","FY 2018","Currency=USD","Period=FY","BEST_FPERIOD_OVERRIDE=FY","FILING_STATUS=MR","SCALING_FORMAT=MLN","Sort=A","Dates=H","DateFormat=P","Fill=—","Direction=H","UseDPDF=Y")</f>
        <v>#NAME?</v>
      </c>
      <c r="D23" s="1059" t="e">
        <f ca="1">BDH("BMBL US Equity","ARD_INCOME_TAX_EXP_BENEFIT","FY 2019","FY 2019","Currency=USD","Period=FY","BEST_FPERIOD_OVERRIDE=FY","FILING_STATUS=MR","SCALING_FORMAT=MLN","Sort=A","Dates=H","DateFormat=P","Fill=—","Direction=H","UseDPDF=Y")</f>
        <v>#NAME?</v>
      </c>
      <c r="E23" s="1059" t="e">
        <f ca="1">BDH("BMBL US Equity","ARD_INCOME_TAX_EXP_BENEFIT","FY 2020","FY 2020","Currency=USD","Period=FY","BEST_FPERIOD_OVERRIDE=FY","FILING_STATUS=MR","SCALING_FORMAT=MLN","Sort=A","Dates=H","DateFormat=P","Fill=—","Direction=H","UseDPDF=Y")</f>
        <v>#NAME?</v>
      </c>
      <c r="F23" s="1059" t="e">
        <f ca="1">BDH("BMBL US Equity","ARD_INCOME_TAX_EXP_BENEFIT","FY 2021","FY 2021","Currency=USD","Period=FY","BEST_FPERIOD_OVERRIDE=FY","FILING_STATUS=MR","SCALING_FORMAT=MLN","Sort=A","Dates=H","DateFormat=P","Fill=—","Direction=H","UseDPDF=Y")</f>
        <v>#NAME?</v>
      </c>
      <c r="G23" s="1059" t="e">
        <f ca="1">BDH("BMBL US Equity","ARD_INCOME_TAX_EXP_BENEFIT","FY 2022","FY 2022","Currency=USD","Period=FY","BEST_FPERIOD_OVERRIDE=FY","FILING_STATUS=MR","SCALING_FORMAT=MLN","Sort=A","Dates=H","DateFormat=P","Fill=—","Direction=H","UseDPDF=Y")</f>
        <v>#NAME?</v>
      </c>
      <c r="H23" s="1059" t="e">
        <f ca="1">BDH("BMBL US Equity","ARD_INCOME_TAX_EXP_BENEFIT","FY 2023","FY 2023","Currency=USD","Period=FY","BEST_FPERIOD_OVERRIDE=FY","FILING_STATUS=MR","SCALING_FORMAT=MLN","Sort=A","Dates=H","DateFormat=P","Fill=—","Direction=H","UseDPDF=Y")</f>
        <v>#NAME?</v>
      </c>
    </row>
    <row r="24" spans="1:8">
      <c r="A24" s="1058" t="s">
        <v>689</v>
      </c>
      <c r="B24" s="1058" t="s">
        <v>690</v>
      </c>
      <c r="C24" s="1059" t="e">
        <f ca="1">BDH("BMBL US Equity","ARD_INCOME_BEFORE_INCOME_TAXES","FY 2018","FY 2018","Currency=USD","Period=FY","BEST_FPERIOD_OVERRIDE=FY","FILING_STATUS=MR","SCALING_FORMAT=MLN","Sort=A","Dates=H","DateFormat=P","Fill=—","Direction=H","UseDPDF=Y")</f>
        <v>#NAME?</v>
      </c>
      <c r="D24" s="1059" t="e">
        <f ca="1">BDH("BMBL US Equity","ARD_INCOME_BEFORE_INCOME_TAXES","FY 2019","FY 2019","Currency=USD","Period=FY","BEST_FPERIOD_OVERRIDE=FY","FILING_STATUS=MR","SCALING_FORMAT=MLN","Sort=A","Dates=H","DateFormat=P","Fill=—","Direction=H","UseDPDF=Y")</f>
        <v>#NAME?</v>
      </c>
      <c r="E24" s="1059" t="e">
        <f ca="1">BDH("BMBL US Equity","ARD_INCOME_BEFORE_INCOME_TAXES","FY 2020","FY 2020","Currency=USD","Period=FY","BEST_FPERIOD_OVERRIDE=FY","FILING_STATUS=MR","SCALING_FORMAT=MLN","Sort=A","Dates=H","DateFormat=P","Fill=—","Direction=H","UseDPDF=Y")</f>
        <v>#NAME?</v>
      </c>
      <c r="F24" s="1059" t="e">
        <f ca="1">BDH("BMBL US Equity","ARD_INCOME_BEFORE_INCOME_TAXES","FY 2021","FY 2021","Currency=USD","Period=FY","BEST_FPERIOD_OVERRIDE=FY","FILING_STATUS=MR","SCALING_FORMAT=MLN","Sort=A","Dates=H","DateFormat=P","Fill=—","Direction=H","UseDPDF=Y")</f>
        <v>#NAME?</v>
      </c>
      <c r="G24" s="1059" t="e">
        <f ca="1">BDH("BMBL US Equity","ARD_INCOME_BEFORE_INCOME_TAXES","FY 2022","FY 2022","Currency=USD","Period=FY","BEST_FPERIOD_OVERRIDE=FY","FILING_STATUS=MR","SCALING_FORMAT=MLN","Sort=A","Dates=H","DateFormat=P","Fill=—","Direction=H","UseDPDF=Y")</f>
        <v>#NAME?</v>
      </c>
      <c r="H24" s="1059" t="e">
        <f ca="1">BDH("BMBL US Equity","ARD_INCOME_BEFORE_INCOME_TAXES","FY 2023","FY 2023","Currency=USD","Period=FY","BEST_FPERIOD_OVERRIDE=FY","FILING_STATUS=MR","SCALING_FORMAT=MLN","Sort=A","Dates=H","DateFormat=P","Fill=—","Direction=H","UseDPDF=Y")</f>
        <v>#NAME?</v>
      </c>
    </row>
    <row r="25" spans="1:8">
      <c r="A25" s="1058" t="s">
        <v>691</v>
      </c>
      <c r="B25" s="1058" t="s">
        <v>692</v>
      </c>
      <c r="C25" s="1059" t="e">
        <f ca="1">BDH("BMBL US Equity","ARD_INCOME_BEFORE_XO_ITEMS","FY 2018","FY 2018","Currency=USD","Period=FY","BEST_FPERIOD_OVERRIDE=FY","FILING_STATUS=MR","SCALING_FORMAT=MLN","Sort=A","Dates=H","DateFormat=P","Fill=—","Direction=H","UseDPDF=Y")</f>
        <v>#NAME?</v>
      </c>
      <c r="D25" s="1059" t="e">
        <f ca="1">BDH("BMBL US Equity","ARD_INCOME_BEFORE_XO_ITEMS","FY 2019","FY 2019","Currency=USD","Period=FY","BEST_FPERIOD_OVERRIDE=FY","FILING_STATUS=MR","SCALING_FORMAT=MLN","Sort=A","Dates=H","DateFormat=P","Fill=—","Direction=H","UseDPDF=Y")</f>
        <v>#NAME?</v>
      </c>
      <c r="E25" s="1059" t="e">
        <f ca="1">BDH("BMBL US Equity","ARD_INCOME_BEFORE_XO_ITEMS","FY 2020","FY 2020","Currency=USD","Period=FY","BEST_FPERIOD_OVERRIDE=FY","FILING_STATUS=MR","SCALING_FORMAT=MLN","Sort=A","Dates=H","DateFormat=P","Fill=—","Direction=H","UseDPDF=Y")</f>
        <v>#NAME?</v>
      </c>
      <c r="F25" s="1059" t="e">
        <f ca="1">BDH("BMBL US Equity","ARD_INCOME_BEFORE_XO_ITEMS","FY 2021","FY 2021","Currency=USD","Period=FY","BEST_FPERIOD_OVERRIDE=FY","FILING_STATUS=MR","SCALING_FORMAT=MLN","Sort=A","Dates=H","DateFormat=P","Fill=—","Direction=H","UseDPDF=Y")</f>
        <v>#NAME?</v>
      </c>
      <c r="G25" s="1059" t="e">
        <f ca="1">BDH("BMBL US Equity","ARD_INCOME_BEFORE_XO_ITEMS","FY 2022","FY 2022","Currency=USD","Period=FY","BEST_FPERIOD_OVERRIDE=FY","FILING_STATUS=MR","SCALING_FORMAT=MLN","Sort=A","Dates=H","DateFormat=P","Fill=—","Direction=H","UseDPDF=Y")</f>
        <v>#NAME?</v>
      </c>
      <c r="H25" s="1059" t="e">
        <f ca="1">BDH("BMBL US Equity","ARD_INCOME_BEFORE_XO_ITEMS","FY 2023","FY 2023","Currency=USD","Period=FY","BEST_FPERIOD_OVERRIDE=FY","FILING_STATUS=MR","SCALING_FORMAT=MLN","Sort=A","Dates=H","DateFormat=P","Fill=—","Direction=H","UseDPDF=Y")</f>
        <v>#NAME?</v>
      </c>
    </row>
    <row r="26" spans="1:8">
      <c r="A26" s="1058" t="s">
        <v>693</v>
      </c>
      <c r="B26" s="1060"/>
      <c r="C26" s="1060"/>
      <c r="D26" s="1060"/>
      <c r="E26" s="1060"/>
      <c r="F26" s="1060"/>
      <c r="G26" s="1060"/>
      <c r="H26" s="1060"/>
    </row>
    <row r="27" spans="1:8">
      <c r="A27" s="1058" t="s">
        <v>694</v>
      </c>
      <c r="B27" s="1058" t="s">
        <v>695</v>
      </c>
      <c r="C27" s="1059" t="e">
        <f ca="1">BDH("BMBL US Equity","ARD_MINORITY_NONCONTROL_INTEREST","FY 2018","FY 2018","Currency=USD","Period=FY","BEST_FPERIOD_OVERRIDE=FY","FILING_STATUS=MR","SCALING_FORMAT=MLN","Sort=A","Dates=H","DateFormat=P","Fill=—","Direction=H","UseDPDF=Y")</f>
        <v>#NAME?</v>
      </c>
      <c r="D27" s="1059" t="e">
        <f ca="1">BDH("BMBL US Equity","ARD_MINORITY_NONCONTROL_INTEREST","FY 2019","FY 2019","Currency=USD","Period=FY","BEST_FPERIOD_OVERRIDE=FY","FILING_STATUS=MR","SCALING_FORMAT=MLN","Sort=A","Dates=H","DateFormat=P","Fill=—","Direction=H","UseDPDF=Y")</f>
        <v>#NAME?</v>
      </c>
      <c r="E27" s="1059" t="e">
        <f ca="1">BDH("BMBL US Equity","ARD_MINORITY_NONCONTROL_INTEREST","FY 2020","FY 2020","Currency=USD","Period=FY","BEST_FPERIOD_OVERRIDE=FY","FILING_STATUS=MR","SCALING_FORMAT=MLN","Sort=A","Dates=H","DateFormat=P","Fill=—","Direction=H","UseDPDF=Y")</f>
        <v>#NAME?</v>
      </c>
      <c r="F27" s="1059" t="e">
        <f ca="1">BDH("BMBL US Equity","ARD_MINORITY_NONCONTROL_INTEREST","FY 2021","FY 2021","Currency=USD","Period=FY","BEST_FPERIOD_OVERRIDE=FY","FILING_STATUS=MR","SCALING_FORMAT=MLN","Sort=A","Dates=H","DateFormat=P","Fill=—","Direction=H","UseDPDF=Y")</f>
        <v>#NAME?</v>
      </c>
      <c r="G27" s="1059" t="e">
        <f ca="1">BDH("BMBL US Equity","ARD_MINORITY_NONCONTROL_INTEREST","FY 2022","FY 2022","Currency=USD","Period=FY","BEST_FPERIOD_OVERRIDE=FY","FILING_STATUS=MR","SCALING_FORMAT=MLN","Sort=A","Dates=H","DateFormat=P","Fill=—","Direction=H","UseDPDF=Y")</f>
        <v>#NAME?</v>
      </c>
      <c r="H27" s="1059" t="e">
        <f ca="1">BDH("BMBL US Equity","ARD_MINORITY_NONCONTROL_INTEREST","FY 2023","FY 2023","Currency=USD","Period=FY","BEST_FPERIOD_OVERRIDE=FY","FILING_STATUS=MR","SCALING_FORMAT=MLN","Sort=A","Dates=H","DateFormat=P","Fill=—","Direction=H","UseDPDF=Y")</f>
        <v>#NAME?</v>
      </c>
    </row>
    <row r="28" spans="1:8">
      <c r="A28" s="1058" t="s">
        <v>696</v>
      </c>
      <c r="B28" s="1058" t="s">
        <v>697</v>
      </c>
      <c r="C28" s="1057" t="e">
        <f ca="1">BDH("BMBL US Equity","ARD_DVD_PER_SH","FY 2018","FY 2018","Currency=USD","Period=FY","BEST_FPERIOD_OVERRIDE=FY","FILING_STATUS=MR","Sort=A","Dates=H","DateFormat=P","Fill=—","Direction=H","UseDPDF=Y")</f>
        <v>#NAME?</v>
      </c>
      <c r="D28" s="1057" t="e">
        <f ca="1">BDH("BMBL US Equity","ARD_DVD_PER_SH","FY 2019","FY 2019","Currency=USD","Period=FY","BEST_FPERIOD_OVERRIDE=FY","FILING_STATUS=MR","Sort=A","Dates=H","DateFormat=P","Fill=—","Direction=H","UseDPDF=Y")</f>
        <v>#NAME?</v>
      </c>
      <c r="E28" s="1057" t="e">
        <f ca="1">BDH("BMBL US Equity","ARD_DVD_PER_SH","FY 2020","FY 2020","Currency=USD","Period=FY","BEST_FPERIOD_OVERRIDE=FY","FILING_STATUS=MR","Sort=A","Dates=H","DateFormat=P","Fill=—","Direction=H","UseDPDF=Y")</f>
        <v>#NAME?</v>
      </c>
      <c r="F28" s="1057" t="e">
        <f ca="1">BDH("BMBL US Equity","ARD_DVD_PER_SH","FY 2021","FY 2021","Currency=USD","Period=FY","BEST_FPERIOD_OVERRIDE=FY","FILING_STATUS=MR","Sort=A","Dates=H","DateFormat=P","Fill=—","Direction=H","UseDPDF=Y")</f>
        <v>#NAME?</v>
      </c>
      <c r="G28" s="1057" t="e">
        <f ca="1">BDH("BMBL US Equity","ARD_DVD_PER_SH","FY 2022","FY 2022","Currency=USD","Period=FY","BEST_FPERIOD_OVERRIDE=FY","FILING_STATUS=MR","Sort=A","Dates=H","DateFormat=P","Fill=—","Direction=H","UseDPDF=Y")</f>
        <v>#NAME?</v>
      </c>
      <c r="H28" s="1057" t="e">
        <f ca="1">BDH("BMBL US Equity","ARD_DVD_PER_SH","FY 2023","FY 2023","Currency=USD","Period=FY","BEST_FPERIOD_OVERRIDE=FY","FILING_STATUS=MR","Sort=A","Dates=H","DateFormat=P","Fill=—","Direction=H","UseDPDF=Y")</f>
        <v>#NAME?</v>
      </c>
    </row>
    <row r="29" spans="1:8">
      <c r="A29" s="1058" t="s">
        <v>698</v>
      </c>
      <c r="B29" s="1058" t="s">
        <v>699</v>
      </c>
      <c r="C29" s="1057" t="e">
        <f ca="1">BDH("BMBL US Equity","ARD_BASIC_EPS","FY 2018","FY 2018","Currency=USD","Period=FY","BEST_FPERIOD_OVERRIDE=FY","FILING_STATUS=MR","Sort=A","Dates=H","DateFormat=P","Fill=—","Direction=H","UseDPDF=Y")</f>
        <v>#NAME?</v>
      </c>
      <c r="D29" s="1057" t="e">
        <f ca="1">BDH("BMBL US Equity","ARD_BASIC_EPS","FY 2019","FY 2019","Currency=USD","Period=FY","BEST_FPERIOD_OVERRIDE=FY","FILING_STATUS=MR","Sort=A","Dates=H","DateFormat=P","Fill=—","Direction=H","UseDPDF=Y")</f>
        <v>#NAME?</v>
      </c>
      <c r="E29" s="1057" t="e">
        <f ca="1">BDH("BMBL US Equity","ARD_BASIC_EPS","FY 2020","FY 2020","Currency=USD","Period=FY","BEST_FPERIOD_OVERRIDE=FY","FILING_STATUS=MR","Sort=A","Dates=H","DateFormat=P","Fill=—","Direction=H","UseDPDF=Y")</f>
        <v>#NAME?</v>
      </c>
      <c r="F29" s="1057" t="e">
        <f ca="1">BDH("BMBL US Equity","ARD_BASIC_EPS","FY 2021","FY 2021","Currency=USD","Period=FY","BEST_FPERIOD_OVERRIDE=FY","FILING_STATUS=MR","Sort=A","Dates=H","DateFormat=P","Fill=—","Direction=H","UseDPDF=Y")</f>
        <v>#NAME?</v>
      </c>
      <c r="G29" s="1057" t="e">
        <f ca="1">BDH("BMBL US Equity","ARD_BASIC_EPS","FY 2022","FY 2022","Currency=USD","Period=FY","BEST_FPERIOD_OVERRIDE=FY","FILING_STATUS=MR","Sort=A","Dates=H","DateFormat=P","Fill=—","Direction=H","UseDPDF=Y")</f>
        <v>#NAME?</v>
      </c>
      <c r="H29" s="1057" t="e">
        <f ca="1">BDH("BMBL US Equity","ARD_BASIC_EPS","FY 2023","FY 2023","Currency=USD","Period=FY","BEST_FPERIOD_OVERRIDE=FY","FILING_STATUS=MR","Sort=A","Dates=H","DateFormat=P","Fill=—","Direction=H","UseDPDF=Y")</f>
        <v>#NAME?</v>
      </c>
    </row>
    <row r="30" spans="1:8">
      <c r="A30" s="1058" t="s">
        <v>700</v>
      </c>
      <c r="B30" s="1058" t="s">
        <v>701</v>
      </c>
      <c r="C30" s="1057" t="e">
        <f ca="1">BDH("BMBL US Equity","ARD_DILUTED_EPS","FY 2018","FY 2018","Currency=USD","Period=FY","BEST_FPERIOD_OVERRIDE=FY","FILING_STATUS=MR","Sort=A","Dates=H","DateFormat=P","Fill=—","Direction=H","UseDPDF=Y")</f>
        <v>#NAME?</v>
      </c>
      <c r="D30" s="1057" t="e">
        <f ca="1">BDH("BMBL US Equity","ARD_DILUTED_EPS","FY 2019","FY 2019","Currency=USD","Period=FY","BEST_FPERIOD_OVERRIDE=FY","FILING_STATUS=MR","Sort=A","Dates=H","DateFormat=P","Fill=—","Direction=H","UseDPDF=Y")</f>
        <v>#NAME?</v>
      </c>
      <c r="E30" s="1057" t="e">
        <f ca="1">BDH("BMBL US Equity","ARD_DILUTED_EPS","FY 2020","FY 2020","Currency=USD","Period=FY","BEST_FPERIOD_OVERRIDE=FY","FILING_STATUS=MR","Sort=A","Dates=H","DateFormat=P","Fill=—","Direction=H","UseDPDF=Y")</f>
        <v>#NAME?</v>
      </c>
      <c r="F30" s="1057" t="e">
        <f ca="1">BDH("BMBL US Equity","ARD_DILUTED_EPS","FY 2021","FY 2021","Currency=USD","Period=FY","BEST_FPERIOD_OVERRIDE=FY","FILING_STATUS=MR","Sort=A","Dates=H","DateFormat=P","Fill=—","Direction=H","UseDPDF=Y")</f>
        <v>#NAME?</v>
      </c>
      <c r="G30" s="1057" t="e">
        <f ca="1">BDH("BMBL US Equity","ARD_DILUTED_EPS","FY 2022","FY 2022","Currency=USD","Period=FY","BEST_FPERIOD_OVERRIDE=FY","FILING_STATUS=MR","Sort=A","Dates=H","DateFormat=P","Fill=—","Direction=H","UseDPDF=Y")</f>
        <v>#NAME?</v>
      </c>
      <c r="H30" s="1057" t="e">
        <f ca="1">BDH("BMBL US Equity","ARD_DILUTED_EPS","FY 2023","FY 2023","Currency=USD","Period=FY","BEST_FPERIOD_OVERRIDE=FY","FILING_STATUS=MR","Sort=A","Dates=H","DateFormat=P","Fill=—","Direction=H","UseDPDF=Y")</f>
        <v>#NAME?</v>
      </c>
    </row>
    <row r="31" spans="1:8">
      <c r="A31" s="1058" t="s">
        <v>702</v>
      </c>
      <c r="B31" s="1058" t="s">
        <v>703</v>
      </c>
      <c r="C31" s="1059" t="e">
        <f ca="1">BDH("BMBL US Equity","ARD_NET_INC_AVAIL_COM_SHRHLDR","FY 2018","FY 2018","Currency=USD","Period=FY","BEST_FPERIOD_OVERRIDE=FY","FILING_STATUS=MR","SCALING_FORMAT=MLN","Sort=A","Dates=H","DateFormat=P","Fill=—","Direction=H","UseDPDF=Y")</f>
        <v>#NAME?</v>
      </c>
      <c r="D31" s="1059" t="e">
        <f ca="1">BDH("BMBL US Equity","ARD_NET_INC_AVAIL_COM_SHRHLDR","FY 2019","FY 2019","Currency=USD","Period=FY","BEST_FPERIOD_OVERRIDE=FY","FILING_STATUS=MR","SCALING_FORMAT=MLN","Sort=A","Dates=H","DateFormat=P","Fill=—","Direction=H","UseDPDF=Y")</f>
        <v>#NAME?</v>
      </c>
      <c r="E31" s="1059" t="e">
        <f ca="1">BDH("BMBL US Equity","ARD_NET_INC_AVAIL_COM_SHRHLDR","FY 2020","FY 2020","Currency=USD","Period=FY","BEST_FPERIOD_OVERRIDE=FY","FILING_STATUS=MR","SCALING_FORMAT=MLN","Sort=A","Dates=H","DateFormat=P","Fill=—","Direction=H","UseDPDF=Y")</f>
        <v>#NAME?</v>
      </c>
      <c r="F31" s="1059" t="e">
        <f ca="1">BDH("BMBL US Equity","ARD_NET_INC_AVAIL_COM_SHRHLDR","FY 2021","FY 2021","Currency=USD","Period=FY","BEST_FPERIOD_OVERRIDE=FY","FILING_STATUS=MR","SCALING_FORMAT=MLN","Sort=A","Dates=H","DateFormat=P","Fill=—","Direction=H","UseDPDF=Y")</f>
        <v>#NAME?</v>
      </c>
      <c r="G31" s="1059" t="e">
        <f ca="1">BDH("BMBL US Equity","ARD_NET_INC_AVAIL_COM_SHRHLDR","FY 2022","FY 2022","Currency=USD","Period=FY","BEST_FPERIOD_OVERRIDE=FY","FILING_STATUS=MR","SCALING_FORMAT=MLN","Sort=A","Dates=H","DateFormat=P","Fill=—","Direction=H","UseDPDF=Y")</f>
        <v>#NAME?</v>
      </c>
      <c r="H31" s="1059" t="e">
        <f ca="1">BDH("BMBL US Equity","ARD_NET_INC_AVAIL_COM_SHRHLDR","FY 2023","FY 2023","Currency=USD","Period=FY","BEST_FPERIOD_OVERRIDE=FY","FILING_STATUS=MR","SCALING_FORMAT=MLN","Sort=A","Dates=H","DateFormat=P","Fill=—","Direction=H","UseDPDF=Y")</f>
        <v>#NAME?</v>
      </c>
    </row>
    <row r="32" spans="1:8">
      <c r="A32" s="1058" t="s">
        <v>704</v>
      </c>
      <c r="B32" s="1058" t="s">
        <v>705</v>
      </c>
      <c r="C32" s="1059" t="e">
        <f ca="1">BDH("BMBL US Equity","ARD_PROF_AFTER_TAX_BEF_MINORITY","FY 2018","FY 2018","Currency=USD","Period=FY","BEST_FPERIOD_OVERRIDE=FY","FILING_STATUS=MR","SCALING_FORMAT=MLN","Sort=A","Dates=H","DateFormat=P","Fill=—","Direction=H","UseDPDF=Y")</f>
        <v>#NAME?</v>
      </c>
      <c r="D32" s="1059" t="e">
        <f ca="1">BDH("BMBL US Equity","ARD_PROF_AFTER_TAX_BEF_MINORITY","FY 2019","FY 2019","Currency=USD","Period=FY","BEST_FPERIOD_OVERRIDE=FY","FILING_STATUS=MR","SCALING_FORMAT=MLN","Sort=A","Dates=H","DateFormat=P","Fill=—","Direction=H","UseDPDF=Y")</f>
        <v>#NAME?</v>
      </c>
      <c r="E32" s="1059" t="e">
        <f ca="1">BDH("BMBL US Equity","ARD_PROF_AFTER_TAX_BEF_MINORITY","FY 2020","FY 2020","Currency=USD","Period=FY","BEST_FPERIOD_OVERRIDE=FY","FILING_STATUS=MR","SCALING_FORMAT=MLN","Sort=A","Dates=H","DateFormat=P","Fill=—","Direction=H","UseDPDF=Y")</f>
        <v>#NAME?</v>
      </c>
      <c r="F32" s="1059" t="e">
        <f ca="1">BDH("BMBL US Equity","ARD_PROF_AFTER_TAX_BEF_MINORITY","FY 2021","FY 2021","Currency=USD","Period=FY","BEST_FPERIOD_OVERRIDE=FY","FILING_STATUS=MR","SCALING_FORMAT=MLN","Sort=A","Dates=H","DateFormat=P","Fill=—","Direction=H","UseDPDF=Y")</f>
        <v>#NAME?</v>
      </c>
      <c r="G32" s="1059" t="e">
        <f ca="1">BDH("BMBL US Equity","ARD_PROF_AFTER_TAX_BEF_MINORITY","FY 2022","FY 2022","Currency=USD","Period=FY","BEST_FPERIOD_OVERRIDE=FY","FILING_STATUS=MR","SCALING_FORMAT=MLN","Sort=A","Dates=H","DateFormat=P","Fill=—","Direction=H","UseDPDF=Y")</f>
        <v>#NAME?</v>
      </c>
      <c r="H32" s="1059" t="e">
        <f ca="1">BDH("BMBL US Equity","ARD_PROF_AFTER_TAX_BEF_MINORITY","FY 2023","FY 2023","Currency=USD","Period=FY","BEST_FPERIOD_OVERRIDE=FY","FILING_STATUS=MR","SCALING_FORMAT=MLN","Sort=A","Dates=H","DateFormat=P","Fill=—","Direction=H","UseDPDF=Y")</f>
        <v>#NAME?</v>
      </c>
    </row>
    <row r="33" spans="1:8">
      <c r="A33" s="1058" t="s">
        <v>706</v>
      </c>
      <c r="B33" s="1058" t="s">
        <v>707</v>
      </c>
      <c r="C33" s="1059" t="e">
        <f ca="1">BDH("BMBL US Equity","ARD_CUMULATIVE_NET_INCOME","FY 2018","FY 2018","Currency=USD","Period=FY","BEST_FPERIOD_OVERRIDE=FY","FILING_STATUS=MR","SCALING_FORMAT=MLN","Sort=A","Dates=H","DateFormat=P","Fill=—","Direction=H","UseDPDF=Y")</f>
        <v>#NAME?</v>
      </c>
      <c r="D33" s="1059" t="e">
        <f ca="1">BDH("BMBL US Equity","ARD_CUMULATIVE_NET_INCOME","FY 2019","FY 2019","Currency=USD","Period=FY","BEST_FPERIOD_OVERRIDE=FY","FILING_STATUS=MR","SCALING_FORMAT=MLN","Sort=A","Dates=H","DateFormat=P","Fill=—","Direction=H","UseDPDF=Y")</f>
        <v>#NAME?</v>
      </c>
      <c r="E33" s="1059" t="e">
        <f ca="1">BDH("BMBL US Equity","ARD_CUMULATIVE_NET_INCOME","FY 2020","FY 2020","Currency=USD","Period=FY","BEST_FPERIOD_OVERRIDE=FY","FILING_STATUS=MR","SCALING_FORMAT=MLN","Sort=A","Dates=H","DateFormat=P","Fill=—","Direction=H","UseDPDF=Y")</f>
        <v>#NAME?</v>
      </c>
      <c r="F33" s="1059" t="e">
        <f ca="1">BDH("BMBL US Equity","ARD_CUMULATIVE_NET_INCOME","FY 2021","FY 2021","Currency=USD","Period=FY","BEST_FPERIOD_OVERRIDE=FY","FILING_STATUS=MR","SCALING_FORMAT=MLN","Sort=A","Dates=H","DateFormat=P","Fill=—","Direction=H","UseDPDF=Y")</f>
        <v>#NAME?</v>
      </c>
      <c r="G33" s="1059" t="e">
        <f ca="1">BDH("BMBL US Equity","ARD_CUMULATIVE_NET_INCOME","FY 2022","FY 2022","Currency=USD","Period=FY","BEST_FPERIOD_OVERRIDE=FY","FILING_STATUS=MR","SCALING_FORMAT=MLN","Sort=A","Dates=H","DateFormat=P","Fill=—","Direction=H","UseDPDF=Y")</f>
        <v>#NAME?</v>
      </c>
      <c r="H33" s="1059" t="e">
        <f ca="1">BDH("BMBL US Equity","ARD_CUMULATIVE_NET_INCOME","FY 2023","FY 2023","Currency=USD","Period=FY","BEST_FPERIOD_OVERRIDE=FY","FILING_STATUS=MR","SCALING_FORMAT=MLN","Sort=A","Dates=H","DateFormat=P","Fill=—","Direction=H","UseDPDF=Y")</f>
        <v>#NAME?</v>
      </c>
    </row>
    <row r="34" spans="1:8">
      <c r="A34" s="1062" t="s">
        <v>708</v>
      </c>
      <c r="B34" s="1062" t="s">
        <v>709</v>
      </c>
      <c r="C34" s="1061" t="e">
        <f ca="1">BDH("BMBL US Equity","ARD_NET_INC","FY 2018","FY 2018","Currency=USD","Period=FY","BEST_FPERIOD_OVERRIDE=FY","FILING_STATUS=MR","SCALING_FORMAT=MLN","Sort=A","Dates=H","DateFormat=P","Fill=—","Direction=H","UseDPDF=Y")</f>
        <v>#NAME?</v>
      </c>
      <c r="D34" s="1061" t="e">
        <f ca="1">BDH("BMBL US Equity","ARD_NET_INC","FY 2019","FY 2019","Currency=USD","Period=FY","BEST_FPERIOD_OVERRIDE=FY","FILING_STATUS=MR","SCALING_FORMAT=MLN","Sort=A","Dates=H","DateFormat=P","Fill=—","Direction=H","UseDPDF=Y")</f>
        <v>#NAME?</v>
      </c>
      <c r="E34" s="1061" t="e">
        <f ca="1">BDH("BMBL US Equity","ARD_NET_INC","FY 2020","FY 2020","Currency=USD","Period=FY","BEST_FPERIOD_OVERRIDE=FY","FILING_STATUS=MR","SCALING_FORMAT=MLN","Sort=A","Dates=H","DateFormat=P","Fill=—","Direction=H","UseDPDF=Y")</f>
        <v>#NAME?</v>
      </c>
      <c r="F34" s="1061" t="e">
        <f ca="1">BDH("BMBL US Equity","ARD_NET_INC","FY 2021","FY 2021","Currency=USD","Period=FY","BEST_FPERIOD_OVERRIDE=FY","FILING_STATUS=MR","SCALING_FORMAT=MLN","Sort=A","Dates=H","DateFormat=P","Fill=—","Direction=H","UseDPDF=Y")</f>
        <v>#NAME?</v>
      </c>
      <c r="G34" s="1061" t="e">
        <f ca="1">BDH("BMBL US Equity","ARD_NET_INC","FY 2022","FY 2022","Currency=USD","Period=FY","BEST_FPERIOD_OVERRIDE=FY","FILING_STATUS=MR","SCALING_FORMAT=MLN","Sort=A","Dates=H","DateFormat=P","Fill=—","Direction=H","UseDPDF=Y")</f>
        <v>#NAME?</v>
      </c>
      <c r="H34" s="1061" t="e">
        <f ca="1">BDH("BMBL US Equity","ARD_NET_INC","FY 2023","FY 2023","Currency=USD","Period=FY","BEST_FPERIOD_OVERRIDE=FY","FILING_STATUS=MR","SCALING_FORMAT=MLN","Sort=A","Dates=H","DateFormat=P","Fill=—","Direction=H","UseDPDF=Y")</f>
        <v>#NAME?</v>
      </c>
    </row>
    <row r="35" spans="1:8">
      <c r="A35" s="1058" t="s">
        <v>710</v>
      </c>
      <c r="B35" s="1060"/>
      <c r="C35" s="1060"/>
      <c r="D35" s="1060"/>
      <c r="E35" s="1060"/>
      <c r="F35" s="1060"/>
      <c r="G35" s="1060"/>
      <c r="H35" s="1060"/>
    </row>
    <row r="36" spans="1:8">
      <c r="A36" s="1058" t="s">
        <v>711</v>
      </c>
      <c r="B36" s="1058" t="s">
        <v>712</v>
      </c>
      <c r="C36" s="1059" t="e">
        <f ca="1">BDH("BMBL US Equity","ARDR_COMPR_INCOME_NET_INC","FY 2018","FY 2018","Currency=USD","Period=FY","BEST_FPERIOD_OVERRIDE=FY","FILING_STATUS=MR","SCALING_FORMAT=MLN","Sort=A","Dates=H","DateFormat=P","Fill=—","Direction=H","UseDPDF=Y")</f>
        <v>#NAME?</v>
      </c>
      <c r="D36" s="1059" t="e">
        <f ca="1">BDH("BMBL US Equity","ARDR_COMPR_INCOME_NET_INC","FY 2019","FY 2019","Currency=USD","Period=FY","BEST_FPERIOD_OVERRIDE=FY","FILING_STATUS=MR","SCALING_FORMAT=MLN","Sort=A","Dates=H","DateFormat=P","Fill=—","Direction=H","UseDPDF=Y")</f>
        <v>#NAME?</v>
      </c>
      <c r="E36" s="1059" t="e">
        <f ca="1">BDH("BMBL US Equity","ARDR_COMPR_INCOME_NET_INC","FY 2020","FY 2020","Currency=USD","Period=FY","BEST_FPERIOD_OVERRIDE=FY","FILING_STATUS=MR","SCALING_FORMAT=MLN","Sort=A","Dates=H","DateFormat=P","Fill=—","Direction=H","UseDPDF=Y")</f>
        <v>#NAME?</v>
      </c>
      <c r="F36" s="1059" t="e">
        <f ca="1">BDH("BMBL US Equity","ARDR_COMPR_INCOME_NET_INC","FY 2021","FY 2021","Currency=USD","Period=FY","BEST_FPERIOD_OVERRIDE=FY","FILING_STATUS=MR","SCALING_FORMAT=MLN","Sort=A","Dates=H","DateFormat=P","Fill=—","Direction=H","UseDPDF=Y")</f>
        <v>#NAME?</v>
      </c>
      <c r="G36" s="1059" t="e">
        <f ca="1">BDH("BMBL US Equity","ARDR_COMPR_INCOME_NET_INC","FY 2022","FY 2022","Currency=USD","Period=FY","BEST_FPERIOD_OVERRIDE=FY","FILING_STATUS=MR","SCALING_FORMAT=MLN","Sort=A","Dates=H","DateFormat=P","Fill=—","Direction=H","UseDPDF=Y")</f>
        <v>#NAME?</v>
      </c>
      <c r="H36" s="1059" t="e">
        <f ca="1">BDH("BMBL US Equity","ARDR_COMPR_INCOME_NET_INC","FY 2023","FY 2023","Currency=USD","Period=FY","BEST_FPERIOD_OVERRIDE=FY","FILING_STATUS=MR","SCALING_FORMAT=MLN","Sort=A","Dates=H","DateFormat=P","Fill=—","Direction=H","UseDPDF=Y")</f>
        <v>#NAME?</v>
      </c>
    </row>
    <row r="37" spans="1:8">
      <c r="A37" s="1058" t="s">
        <v>103</v>
      </c>
      <c r="B37" s="1060"/>
      <c r="C37" s="1060"/>
      <c r="D37" s="1060"/>
      <c r="E37" s="1060"/>
      <c r="F37" s="1060"/>
      <c r="G37" s="1060"/>
      <c r="H37" s="1060"/>
    </row>
    <row r="38" spans="1:8">
      <c r="A38" s="1058" t="s">
        <v>659</v>
      </c>
      <c r="B38" s="1058" t="s">
        <v>713</v>
      </c>
      <c r="C38" s="1059" t="e">
        <f ca="1">BDH("BMBL US Equity","ARDR_REVENUES","FY 2018","FY 2018","Currency=USD","Period=FY","BEST_FPERIOD_OVERRIDE=FY","FILING_STATUS=MR","SCALING_FORMAT=MLN","Sort=A","Dates=H","DateFormat=P","Fill=—","Direction=H","UseDPDF=Y")</f>
        <v>#NAME?</v>
      </c>
      <c r="D38" s="1059" t="e">
        <f ca="1">BDH("BMBL US Equity","ARDR_REVENUES","FY 2019","FY 2019","Currency=USD","Period=FY","BEST_FPERIOD_OVERRIDE=FY","FILING_STATUS=MR","SCALING_FORMAT=MLN","Sort=A","Dates=H","DateFormat=P","Fill=—","Direction=H","UseDPDF=Y")</f>
        <v>#NAME?</v>
      </c>
      <c r="E38" s="1059" t="e">
        <f ca="1">BDH("BMBL US Equity","ARDR_REVENUES","FY 2020","FY 2020","Currency=USD","Period=FY","BEST_FPERIOD_OVERRIDE=FY","FILING_STATUS=MR","SCALING_FORMAT=MLN","Sort=A","Dates=H","DateFormat=P","Fill=—","Direction=H","UseDPDF=Y")</f>
        <v>#NAME?</v>
      </c>
      <c r="F38" s="1059" t="e">
        <f ca="1">BDH("BMBL US Equity","ARDR_REVENUES","FY 2021","FY 2021","Currency=USD","Period=FY","BEST_FPERIOD_OVERRIDE=FY","FILING_STATUS=MR","SCALING_FORMAT=MLN","Sort=A","Dates=H","DateFormat=P","Fill=—","Direction=H","UseDPDF=Y")</f>
        <v>#NAME?</v>
      </c>
      <c r="G38" s="1059" t="e">
        <f ca="1">BDH("BMBL US Equity","ARDR_REVENUES","FY 2022","FY 2022","Currency=USD","Period=FY","BEST_FPERIOD_OVERRIDE=FY","FILING_STATUS=MR","SCALING_FORMAT=MLN","Sort=A","Dates=H","DateFormat=P","Fill=—","Direction=H","UseDPDF=Y")</f>
        <v>#NAME?</v>
      </c>
      <c r="H38" s="1059" t="e">
        <f ca="1">BDH("BMBL US Equity","ARDR_REVENUES","FY 2023","FY 2023","Currency=USD","Period=FY","BEST_FPERIOD_OVERRIDE=FY","FILING_STATUS=MR","SCALING_FORMAT=MLN","Sort=A","Dates=H","DateFormat=P","Fill=—","Direction=H","UseDPDF=Y")</f>
        <v>#NAME?</v>
      </c>
    </row>
    <row r="39" spans="1:8">
      <c r="A39" s="1058" t="s">
        <v>666</v>
      </c>
      <c r="B39" s="1058" t="s">
        <v>714</v>
      </c>
      <c r="C39" s="1059" t="e">
        <f ca="1">BDH("BMBL US Equity","ARDR_COST_OF_GOODS_SOLD","FY 2018","FY 2018","Currency=USD","Period=FY","BEST_FPERIOD_OVERRIDE=FY","FILING_STATUS=MR","SCALING_FORMAT=MLN","Sort=A","Dates=H","DateFormat=P","Fill=—","Direction=H","UseDPDF=Y")</f>
        <v>#NAME?</v>
      </c>
      <c r="D39" s="1059" t="e">
        <f ca="1">BDH("BMBL US Equity","ARDR_COST_OF_GOODS_SOLD","FY 2019","FY 2019","Currency=USD","Period=FY","BEST_FPERIOD_OVERRIDE=FY","FILING_STATUS=MR","SCALING_FORMAT=MLN","Sort=A","Dates=H","DateFormat=P","Fill=—","Direction=H","UseDPDF=Y")</f>
        <v>#NAME?</v>
      </c>
      <c r="E39" s="1059" t="e">
        <f ca="1">BDH("BMBL US Equity","ARDR_COST_OF_GOODS_SOLD","FY 2020","FY 2020","Currency=USD","Period=FY","BEST_FPERIOD_OVERRIDE=FY","FILING_STATUS=MR","SCALING_FORMAT=MLN","Sort=A","Dates=H","DateFormat=P","Fill=—","Direction=H","UseDPDF=Y")</f>
        <v>#NAME?</v>
      </c>
      <c r="F39" s="1059" t="e">
        <f ca="1">BDH("BMBL US Equity","ARDR_COST_OF_GOODS_SOLD","FY 2021","FY 2021","Currency=USD","Period=FY","BEST_FPERIOD_OVERRIDE=FY","FILING_STATUS=MR","SCALING_FORMAT=MLN","Sort=A","Dates=H","DateFormat=P","Fill=—","Direction=H","UseDPDF=Y")</f>
        <v>#NAME?</v>
      </c>
      <c r="G39" s="1059" t="e">
        <f ca="1">BDH("BMBL US Equity","ARDR_COST_OF_GOODS_SOLD","FY 2022","FY 2022","Currency=USD","Period=FY","BEST_FPERIOD_OVERRIDE=FY","FILING_STATUS=MR","SCALING_FORMAT=MLN","Sort=A","Dates=H","DateFormat=P","Fill=—","Direction=H","UseDPDF=Y")</f>
        <v>#NAME?</v>
      </c>
      <c r="H39" s="1059" t="e">
        <f ca="1">BDH("BMBL US Equity","ARDR_COST_OF_GOODS_SOLD","FY 2023","FY 2023","Currency=USD","Period=FY","BEST_FPERIOD_OVERRIDE=FY","FILING_STATUS=MR","SCALING_FORMAT=MLN","Sort=A","Dates=H","DateFormat=P","Fill=—","Direction=H","UseDPDF=Y")</f>
        <v>#NAME?</v>
      </c>
    </row>
    <row r="40" spans="1:8">
      <c r="A40" s="1058" t="s">
        <v>715</v>
      </c>
      <c r="B40" s="1058" t="s">
        <v>716</v>
      </c>
      <c r="C40" s="1059" t="e">
        <f ca="1">BDH("BMBL US Equity","ARDR_AMORT_EXP","FY 2018","FY 2018","Currency=USD","Period=FY","BEST_FPERIOD_OVERRIDE=FY","FILING_STATUS=MR","SCALING_FORMAT=MLN","Sort=A","Dates=H","DateFormat=P","Fill=—","Direction=H","UseDPDF=Y")</f>
        <v>#NAME?</v>
      </c>
      <c r="D40" s="1059" t="e">
        <f ca="1">BDH("BMBL US Equity","ARDR_AMORT_EXP","FY 2019","FY 2019","Currency=USD","Period=FY","BEST_FPERIOD_OVERRIDE=FY","FILING_STATUS=MR","SCALING_FORMAT=MLN","Sort=A","Dates=H","DateFormat=P","Fill=—","Direction=H","UseDPDF=Y")</f>
        <v>#NAME?</v>
      </c>
      <c r="E40" s="1059" t="e">
        <f ca="1">BDH("BMBL US Equity","ARDR_AMORT_EXP","FY 2020","FY 2020","Currency=USD","Period=FY","BEST_FPERIOD_OVERRIDE=FY","FILING_STATUS=MR","SCALING_FORMAT=MLN","Sort=A","Dates=H","DateFormat=P","Fill=—","Direction=H","UseDPDF=Y")</f>
        <v>#NAME?</v>
      </c>
      <c r="F40" s="1059" t="e">
        <f ca="1">BDH("BMBL US Equity","ARDR_AMORT_EXP","FY 2021","FY 2021","Currency=USD","Period=FY","BEST_FPERIOD_OVERRIDE=FY","FILING_STATUS=MR","SCALING_FORMAT=MLN","Sort=A","Dates=H","DateFormat=P","Fill=—","Direction=H","UseDPDF=Y")</f>
        <v>#NAME?</v>
      </c>
      <c r="G40" s="1059" t="e">
        <f ca="1">BDH("BMBL US Equity","ARDR_AMORT_EXP","FY 2022","FY 2022","Currency=USD","Period=FY","BEST_FPERIOD_OVERRIDE=FY","FILING_STATUS=MR","SCALING_FORMAT=MLN","Sort=A","Dates=H","DateFormat=P","Fill=—","Direction=H","UseDPDF=Y")</f>
        <v>#NAME?</v>
      </c>
      <c r="H40" s="1059" t="e">
        <f ca="1">BDH("BMBL US Equity","ARDR_AMORT_EXP","FY 2023","FY 2023","Currency=USD","Period=FY","BEST_FPERIOD_OVERRIDE=FY","FILING_STATUS=MR","SCALING_FORMAT=MLN","Sort=A","Dates=H","DateFormat=P","Fill=—","Direction=H","UseDPDF=Y")</f>
        <v>#NAME?</v>
      </c>
    </row>
    <row r="41" spans="1:8">
      <c r="A41" s="1058" t="s">
        <v>668</v>
      </c>
      <c r="B41" s="1058" t="s">
        <v>717</v>
      </c>
      <c r="C41" s="1059" t="e">
        <f ca="1">BDH("BMBL US Equity","ARDR_R&amp;D_EXPENDITURES","FY 2018","FY 2018","Currency=USD","Period=FY","BEST_FPERIOD_OVERRIDE=FY","FILING_STATUS=MR","SCALING_FORMAT=MLN","Sort=A","Dates=H","DateFormat=P","Fill=—","Direction=H","UseDPDF=Y")</f>
        <v>#NAME?</v>
      </c>
      <c r="D41" s="1059" t="e">
        <f ca="1">BDH("BMBL US Equity","ARDR_R&amp;D_EXPENDITURES","FY 2019","FY 2019","Currency=USD","Period=FY","BEST_FPERIOD_OVERRIDE=FY","FILING_STATUS=MR","SCALING_FORMAT=MLN","Sort=A","Dates=H","DateFormat=P","Fill=—","Direction=H","UseDPDF=Y")</f>
        <v>#NAME?</v>
      </c>
      <c r="E41" s="1059" t="e">
        <f ca="1">BDH("BMBL US Equity","ARDR_R&amp;D_EXPENDITURES","FY 2020","FY 2020","Currency=USD","Period=FY","BEST_FPERIOD_OVERRIDE=FY","FILING_STATUS=MR","SCALING_FORMAT=MLN","Sort=A","Dates=H","DateFormat=P","Fill=—","Direction=H","UseDPDF=Y")</f>
        <v>#NAME?</v>
      </c>
      <c r="F41" s="1059" t="e">
        <f ca="1">BDH("BMBL US Equity","ARDR_R&amp;D_EXPENDITURES","FY 2021","FY 2021","Currency=USD","Period=FY","BEST_FPERIOD_OVERRIDE=FY","FILING_STATUS=MR","SCALING_FORMAT=MLN","Sort=A","Dates=H","DateFormat=P","Fill=—","Direction=H","UseDPDF=Y")</f>
        <v>#NAME?</v>
      </c>
      <c r="G41" s="1059" t="e">
        <f ca="1">BDH("BMBL US Equity","ARDR_R&amp;D_EXPENDITURES","FY 2022","FY 2022","Currency=USD","Period=FY","BEST_FPERIOD_OVERRIDE=FY","FILING_STATUS=MR","SCALING_FORMAT=MLN","Sort=A","Dates=H","DateFormat=P","Fill=—","Direction=H","UseDPDF=Y")</f>
        <v>#NAME?</v>
      </c>
      <c r="H41" s="1059" t="e">
        <f ca="1">BDH("BMBL US Equity","ARDR_R&amp;D_EXPENDITURES","FY 2023","FY 2023","Currency=USD","Period=FY","BEST_FPERIOD_OVERRIDE=FY","FILING_STATUS=MR","SCALING_FORMAT=MLN","Sort=A","Dates=H","DateFormat=P","Fill=—","Direction=H","UseDPDF=Y")</f>
        <v>#NAME?</v>
      </c>
    </row>
    <row r="42" spans="1:8">
      <c r="A42" s="1058" t="s">
        <v>670</v>
      </c>
      <c r="B42" s="1058" t="s">
        <v>718</v>
      </c>
      <c r="C42" s="1059" t="e">
        <f ca="1">BDH("BMBL US Equity","ARDR_SALES_MKT_ADVERTISING_EXP","FY 2018","FY 2018","Currency=USD","Period=FY","BEST_FPERIOD_OVERRIDE=FY","FILING_STATUS=MR","SCALING_FORMAT=MLN","Sort=A","Dates=H","DateFormat=P","Fill=—","Direction=H","UseDPDF=Y")</f>
        <v>#NAME?</v>
      </c>
      <c r="D42" s="1059" t="e">
        <f ca="1">BDH("BMBL US Equity","ARDR_SALES_MKT_ADVERTISING_EXP","FY 2019","FY 2019","Currency=USD","Period=FY","BEST_FPERIOD_OVERRIDE=FY","FILING_STATUS=MR","SCALING_FORMAT=MLN","Sort=A","Dates=H","DateFormat=P","Fill=—","Direction=H","UseDPDF=Y")</f>
        <v>#NAME?</v>
      </c>
      <c r="E42" s="1059" t="e">
        <f ca="1">BDH("BMBL US Equity","ARDR_SALES_MKT_ADVERTISING_EXP","FY 2020","FY 2020","Currency=USD","Period=FY","BEST_FPERIOD_OVERRIDE=FY","FILING_STATUS=MR","SCALING_FORMAT=MLN","Sort=A","Dates=H","DateFormat=P","Fill=—","Direction=H","UseDPDF=Y")</f>
        <v>#NAME?</v>
      </c>
      <c r="F42" s="1059" t="e">
        <f ca="1">BDH("BMBL US Equity","ARDR_SALES_MKT_ADVERTISING_EXP","FY 2021","FY 2021","Currency=USD","Period=FY","BEST_FPERIOD_OVERRIDE=FY","FILING_STATUS=MR","SCALING_FORMAT=MLN","Sort=A","Dates=H","DateFormat=P","Fill=—","Direction=H","UseDPDF=Y")</f>
        <v>#NAME?</v>
      </c>
      <c r="G42" s="1059" t="e">
        <f ca="1">BDH("BMBL US Equity","ARDR_SALES_MKT_ADVERTISING_EXP","FY 2022","FY 2022","Currency=USD","Period=FY","BEST_FPERIOD_OVERRIDE=FY","FILING_STATUS=MR","SCALING_FORMAT=MLN","Sort=A","Dates=H","DateFormat=P","Fill=—","Direction=H","UseDPDF=Y")</f>
        <v>#NAME?</v>
      </c>
      <c r="H42" s="1059" t="e">
        <f ca="1">BDH("BMBL US Equity","ARDR_SALES_MKT_ADVERTISING_EXP","FY 2023","FY 2023","Currency=USD","Period=FY","BEST_FPERIOD_OVERRIDE=FY","FILING_STATUS=MR","SCALING_FORMAT=MLN","Sort=A","Dates=H","DateFormat=P","Fill=—","Direction=H","UseDPDF=Y")</f>
        <v>#NAME?</v>
      </c>
    </row>
    <row r="43" spans="1:8">
      <c r="A43" s="1058" t="s">
        <v>719</v>
      </c>
      <c r="B43" s="1058" t="s">
        <v>720</v>
      </c>
      <c r="C43" s="1059" t="e">
        <f ca="1">BDH("BMBL US Equity","ARDR_DEPRECIATION_EXP","FY 2018","FY 2018","Currency=USD","Period=FY","BEST_FPERIOD_OVERRIDE=FY","FILING_STATUS=MR","SCALING_FORMAT=MLN","Sort=A","Dates=H","DateFormat=P","Fill=—","Direction=H","UseDPDF=Y")</f>
        <v>#NAME?</v>
      </c>
      <c r="D43" s="1059" t="e">
        <f ca="1">BDH("BMBL US Equity","ARDR_DEPRECIATION_EXP","FY 2019","FY 2019","Currency=USD","Period=FY","BEST_FPERIOD_OVERRIDE=FY","FILING_STATUS=MR","SCALING_FORMAT=MLN","Sort=A","Dates=H","DateFormat=P","Fill=—","Direction=H","UseDPDF=Y")</f>
        <v>#NAME?</v>
      </c>
      <c r="E43" s="1059" t="e">
        <f ca="1">BDH("BMBL US Equity","ARDR_DEPRECIATION_EXP","FY 2020","FY 2020","Currency=USD","Period=FY","BEST_FPERIOD_OVERRIDE=FY","FILING_STATUS=MR","SCALING_FORMAT=MLN","Sort=A","Dates=H","DateFormat=P","Fill=—","Direction=H","UseDPDF=Y")</f>
        <v>#NAME?</v>
      </c>
      <c r="F43" s="1059" t="e">
        <f ca="1">BDH("BMBL US Equity","ARDR_DEPRECIATION_EXP","FY 2021","FY 2021","Currency=USD","Period=FY","BEST_FPERIOD_OVERRIDE=FY","FILING_STATUS=MR","SCALING_FORMAT=MLN","Sort=A","Dates=H","DateFormat=P","Fill=—","Direction=H","UseDPDF=Y")</f>
        <v>#NAME?</v>
      </c>
      <c r="G43" s="1059" t="e">
        <f ca="1">BDH("BMBL US Equity","ARDR_DEPRECIATION_EXP","FY 2022","FY 2022","Currency=USD","Period=FY","BEST_FPERIOD_OVERRIDE=FY","FILING_STATUS=MR","SCALING_FORMAT=MLN","Sort=A","Dates=H","DateFormat=P","Fill=—","Direction=H","UseDPDF=Y")</f>
        <v>#NAME?</v>
      </c>
      <c r="H43" s="1059" t="e">
        <f ca="1">BDH("BMBL US Equity","ARDR_DEPRECIATION_EXP","FY 2023","FY 2023","Currency=USD","Period=FY","BEST_FPERIOD_OVERRIDE=FY","FILING_STATUS=MR","SCALING_FORMAT=MLN","Sort=A","Dates=H","DateFormat=P","Fill=—","Direction=H","UseDPDF=Y")</f>
        <v>#NAME?</v>
      </c>
    </row>
    <row r="44" spans="1:8">
      <c r="A44" s="1058" t="s">
        <v>672</v>
      </c>
      <c r="B44" s="1058" t="s">
        <v>721</v>
      </c>
      <c r="C44" s="1059" t="e">
        <f ca="1">BDH("BMBL US Equity","ARDR_DEPRECIATION_AMORTIZATION","FY 2018","FY 2018","Currency=USD","Period=FY","BEST_FPERIOD_OVERRIDE=FY","FILING_STATUS=MR","SCALING_FORMAT=MLN","Sort=A","Dates=H","DateFormat=P","Fill=—","Direction=H","UseDPDF=Y")</f>
        <v>#NAME?</v>
      </c>
      <c r="D44" s="1059" t="e">
        <f ca="1">BDH("BMBL US Equity","ARDR_DEPRECIATION_AMORTIZATION","FY 2019","FY 2019","Currency=USD","Period=FY","BEST_FPERIOD_OVERRIDE=FY","FILING_STATUS=MR","SCALING_FORMAT=MLN","Sort=A","Dates=H","DateFormat=P","Fill=—","Direction=H","UseDPDF=Y")</f>
        <v>#NAME?</v>
      </c>
      <c r="E44" s="1059" t="e">
        <f ca="1">BDH("BMBL US Equity","ARDR_DEPRECIATION_AMORTIZATION","FY 2020","FY 2020","Currency=USD","Period=FY","BEST_FPERIOD_OVERRIDE=FY","FILING_STATUS=MR","SCALING_FORMAT=MLN","Sort=A","Dates=H","DateFormat=P","Fill=—","Direction=H","UseDPDF=Y")</f>
        <v>#NAME?</v>
      </c>
      <c r="F44" s="1059" t="e">
        <f ca="1">BDH("BMBL US Equity","ARDR_DEPRECIATION_AMORTIZATION","FY 2021","FY 2021","Currency=USD","Period=FY","BEST_FPERIOD_OVERRIDE=FY","FILING_STATUS=MR","SCALING_FORMAT=MLN","Sort=A","Dates=H","DateFormat=P","Fill=—","Direction=H","UseDPDF=Y")</f>
        <v>#NAME?</v>
      </c>
      <c r="G44" s="1059" t="e">
        <f ca="1">BDH("BMBL US Equity","ARDR_DEPRECIATION_AMORTIZATION","FY 2022","FY 2022","Currency=USD","Period=FY","BEST_FPERIOD_OVERRIDE=FY","FILING_STATUS=MR","SCALING_FORMAT=MLN","Sort=A","Dates=H","DateFormat=P","Fill=—","Direction=H","UseDPDF=Y")</f>
        <v>#NAME?</v>
      </c>
      <c r="H44" s="1059" t="e">
        <f ca="1">BDH("BMBL US Equity","ARDR_DEPRECIATION_AMORTIZATION","FY 2023","FY 2023","Currency=USD","Period=FY","BEST_FPERIOD_OVERRIDE=FY","FILING_STATUS=MR","SCALING_FORMAT=MLN","Sort=A","Dates=H","DateFormat=P","Fill=—","Direction=H","UseDPDF=Y")</f>
        <v>#NAME?</v>
      </c>
    </row>
    <row r="45" spans="1:8">
      <c r="A45" s="1058" t="s">
        <v>683</v>
      </c>
      <c r="B45" s="1058" t="s">
        <v>722</v>
      </c>
      <c r="C45" s="1059" t="e">
        <f ca="1">BDH("BMBL US Equity","ARDR_INT_EXP","FY 2018","FY 2018","Currency=USD","Period=FY","BEST_FPERIOD_OVERRIDE=FY","FILING_STATUS=MR","SCALING_FORMAT=MLN","Sort=A","Dates=H","DateFormat=P","Fill=—","Direction=H","UseDPDF=Y")</f>
        <v>#NAME?</v>
      </c>
      <c r="D45" s="1059" t="e">
        <f ca="1">BDH("BMBL US Equity","ARDR_INT_EXP","FY 2019","FY 2019","Currency=USD","Period=FY","BEST_FPERIOD_OVERRIDE=FY","FILING_STATUS=MR","SCALING_FORMAT=MLN","Sort=A","Dates=H","DateFormat=P","Fill=—","Direction=H","UseDPDF=Y")</f>
        <v>#NAME?</v>
      </c>
      <c r="E45" s="1059" t="e">
        <f ca="1">BDH("BMBL US Equity","ARDR_INT_EXP","FY 2020","FY 2020","Currency=USD","Period=FY","BEST_FPERIOD_OVERRIDE=FY","FILING_STATUS=MR","SCALING_FORMAT=MLN","Sort=A","Dates=H","DateFormat=P","Fill=—","Direction=H","UseDPDF=Y")</f>
        <v>#NAME?</v>
      </c>
      <c r="F45" s="1059" t="e">
        <f ca="1">BDH("BMBL US Equity","ARDR_INT_EXP","FY 2021","FY 2021","Currency=USD","Period=FY","BEST_FPERIOD_OVERRIDE=FY","FILING_STATUS=MR","SCALING_FORMAT=MLN","Sort=A","Dates=H","DateFormat=P","Fill=—","Direction=H","UseDPDF=Y")</f>
        <v>#NAME?</v>
      </c>
      <c r="G45" s="1059" t="e">
        <f ca="1">BDH("BMBL US Equity","ARDR_INT_EXP","FY 2022","FY 2022","Currency=USD","Period=FY","BEST_FPERIOD_OVERRIDE=FY","FILING_STATUS=MR","SCALING_FORMAT=MLN","Sort=A","Dates=H","DateFormat=P","Fill=—","Direction=H","UseDPDF=Y")</f>
        <v>#NAME?</v>
      </c>
      <c r="H45" s="1059" t="e">
        <f ca="1">BDH("BMBL US Equity","ARDR_INT_EXP","FY 2023","FY 2023","Currency=USD","Period=FY","BEST_FPERIOD_OVERRIDE=FY","FILING_STATUS=MR","SCALING_FORMAT=MLN","Sort=A","Dates=H","DateFormat=P","Fill=—","Direction=H","UseDPDF=Y")</f>
        <v>#NAME?</v>
      </c>
    </row>
    <row r="46" spans="1:8">
      <c r="A46" s="1058" t="s">
        <v>723</v>
      </c>
      <c r="B46" s="1058" t="s">
        <v>724</v>
      </c>
      <c r="C46" s="1059" t="e">
        <f ca="1">BDH("BMBL US Equity","ARDR_FOREIGN_EXCHANGE","FY 2018","FY 2018","Currency=USD","Period=FY","BEST_FPERIOD_OVERRIDE=FY","FILING_STATUS=MR","SCALING_FORMAT=MLN","Sort=A","Dates=H","DateFormat=P","Fill=—","Direction=H","UseDPDF=Y")</f>
        <v>#NAME?</v>
      </c>
      <c r="D46" s="1059" t="e">
        <f ca="1">BDH("BMBL US Equity","ARDR_FOREIGN_EXCHANGE","FY 2019","FY 2019","Currency=USD","Period=FY","BEST_FPERIOD_OVERRIDE=FY","FILING_STATUS=MR","SCALING_FORMAT=MLN","Sort=A","Dates=H","DateFormat=P","Fill=—","Direction=H","UseDPDF=Y")</f>
        <v>#NAME?</v>
      </c>
      <c r="E46" s="1059" t="e">
        <f ca="1">BDH("BMBL US Equity","ARDR_FOREIGN_EXCHANGE","FY 2020","FY 2020","Currency=USD","Period=FY","BEST_FPERIOD_OVERRIDE=FY","FILING_STATUS=MR","SCALING_FORMAT=MLN","Sort=A","Dates=H","DateFormat=P","Fill=—","Direction=H","UseDPDF=Y")</f>
        <v>#NAME?</v>
      </c>
      <c r="F46" s="1059" t="e">
        <f ca="1">BDH("BMBL US Equity","ARDR_FOREIGN_EXCHANGE","FY 2021","FY 2021","Currency=USD","Period=FY","BEST_FPERIOD_OVERRIDE=FY","FILING_STATUS=MR","SCALING_FORMAT=MLN","Sort=A","Dates=H","DateFormat=P","Fill=—","Direction=H","UseDPDF=Y")</f>
        <v>#NAME?</v>
      </c>
      <c r="G46" s="1059" t="e">
        <f ca="1">BDH("BMBL US Equity","ARDR_FOREIGN_EXCHANGE","FY 2022","FY 2022","Currency=USD","Period=FY","BEST_FPERIOD_OVERRIDE=FY","FILING_STATUS=MR","SCALING_FORMAT=MLN","Sort=A","Dates=H","DateFormat=P","Fill=—","Direction=H","UseDPDF=Y")</f>
        <v>#NAME?</v>
      </c>
      <c r="H46" s="1059" t="e">
        <f ca="1">BDH("BMBL US Equity","ARDR_FOREIGN_EXCHANGE","FY 2023","FY 2023","Currency=USD","Period=FY","BEST_FPERIOD_OVERRIDE=FY","FILING_STATUS=MR","SCALING_FORMAT=MLN","Sort=A","Dates=H","DateFormat=P","Fill=—","Direction=H","UseDPDF=Y")</f>
        <v>#NAME?</v>
      </c>
    </row>
    <row r="47" spans="1:8">
      <c r="A47" s="1058" t="s">
        <v>725</v>
      </c>
      <c r="B47" s="1058" t="s">
        <v>726</v>
      </c>
      <c r="C47" s="1059" t="e">
        <f ca="1">BDH("BMBL US Equity","ARDR_WRITEDOWN_IMPAIR_OF_ASSETS","FY 2018","FY 2018","Currency=USD","Period=FY","BEST_FPERIOD_OVERRIDE=FY","FILING_STATUS=MR","SCALING_FORMAT=MLN","Sort=A","Dates=H","DateFormat=P","Fill=—","Direction=H","UseDPDF=Y")</f>
        <v>#NAME?</v>
      </c>
      <c r="D47" s="1059" t="e">
        <f ca="1">BDH("BMBL US Equity","ARDR_WRITEDOWN_IMPAIR_OF_ASSETS","FY 2019","FY 2019","Currency=USD","Period=FY","BEST_FPERIOD_OVERRIDE=FY","FILING_STATUS=MR","SCALING_FORMAT=MLN","Sort=A","Dates=H","DateFormat=P","Fill=—","Direction=H","UseDPDF=Y")</f>
        <v>#NAME?</v>
      </c>
      <c r="E47" s="1059" t="e">
        <f ca="1">BDH("BMBL US Equity","ARDR_WRITEDOWN_IMPAIR_OF_ASSETS","FY 2020","FY 2020","Currency=USD","Period=FY","BEST_FPERIOD_OVERRIDE=FY","FILING_STATUS=MR","SCALING_FORMAT=MLN","Sort=A","Dates=H","DateFormat=P","Fill=—","Direction=H","UseDPDF=Y")</f>
        <v>#NAME?</v>
      </c>
      <c r="F47" s="1059" t="e">
        <f ca="1">BDH("BMBL US Equity","ARDR_WRITEDOWN_IMPAIR_OF_ASSETS","FY 2021","FY 2021","Currency=USD","Period=FY","BEST_FPERIOD_OVERRIDE=FY","FILING_STATUS=MR","SCALING_FORMAT=MLN","Sort=A","Dates=H","DateFormat=P","Fill=—","Direction=H","UseDPDF=Y")</f>
        <v>#NAME?</v>
      </c>
      <c r="G47" s="1059" t="e">
        <f ca="1">BDH("BMBL US Equity","ARDR_WRITEDOWN_IMPAIR_OF_ASSETS","FY 2022","FY 2022","Currency=USD","Period=FY","BEST_FPERIOD_OVERRIDE=FY","FILING_STATUS=MR","SCALING_FORMAT=MLN","Sort=A","Dates=H","DateFormat=P","Fill=—","Direction=H","UseDPDF=Y")</f>
        <v>#NAME?</v>
      </c>
      <c r="H47" s="1059" t="e">
        <f ca="1">BDH("BMBL US Equity","ARDR_WRITEDOWN_IMPAIR_OF_ASSETS","FY 2023","FY 2023","Currency=USD","Period=FY","BEST_FPERIOD_OVERRIDE=FY","FILING_STATUS=MR","SCALING_FORMAT=MLN","Sort=A","Dates=H","DateFormat=P","Fill=—","Direction=H","UseDPDF=Y")</f>
        <v>#NAME?</v>
      </c>
    </row>
    <row r="48" spans="1:8">
      <c r="A48" s="1058" t="s">
        <v>727</v>
      </c>
      <c r="B48" s="1058" t="s">
        <v>728</v>
      </c>
      <c r="C48" s="1059" t="e">
        <f ca="1">BDH("BMBL US Equity","ARDR_OTHER_ONE_TIME_CHARGES","FY 2018","FY 2018","Currency=USD","Period=FY","BEST_FPERIOD_OVERRIDE=FY","FILING_STATUS=MR","SCALING_FORMAT=MLN","Sort=A","Dates=H","DateFormat=P","Fill=—","Direction=H","UseDPDF=Y")</f>
        <v>#NAME?</v>
      </c>
      <c r="D48" s="1059" t="e">
        <f ca="1">BDH("BMBL US Equity","ARDR_OTHER_ONE_TIME_CHARGES","FY 2019","FY 2019","Currency=USD","Period=FY","BEST_FPERIOD_OVERRIDE=FY","FILING_STATUS=MR","SCALING_FORMAT=MLN","Sort=A","Dates=H","DateFormat=P","Fill=—","Direction=H","UseDPDF=Y")</f>
        <v>#NAME?</v>
      </c>
      <c r="E48" s="1059" t="e">
        <f ca="1">BDH("BMBL US Equity","ARDR_OTHER_ONE_TIME_CHARGES","FY 2020","FY 2020","Currency=USD","Period=FY","BEST_FPERIOD_OVERRIDE=FY","FILING_STATUS=MR","SCALING_FORMAT=MLN","Sort=A","Dates=H","DateFormat=P","Fill=—","Direction=H","UseDPDF=Y")</f>
        <v>#NAME?</v>
      </c>
      <c r="F48" s="1059" t="e">
        <f ca="1">BDH("BMBL US Equity","ARDR_OTHER_ONE_TIME_CHARGES","FY 2021","FY 2021","Currency=USD","Period=FY","BEST_FPERIOD_OVERRIDE=FY","FILING_STATUS=MR","SCALING_FORMAT=MLN","Sort=A","Dates=H","DateFormat=P","Fill=—","Direction=H","UseDPDF=Y")</f>
        <v>#NAME?</v>
      </c>
      <c r="G48" s="1059" t="e">
        <f ca="1">BDH("BMBL US Equity","ARDR_OTHER_ONE_TIME_CHARGES","FY 2022","FY 2022","Currency=USD","Period=FY","BEST_FPERIOD_OVERRIDE=FY","FILING_STATUS=MR","SCALING_FORMAT=MLN","Sort=A","Dates=H","DateFormat=P","Fill=—","Direction=H","UseDPDF=Y")</f>
        <v>#NAME?</v>
      </c>
      <c r="H48" s="1059" t="e">
        <f ca="1">BDH("BMBL US Equity","ARDR_OTHER_ONE_TIME_CHARGES","FY 2023","FY 2023","Currency=USD","Period=FY","BEST_FPERIOD_OVERRIDE=FY","FILING_STATUS=MR","SCALING_FORMAT=MLN","Sort=A","Dates=H","DateFormat=P","Fill=—","Direction=H","UseDPDF=Y")</f>
        <v>#NAME?</v>
      </c>
    </row>
    <row r="49" spans="1:8">
      <c r="A49" s="1058" t="s">
        <v>687</v>
      </c>
      <c r="B49" s="1058" t="s">
        <v>729</v>
      </c>
      <c r="C49" s="1059" t="e">
        <f ca="1">BDH("BMBL US Equity","ARDR_INCOME_TAX_EXP_BENEFIT","FY 2018","FY 2018","Currency=USD","Period=FY","BEST_FPERIOD_OVERRIDE=FY","FILING_STATUS=MR","SCALING_FORMAT=MLN","Sort=A","Dates=H","DateFormat=P","Fill=—","Direction=H","UseDPDF=Y")</f>
        <v>#NAME?</v>
      </c>
      <c r="D49" s="1059" t="e">
        <f ca="1">BDH("BMBL US Equity","ARDR_INCOME_TAX_EXP_BENEFIT","FY 2019","FY 2019","Currency=USD","Period=FY","BEST_FPERIOD_OVERRIDE=FY","FILING_STATUS=MR","SCALING_FORMAT=MLN","Sort=A","Dates=H","DateFormat=P","Fill=—","Direction=H","UseDPDF=Y")</f>
        <v>#NAME?</v>
      </c>
      <c r="E49" s="1059" t="e">
        <f ca="1">BDH("BMBL US Equity","ARDR_INCOME_TAX_EXP_BENEFIT","FY 2020","FY 2020","Currency=USD","Period=FY","BEST_FPERIOD_OVERRIDE=FY","FILING_STATUS=MR","SCALING_FORMAT=MLN","Sort=A","Dates=H","DateFormat=P","Fill=—","Direction=H","UseDPDF=Y")</f>
        <v>#NAME?</v>
      </c>
      <c r="F49" s="1059" t="e">
        <f ca="1">BDH("BMBL US Equity","ARDR_INCOME_TAX_EXP_BENEFIT","FY 2021","FY 2021","Currency=USD","Period=FY","BEST_FPERIOD_OVERRIDE=FY","FILING_STATUS=MR","SCALING_FORMAT=MLN","Sort=A","Dates=H","DateFormat=P","Fill=—","Direction=H","UseDPDF=Y")</f>
        <v>#NAME?</v>
      </c>
      <c r="G49" s="1059" t="e">
        <f ca="1">BDH("BMBL US Equity","ARDR_INCOME_TAX_EXP_BENEFIT","FY 2022","FY 2022","Currency=USD","Period=FY","BEST_FPERIOD_OVERRIDE=FY","FILING_STATUS=MR","SCALING_FORMAT=MLN","Sort=A","Dates=H","DateFormat=P","Fill=—","Direction=H","UseDPDF=Y")</f>
        <v>#NAME?</v>
      </c>
      <c r="H49" s="1059" t="e">
        <f ca="1">BDH("BMBL US Equity","ARDR_INCOME_TAX_EXP_BENEFIT","FY 2023","FY 2023","Currency=USD","Period=FY","BEST_FPERIOD_OVERRIDE=FY","FILING_STATUS=MR","SCALING_FORMAT=MLN","Sort=A","Dates=H","DateFormat=P","Fill=—","Direction=H","UseDPDF=Y")</f>
        <v>#NAME?</v>
      </c>
    </row>
    <row r="50" spans="1:8">
      <c r="A50" s="1058" t="s">
        <v>730</v>
      </c>
      <c r="B50" s="1058" t="s">
        <v>731</v>
      </c>
      <c r="C50" s="1059" t="e">
        <f ca="1">BDH("BMBL US Equity","ARDR_FOR_CRNCY_TRANSLATION_ADJ","FY 2018","FY 2018","Currency=USD","Period=FY","BEST_FPERIOD_OVERRIDE=FY","FILING_STATUS=MR","SCALING_FORMAT=MLN","Sort=A","Dates=H","DateFormat=P","Fill=—","Direction=H","UseDPDF=Y")</f>
        <v>#NAME?</v>
      </c>
      <c r="D50" s="1059" t="e">
        <f ca="1">BDH("BMBL US Equity","ARDR_FOR_CRNCY_TRANSLATION_ADJ","FY 2019","FY 2019","Currency=USD","Period=FY","BEST_FPERIOD_OVERRIDE=FY","FILING_STATUS=MR","SCALING_FORMAT=MLN","Sort=A","Dates=H","DateFormat=P","Fill=—","Direction=H","UseDPDF=Y")</f>
        <v>#NAME?</v>
      </c>
      <c r="E50" s="1059" t="e">
        <f ca="1">BDH("BMBL US Equity","ARDR_FOR_CRNCY_TRANSLATION_ADJ","FY 2020","FY 2020","Currency=USD","Period=FY","BEST_FPERIOD_OVERRIDE=FY","FILING_STATUS=MR","SCALING_FORMAT=MLN","Sort=A","Dates=H","DateFormat=P","Fill=—","Direction=H","UseDPDF=Y")</f>
        <v>#NAME?</v>
      </c>
      <c r="F50" s="1059" t="e">
        <f ca="1">BDH("BMBL US Equity","ARDR_FOR_CRNCY_TRANSLATION_ADJ","FY 2021","FY 2021","Currency=USD","Period=FY","BEST_FPERIOD_OVERRIDE=FY","FILING_STATUS=MR","SCALING_FORMAT=MLN","Sort=A","Dates=H","DateFormat=P","Fill=—","Direction=H","UseDPDF=Y")</f>
        <v>#NAME?</v>
      </c>
      <c r="G50" s="1059" t="e">
        <f ca="1">BDH("BMBL US Equity","ARDR_FOR_CRNCY_TRANSLATION_ADJ","FY 2022","FY 2022","Currency=USD","Period=FY","BEST_FPERIOD_OVERRIDE=FY","FILING_STATUS=MR","SCALING_FORMAT=MLN","Sort=A","Dates=H","DateFormat=P","Fill=—","Direction=H","UseDPDF=Y")</f>
        <v>#NAME?</v>
      </c>
      <c r="H50" s="1059" t="e">
        <f ca="1">BDH("BMBL US Equity","ARDR_FOR_CRNCY_TRANSLATION_ADJ","FY 2023","FY 2023","Currency=USD","Period=FY","BEST_FPERIOD_OVERRIDE=FY","FILING_STATUS=MR","SCALING_FORMAT=MLN","Sort=A","Dates=H","DateFormat=P","Fill=—","Direction=H","UseDPDF=Y")</f>
        <v>#NAME?</v>
      </c>
    </row>
    <row r="51" spans="1:8">
      <c r="A51" s="1058" t="s">
        <v>674</v>
      </c>
      <c r="B51" s="1058" t="s">
        <v>732</v>
      </c>
      <c r="C51" s="1059" t="e">
        <f ca="1">BDH("BMBL US Equity","ARDR_GENERAL_ADMINISTRATIVE_EXP","FY 2018","FY 2018","Currency=USD","Period=FY","BEST_FPERIOD_OVERRIDE=FY","FILING_STATUS=MR","SCALING_FORMAT=MLN","Sort=A","Dates=H","DateFormat=P","Fill=—","Direction=H","UseDPDF=Y")</f>
        <v>#NAME?</v>
      </c>
      <c r="D51" s="1059" t="e">
        <f ca="1">BDH("BMBL US Equity","ARDR_GENERAL_ADMINISTRATIVE_EXP","FY 2019","FY 2019","Currency=USD","Period=FY","BEST_FPERIOD_OVERRIDE=FY","FILING_STATUS=MR","SCALING_FORMAT=MLN","Sort=A","Dates=H","DateFormat=P","Fill=—","Direction=H","UseDPDF=Y")</f>
        <v>#NAME?</v>
      </c>
      <c r="E51" s="1059" t="e">
        <f ca="1">BDH("BMBL US Equity","ARDR_GENERAL_ADMINISTRATIVE_EXP","FY 2020","FY 2020","Currency=USD","Period=FY","BEST_FPERIOD_OVERRIDE=FY","FILING_STATUS=MR","SCALING_FORMAT=MLN","Sort=A","Dates=H","DateFormat=P","Fill=—","Direction=H","UseDPDF=Y")</f>
        <v>#NAME?</v>
      </c>
      <c r="F51" s="1059" t="e">
        <f ca="1">BDH("BMBL US Equity","ARDR_GENERAL_ADMINISTRATIVE_EXP","FY 2021","FY 2021","Currency=USD","Period=FY","BEST_FPERIOD_OVERRIDE=FY","FILING_STATUS=MR","SCALING_FORMAT=MLN","Sort=A","Dates=H","DateFormat=P","Fill=—","Direction=H","UseDPDF=Y")</f>
        <v>#NAME?</v>
      </c>
      <c r="G51" s="1059" t="e">
        <f ca="1">BDH("BMBL US Equity","ARDR_GENERAL_ADMINISTRATIVE_EXP","FY 2022","FY 2022","Currency=USD","Period=FY","BEST_FPERIOD_OVERRIDE=FY","FILING_STATUS=MR","SCALING_FORMAT=MLN","Sort=A","Dates=H","DateFormat=P","Fill=—","Direction=H","UseDPDF=Y")</f>
        <v>#NAME?</v>
      </c>
      <c r="H51" s="1059" t="e">
        <f ca="1">BDH("BMBL US Equity","ARDR_GENERAL_ADMINISTRATIVE_EXP","FY 2023","FY 2023","Currency=USD","Period=FY","BEST_FPERIOD_OVERRIDE=FY","FILING_STATUS=MR","SCALING_FORMAT=MLN","Sort=A","Dates=H","DateFormat=P","Fill=—","Direction=H","UseDPDF=Y")</f>
        <v>#NAME?</v>
      </c>
    </row>
    <row r="52" spans="1:8">
      <c r="A52" s="1058" t="s">
        <v>698</v>
      </c>
      <c r="B52" s="1058" t="s">
        <v>733</v>
      </c>
      <c r="C52" s="1057" t="e">
        <f ca="1">BDH("BMBL US Equity","ARDR_BASIC_EPS","FY 2018","FY 2018","Currency=USD","Period=FY","BEST_FPERIOD_OVERRIDE=FY","FILING_STATUS=MR","Sort=A","Dates=H","DateFormat=P","Fill=—","Direction=H","UseDPDF=Y")</f>
        <v>#NAME?</v>
      </c>
      <c r="D52" s="1057" t="e">
        <f ca="1">BDH("BMBL US Equity","ARDR_BASIC_EPS","FY 2019","FY 2019","Currency=USD","Period=FY","BEST_FPERIOD_OVERRIDE=FY","FILING_STATUS=MR","Sort=A","Dates=H","DateFormat=P","Fill=—","Direction=H","UseDPDF=Y")</f>
        <v>#NAME?</v>
      </c>
      <c r="E52" s="1057" t="e">
        <f ca="1">BDH("BMBL US Equity","ARDR_BASIC_EPS","FY 2020","FY 2020","Currency=USD","Period=FY","BEST_FPERIOD_OVERRIDE=FY","FILING_STATUS=MR","Sort=A","Dates=H","DateFormat=P","Fill=—","Direction=H","UseDPDF=Y")</f>
        <v>#NAME?</v>
      </c>
      <c r="F52" s="1057" t="e">
        <f ca="1">BDH("BMBL US Equity","ARDR_BASIC_EPS","FY 2021","FY 2021","Currency=USD","Period=FY","BEST_FPERIOD_OVERRIDE=FY","FILING_STATUS=MR","Sort=A","Dates=H","DateFormat=P","Fill=—","Direction=H","UseDPDF=Y")</f>
        <v>#NAME?</v>
      </c>
      <c r="G52" s="1057" t="e">
        <f ca="1">BDH("BMBL US Equity","ARDR_BASIC_EPS","FY 2022","FY 2022","Currency=USD","Period=FY","BEST_FPERIOD_OVERRIDE=FY","FILING_STATUS=MR","Sort=A","Dates=H","DateFormat=P","Fill=—","Direction=H","UseDPDF=Y")</f>
        <v>#NAME?</v>
      </c>
      <c r="H52" s="1057" t="e">
        <f ca="1">BDH("BMBL US Equity","ARDR_BASIC_EPS","FY 2023","FY 2023","Currency=USD","Period=FY","BEST_FPERIOD_OVERRIDE=FY","FILING_STATUS=MR","Sort=A","Dates=H","DateFormat=P","Fill=—","Direction=H","UseDPDF=Y")</f>
        <v>#NAME?</v>
      </c>
    </row>
    <row r="53" spans="1:8">
      <c r="A53" s="1058" t="s">
        <v>734</v>
      </c>
      <c r="B53" s="1058" t="s">
        <v>735</v>
      </c>
      <c r="C53" s="1059" t="e">
        <f ca="1">BDH("BMBL US Equity","ARDR_WEIGHTED_AVG_SHARES_BASIC","FY 2018","FY 2018","Currency=USD","Period=FY","BEST_FPERIOD_OVERRIDE=FY","FILING_STATUS=MR","Sort=A","Dates=H","DateFormat=P","Fill=—","Direction=H","UseDPDF=Y")</f>
        <v>#NAME?</v>
      </c>
      <c r="D53" s="1059" t="e">
        <f ca="1">BDH("BMBL US Equity","ARDR_WEIGHTED_AVG_SHARES_BASIC","FY 2019","FY 2019","Currency=USD","Period=FY","BEST_FPERIOD_OVERRIDE=FY","FILING_STATUS=MR","Sort=A","Dates=H","DateFormat=P","Fill=—","Direction=H","UseDPDF=Y")</f>
        <v>#NAME?</v>
      </c>
      <c r="E53" s="1059" t="e">
        <f ca="1">BDH("BMBL US Equity","ARDR_WEIGHTED_AVG_SHARES_BASIC","FY 2020","FY 2020","Currency=USD","Period=FY","BEST_FPERIOD_OVERRIDE=FY","FILING_STATUS=MR","Sort=A","Dates=H","DateFormat=P","Fill=—","Direction=H","UseDPDF=Y")</f>
        <v>#NAME?</v>
      </c>
      <c r="F53" s="1059" t="e">
        <f ca="1">BDH("BMBL US Equity","ARDR_WEIGHTED_AVG_SHARES_BASIC","FY 2021","FY 2021","Currency=USD","Period=FY","BEST_FPERIOD_OVERRIDE=FY","FILING_STATUS=MR","Sort=A","Dates=H","DateFormat=P","Fill=—","Direction=H","UseDPDF=Y")</f>
        <v>#NAME?</v>
      </c>
      <c r="G53" s="1059" t="e">
        <f ca="1">BDH("BMBL US Equity","ARDR_WEIGHTED_AVG_SHARES_BASIC","FY 2022","FY 2022","Currency=USD","Period=FY","BEST_FPERIOD_OVERRIDE=FY","FILING_STATUS=MR","Sort=A","Dates=H","DateFormat=P","Fill=—","Direction=H","UseDPDF=Y")</f>
        <v>#NAME?</v>
      </c>
      <c r="H53" s="1059" t="e">
        <f ca="1">BDH("BMBL US Equity","ARDR_WEIGHTED_AVG_SHARES_BASIC","FY 2023","FY 2023","Currency=USD","Period=FY","BEST_FPERIOD_OVERRIDE=FY","FILING_STATUS=MR","Sort=A","Dates=H","DateFormat=P","Fill=—","Direction=H","UseDPDF=Y")</f>
        <v>#NAME?</v>
      </c>
    </row>
    <row r="54" spans="1:8">
      <c r="A54" s="1058" t="s">
        <v>700</v>
      </c>
      <c r="B54" s="1058" t="s">
        <v>736</v>
      </c>
      <c r="C54" s="1057" t="e">
        <f ca="1">BDH("BMBL US Equity","ARDR_DILUTED_EPS","FY 2018","FY 2018","Currency=USD","Period=FY","BEST_FPERIOD_OVERRIDE=FY","FILING_STATUS=MR","Sort=A","Dates=H","DateFormat=P","Fill=—","Direction=H","UseDPDF=Y")</f>
        <v>#NAME?</v>
      </c>
      <c r="D54" s="1057" t="e">
        <f ca="1">BDH("BMBL US Equity","ARDR_DILUTED_EPS","FY 2019","FY 2019","Currency=USD","Period=FY","BEST_FPERIOD_OVERRIDE=FY","FILING_STATUS=MR","Sort=A","Dates=H","DateFormat=P","Fill=—","Direction=H","UseDPDF=Y")</f>
        <v>#NAME?</v>
      </c>
      <c r="E54" s="1057" t="e">
        <f ca="1">BDH("BMBL US Equity","ARDR_DILUTED_EPS","FY 2020","FY 2020","Currency=USD","Period=FY","BEST_FPERIOD_OVERRIDE=FY","FILING_STATUS=MR","Sort=A","Dates=H","DateFormat=P","Fill=—","Direction=H","UseDPDF=Y")</f>
        <v>#NAME?</v>
      </c>
      <c r="F54" s="1057" t="e">
        <f ca="1">BDH("BMBL US Equity","ARDR_DILUTED_EPS","FY 2021","FY 2021","Currency=USD","Period=FY","BEST_FPERIOD_OVERRIDE=FY","FILING_STATUS=MR","Sort=A","Dates=H","DateFormat=P","Fill=—","Direction=H","UseDPDF=Y")</f>
        <v>#NAME?</v>
      </c>
      <c r="G54" s="1057" t="e">
        <f ca="1">BDH("BMBL US Equity","ARDR_DILUTED_EPS","FY 2022","FY 2022","Currency=USD","Period=FY","BEST_FPERIOD_OVERRIDE=FY","FILING_STATUS=MR","Sort=A","Dates=H","DateFormat=P","Fill=—","Direction=H","UseDPDF=Y")</f>
        <v>#NAME?</v>
      </c>
      <c r="H54" s="1057" t="e">
        <f ca="1">BDH("BMBL US Equity","ARDR_DILUTED_EPS","FY 2023","FY 2023","Currency=USD","Period=FY","BEST_FPERIOD_OVERRIDE=FY","FILING_STATUS=MR","Sort=A","Dates=H","DateFormat=P","Fill=—","Direction=H","UseDPDF=Y")</f>
        <v>#NAME?</v>
      </c>
    </row>
    <row r="55" spans="1:8">
      <c r="A55" s="1058" t="s">
        <v>737</v>
      </c>
      <c r="B55" s="1058" t="s">
        <v>738</v>
      </c>
      <c r="C55" s="1059" t="e">
        <f ca="1">BDH("BMBL US Equity","ARDR_WEIGHTED_AVG_SHARE_DILUTED","FY 2018","FY 2018","Currency=USD","Period=FY","BEST_FPERIOD_OVERRIDE=FY","FILING_STATUS=MR","Sort=A","Dates=H","DateFormat=P","Fill=—","Direction=H","UseDPDF=Y")</f>
        <v>#NAME?</v>
      </c>
      <c r="D55" s="1059" t="e">
        <f ca="1">BDH("BMBL US Equity","ARDR_WEIGHTED_AVG_SHARE_DILUTED","FY 2019","FY 2019","Currency=USD","Period=FY","BEST_FPERIOD_OVERRIDE=FY","FILING_STATUS=MR","Sort=A","Dates=H","DateFormat=P","Fill=—","Direction=H","UseDPDF=Y")</f>
        <v>#NAME?</v>
      </c>
      <c r="E55" s="1059" t="e">
        <f ca="1">BDH("BMBL US Equity","ARDR_WEIGHTED_AVG_SHARE_DILUTED","FY 2020","FY 2020","Currency=USD","Period=FY","BEST_FPERIOD_OVERRIDE=FY","FILING_STATUS=MR","Sort=A","Dates=H","DateFormat=P","Fill=—","Direction=H","UseDPDF=Y")</f>
        <v>#NAME?</v>
      </c>
      <c r="F55" s="1059" t="e">
        <f ca="1">BDH("BMBL US Equity","ARDR_WEIGHTED_AVG_SHARE_DILUTED","FY 2021","FY 2021","Currency=USD","Period=FY","BEST_FPERIOD_OVERRIDE=FY","FILING_STATUS=MR","Sort=A","Dates=H","DateFormat=P","Fill=—","Direction=H","UseDPDF=Y")</f>
        <v>#NAME?</v>
      </c>
      <c r="G55" s="1059" t="e">
        <f ca="1">BDH("BMBL US Equity","ARDR_WEIGHTED_AVG_SHARE_DILUTED","FY 2022","FY 2022","Currency=USD","Period=FY","BEST_FPERIOD_OVERRIDE=FY","FILING_STATUS=MR","Sort=A","Dates=H","DateFormat=P","Fill=—","Direction=H","UseDPDF=Y")</f>
        <v>#NAME?</v>
      </c>
      <c r="H55" s="1059" t="e">
        <f ca="1">BDH("BMBL US Equity","ARDR_WEIGHTED_AVG_SHARE_DILUTED","FY 2023","FY 2023","Currency=USD","Period=FY","BEST_FPERIOD_OVERRIDE=FY","FILING_STATUS=MR","Sort=A","Dates=H","DateFormat=P","Fill=—","Direction=H","UseDPDF=Y")</f>
        <v>#NAME?</v>
      </c>
    </row>
    <row r="56" spans="1:8">
      <c r="A56" s="1058" t="s">
        <v>739</v>
      </c>
      <c r="B56" s="1058" t="s">
        <v>740</v>
      </c>
      <c r="C56" s="1059" t="e">
        <f ca="1">BDH("BMBL US Equity","ARDR_CURRENT_RENTAL_EXP","FY 2018","FY 2018","Currency=USD","Period=FY","BEST_FPERIOD_OVERRIDE=FY","FILING_STATUS=MR","SCALING_FORMAT=MLN","Sort=A","Dates=H","DateFormat=P","Fill=—","Direction=H","UseDPDF=Y")</f>
        <v>#NAME?</v>
      </c>
      <c r="D56" s="1059" t="e">
        <f ca="1">BDH("BMBL US Equity","ARDR_CURRENT_RENTAL_EXP","FY 2019","FY 2019","Currency=USD","Period=FY","BEST_FPERIOD_OVERRIDE=FY","FILING_STATUS=MR","SCALING_FORMAT=MLN","Sort=A","Dates=H","DateFormat=P","Fill=—","Direction=H","UseDPDF=Y")</f>
        <v>#NAME?</v>
      </c>
      <c r="E56" s="1059" t="e">
        <f ca="1">BDH("BMBL US Equity","ARDR_CURRENT_RENTAL_EXP","FY 2020","FY 2020","Currency=USD","Period=FY","BEST_FPERIOD_OVERRIDE=FY","FILING_STATUS=MR","SCALING_FORMAT=MLN","Sort=A","Dates=H","DateFormat=P","Fill=—","Direction=H","UseDPDF=Y")</f>
        <v>#NAME?</v>
      </c>
      <c r="F56" s="1059" t="e">
        <f ca="1">BDH("BMBL US Equity","ARDR_CURRENT_RENTAL_EXP","FY 2021","FY 2021","Currency=USD","Period=FY","BEST_FPERIOD_OVERRIDE=FY","FILING_STATUS=MR","SCALING_FORMAT=MLN","Sort=A","Dates=H","DateFormat=P","Fill=—","Direction=H","UseDPDF=Y")</f>
        <v>#NAME?</v>
      </c>
      <c r="G56" s="1059" t="e">
        <f ca="1">BDH("BMBL US Equity","ARDR_CURRENT_RENTAL_EXP","FY 2022","FY 2022","Currency=USD","Period=FY","BEST_FPERIOD_OVERRIDE=FY","FILING_STATUS=MR","SCALING_FORMAT=MLN","Sort=A","Dates=H","DateFormat=P","Fill=—","Direction=H","UseDPDF=Y")</f>
        <v>#NAME?</v>
      </c>
      <c r="H56" s="1059" t="e">
        <f ca="1">BDH("BMBL US Equity","ARDR_CURRENT_RENTAL_EXP","FY 2023","FY 2023","Currency=USD","Period=FY","BEST_FPERIOD_OVERRIDE=FY","FILING_STATUS=MR","SCALING_FORMAT=MLN","Sort=A","Dates=H","DateFormat=P","Fill=—","Direction=H","UseDPDF=Y")</f>
        <v>#NAME?</v>
      </c>
    </row>
    <row r="57" spans="1:8">
      <c r="A57" s="1058" t="s">
        <v>741</v>
      </c>
      <c r="B57" s="1058" t="s">
        <v>742</v>
      </c>
      <c r="C57" s="1059" t="e">
        <f ca="1">BDH("BMBL US Equity","ARDR_STK_BASED_COMPENSATION_EXP","FY 2018","FY 2018","Currency=USD","Period=FY","BEST_FPERIOD_OVERRIDE=FY","FILING_STATUS=MR","SCALING_FORMAT=MLN","Sort=A","Dates=H","DateFormat=P","Fill=—","Direction=H","UseDPDF=Y")</f>
        <v>#NAME?</v>
      </c>
      <c r="D57" s="1059" t="e">
        <f ca="1">BDH("BMBL US Equity","ARDR_STK_BASED_COMPENSATION_EXP","FY 2019","FY 2019","Currency=USD","Period=FY","BEST_FPERIOD_OVERRIDE=FY","FILING_STATUS=MR","SCALING_FORMAT=MLN","Sort=A","Dates=H","DateFormat=P","Fill=—","Direction=H","UseDPDF=Y")</f>
        <v>#NAME?</v>
      </c>
      <c r="E57" s="1059" t="e">
        <f ca="1">BDH("BMBL US Equity","ARDR_STK_BASED_COMPENSATION_EXP","FY 2020","FY 2020","Currency=USD","Period=FY","BEST_FPERIOD_OVERRIDE=FY","FILING_STATUS=MR","SCALING_FORMAT=MLN","Sort=A","Dates=H","DateFormat=P","Fill=—","Direction=H","UseDPDF=Y")</f>
        <v>#NAME?</v>
      </c>
      <c r="F57" s="1059" t="e">
        <f ca="1">BDH("BMBL US Equity","ARDR_STK_BASED_COMPENSATION_EXP","FY 2021","FY 2021","Currency=USD","Period=FY","BEST_FPERIOD_OVERRIDE=FY","FILING_STATUS=MR","SCALING_FORMAT=MLN","Sort=A","Dates=H","DateFormat=P","Fill=—","Direction=H","UseDPDF=Y")</f>
        <v>#NAME?</v>
      </c>
      <c r="G57" s="1059" t="e">
        <f ca="1">BDH("BMBL US Equity","ARDR_STK_BASED_COMPENSATION_EXP","FY 2022","FY 2022","Currency=USD","Period=FY","BEST_FPERIOD_OVERRIDE=FY","FILING_STATUS=MR","SCALING_FORMAT=MLN","Sort=A","Dates=H","DateFormat=P","Fill=—","Direction=H","UseDPDF=Y")</f>
        <v>#NAME?</v>
      </c>
      <c r="H57" s="1059" t="e">
        <f ca="1">BDH("BMBL US Equity","ARDR_STK_BASED_COMPENSATION_EXP","FY 2023","FY 2023","Currency=USD","Period=FY","BEST_FPERIOD_OVERRIDE=FY","FILING_STATUS=MR","SCALING_FORMAT=MLN","Sort=A","Dates=H","DateFormat=P","Fill=—","Direction=H","UseDPDF=Y")</f>
        <v>#NAME?</v>
      </c>
    </row>
    <row r="58" spans="1:8">
      <c r="A58" s="1058" t="s">
        <v>743</v>
      </c>
      <c r="B58" s="1058" t="s">
        <v>744</v>
      </c>
      <c r="C58" s="1059" t="e">
        <f ca="1">BDH("BMBL US Equity","ARDR_TOTAL_COMPREHENSIVE_INCOME","FY 2018","FY 2018","Currency=USD","Period=FY","BEST_FPERIOD_OVERRIDE=FY","FILING_STATUS=MR","SCALING_FORMAT=MLN","Sort=A","Dates=H","DateFormat=P","Fill=—","Direction=H","UseDPDF=Y")</f>
        <v>#NAME?</v>
      </c>
      <c r="D58" s="1059" t="e">
        <f ca="1">BDH("BMBL US Equity","ARDR_TOTAL_COMPREHENSIVE_INCOME","FY 2019","FY 2019","Currency=USD","Period=FY","BEST_FPERIOD_OVERRIDE=FY","FILING_STATUS=MR","SCALING_FORMAT=MLN","Sort=A","Dates=H","DateFormat=P","Fill=—","Direction=H","UseDPDF=Y")</f>
        <v>#NAME?</v>
      </c>
      <c r="E58" s="1059" t="e">
        <f ca="1">BDH("BMBL US Equity","ARDR_TOTAL_COMPREHENSIVE_INCOME","FY 2020","FY 2020","Currency=USD","Period=FY","BEST_FPERIOD_OVERRIDE=FY","FILING_STATUS=MR","SCALING_FORMAT=MLN","Sort=A","Dates=H","DateFormat=P","Fill=—","Direction=H","UseDPDF=Y")</f>
        <v>#NAME?</v>
      </c>
      <c r="F58" s="1059" t="e">
        <f ca="1">BDH("BMBL US Equity","ARDR_TOTAL_COMPREHENSIVE_INCOME","FY 2021","FY 2021","Currency=USD","Period=FY","BEST_FPERIOD_OVERRIDE=FY","FILING_STATUS=MR","SCALING_FORMAT=MLN","Sort=A","Dates=H","DateFormat=P","Fill=—","Direction=H","UseDPDF=Y")</f>
        <v>#NAME?</v>
      </c>
      <c r="G58" s="1059" t="e">
        <f ca="1">BDH("BMBL US Equity","ARDR_TOTAL_COMPREHENSIVE_INCOME","FY 2022","FY 2022","Currency=USD","Period=FY","BEST_FPERIOD_OVERRIDE=FY","FILING_STATUS=MR","SCALING_FORMAT=MLN","Sort=A","Dates=H","DateFormat=P","Fill=—","Direction=H","UseDPDF=Y")</f>
        <v>#NAME?</v>
      </c>
      <c r="H58" s="1059" t="e">
        <f ca="1">BDH("BMBL US Equity","ARDR_TOTAL_COMPREHENSIVE_INCOME","FY 2023","FY 2023","Currency=USD","Period=FY","BEST_FPERIOD_OVERRIDE=FY","FILING_STATUS=MR","SCALING_FORMAT=MLN","Sort=A","Dates=H","DateFormat=P","Fill=—","Direction=H","UseDPDF=Y")</f>
        <v>#NAME?</v>
      </c>
    </row>
    <row r="59" spans="1:8">
      <c r="A59" s="1058" t="s">
        <v>745</v>
      </c>
      <c r="B59" s="1058" t="s">
        <v>746</v>
      </c>
      <c r="C59" s="1059" t="e">
        <f ca="1">BDH("BMBL US Equity","ARDR_LITIGATION_EXP","FY 2018","FY 2018","Currency=USD","Period=FY","BEST_FPERIOD_OVERRIDE=FY","FILING_STATUS=MR","SCALING_FORMAT=MLN","Sort=A","Dates=H","DateFormat=P","Fill=—","Direction=H","UseDPDF=Y")</f>
        <v>#NAME?</v>
      </c>
      <c r="D59" s="1059" t="e">
        <f ca="1">BDH("BMBL US Equity","ARDR_LITIGATION_EXP","FY 2019","FY 2019","Currency=USD","Period=FY","BEST_FPERIOD_OVERRIDE=FY","FILING_STATUS=MR","SCALING_FORMAT=MLN","Sort=A","Dates=H","DateFormat=P","Fill=—","Direction=H","UseDPDF=Y")</f>
        <v>#NAME?</v>
      </c>
      <c r="E59" s="1059" t="e">
        <f ca="1">BDH("BMBL US Equity","ARDR_LITIGATION_EXP","FY 2020","FY 2020","Currency=USD","Period=FY","BEST_FPERIOD_OVERRIDE=FY","FILING_STATUS=MR","SCALING_FORMAT=MLN","Sort=A","Dates=H","DateFormat=P","Fill=—","Direction=H","UseDPDF=Y")</f>
        <v>#NAME?</v>
      </c>
      <c r="F59" s="1059" t="e">
        <f ca="1">BDH("BMBL US Equity","ARDR_LITIGATION_EXP","FY 2021","FY 2021","Currency=USD","Period=FY","BEST_FPERIOD_OVERRIDE=FY","FILING_STATUS=MR","SCALING_FORMAT=MLN","Sort=A","Dates=H","DateFormat=P","Fill=—","Direction=H","UseDPDF=Y")</f>
        <v>#NAME?</v>
      </c>
      <c r="G59" s="1059" t="e">
        <f ca="1">BDH("BMBL US Equity","ARDR_LITIGATION_EXP","FY 2022","FY 2022","Currency=USD","Period=FY","BEST_FPERIOD_OVERRIDE=FY","FILING_STATUS=MR","SCALING_FORMAT=MLN","Sort=A","Dates=H","DateFormat=P","Fill=—","Direction=H","UseDPDF=Y")</f>
        <v>#NAME?</v>
      </c>
      <c r="H59" s="1059" t="e">
        <f ca="1">BDH("BMBL US Equity","ARDR_LITIGATION_EXP","FY 2023","FY 2023","Currency=USD","Period=FY","BEST_FPERIOD_OVERRIDE=FY","FILING_STATUS=MR","SCALING_FORMAT=MLN","Sort=A","Dates=H","DateFormat=P","Fill=—","Direction=H","UseDPDF=Y")</f>
        <v>#NAME?</v>
      </c>
    </row>
    <row r="60" spans="1:8">
      <c r="A60" s="1058" t="s">
        <v>747</v>
      </c>
      <c r="B60" s="1058" t="s">
        <v>748</v>
      </c>
      <c r="C60" s="1059" t="e">
        <f ca="1">BDH("BMBL US Equity","ARDR_MERGER_ACQUISITION_EXPENSE","FY 2018","FY 2018","Currency=USD","Period=FY","BEST_FPERIOD_OVERRIDE=FY","FILING_STATUS=MR","SCALING_FORMAT=MLN","Sort=A","Dates=H","DateFormat=P","Fill=—","Direction=H","UseDPDF=Y")</f>
        <v>#NAME?</v>
      </c>
      <c r="D60" s="1059" t="e">
        <f ca="1">BDH("BMBL US Equity","ARDR_MERGER_ACQUISITION_EXPENSE","FY 2019","FY 2019","Currency=USD","Period=FY","BEST_FPERIOD_OVERRIDE=FY","FILING_STATUS=MR","SCALING_FORMAT=MLN","Sort=A","Dates=H","DateFormat=P","Fill=—","Direction=H","UseDPDF=Y")</f>
        <v>#NAME?</v>
      </c>
      <c r="E60" s="1059" t="e">
        <f ca="1">BDH("BMBL US Equity","ARDR_MERGER_ACQUISITION_EXPENSE","FY 2020","FY 2020","Currency=USD","Period=FY","BEST_FPERIOD_OVERRIDE=FY","FILING_STATUS=MR","SCALING_FORMAT=MLN","Sort=A","Dates=H","DateFormat=P","Fill=—","Direction=H","UseDPDF=Y")</f>
        <v>#NAME?</v>
      </c>
      <c r="F60" s="1059" t="e">
        <f ca="1">BDH("BMBL US Equity","ARDR_MERGER_ACQUISITION_EXPENSE","FY 2021","FY 2021","Currency=USD","Period=FY","BEST_FPERIOD_OVERRIDE=FY","FILING_STATUS=MR","SCALING_FORMAT=MLN","Sort=A","Dates=H","DateFormat=P","Fill=—","Direction=H","UseDPDF=Y")</f>
        <v>#NAME?</v>
      </c>
      <c r="G60" s="1059" t="e">
        <f ca="1">BDH("BMBL US Equity","ARDR_MERGER_ACQUISITION_EXPENSE","FY 2022","FY 2022","Currency=USD","Period=FY","BEST_FPERIOD_OVERRIDE=FY","FILING_STATUS=MR","SCALING_FORMAT=MLN","Sort=A","Dates=H","DateFormat=P","Fill=—","Direction=H","UseDPDF=Y")</f>
        <v>#NAME?</v>
      </c>
      <c r="H60" s="1059" t="e">
        <f ca="1">BDH("BMBL US Equity","ARDR_MERGER_ACQUISITION_EXPENSE","FY 2023","FY 2023","Currency=USD","Period=FY","BEST_FPERIOD_OVERRIDE=FY","FILING_STATUS=MR","SCALING_FORMAT=MLN","Sort=A","Dates=H","DateFormat=P","Fill=—","Direction=H","UseDPDF=Y")</f>
        <v>#NAME?</v>
      </c>
    </row>
    <row r="61" spans="1:8">
      <c r="A61" s="1058" t="s">
        <v>749</v>
      </c>
      <c r="B61" s="1058" t="s">
        <v>750</v>
      </c>
      <c r="C61" s="1059" t="e">
        <f ca="1">BDH("BMBL US Equity","ARDR_AMORT_OF_INTANGIBLE_ASSETS","FY 2018","FY 2018","Currency=USD","Period=FY","BEST_FPERIOD_OVERRIDE=FY","FILING_STATUS=MR","SCALING_FORMAT=MLN","Sort=A","Dates=H","DateFormat=P","Fill=—","Direction=H","UseDPDF=Y")</f>
        <v>#NAME?</v>
      </c>
      <c r="D61" s="1059" t="e">
        <f ca="1">BDH("BMBL US Equity","ARDR_AMORT_OF_INTANGIBLE_ASSETS","FY 2019","FY 2019","Currency=USD","Period=FY","BEST_FPERIOD_OVERRIDE=FY","FILING_STATUS=MR","SCALING_FORMAT=MLN","Sort=A","Dates=H","DateFormat=P","Fill=—","Direction=H","UseDPDF=Y")</f>
        <v>#NAME?</v>
      </c>
      <c r="E61" s="1059" t="e">
        <f ca="1">BDH("BMBL US Equity","ARDR_AMORT_OF_INTANGIBLE_ASSETS","FY 2020","FY 2020","Currency=USD","Period=FY","BEST_FPERIOD_OVERRIDE=FY","FILING_STATUS=MR","SCALING_FORMAT=MLN","Sort=A","Dates=H","DateFormat=P","Fill=—","Direction=H","UseDPDF=Y")</f>
        <v>#NAME?</v>
      </c>
      <c r="F61" s="1059" t="e">
        <f ca="1">BDH("BMBL US Equity","ARDR_AMORT_OF_INTANGIBLE_ASSETS","FY 2021","FY 2021","Currency=USD","Period=FY","BEST_FPERIOD_OVERRIDE=FY","FILING_STATUS=MR","SCALING_FORMAT=MLN","Sort=A","Dates=H","DateFormat=P","Fill=—","Direction=H","UseDPDF=Y")</f>
        <v>#NAME?</v>
      </c>
      <c r="G61" s="1059" t="e">
        <f ca="1">BDH("BMBL US Equity","ARDR_AMORT_OF_INTANGIBLE_ASSETS","FY 2022","FY 2022","Currency=USD","Period=FY","BEST_FPERIOD_OVERRIDE=FY","FILING_STATUS=MR","SCALING_FORMAT=MLN","Sort=A","Dates=H","DateFormat=P","Fill=—","Direction=H","UseDPDF=Y")</f>
        <v>#NAME?</v>
      </c>
      <c r="H61" s="1059" t="e">
        <f ca="1">BDH("BMBL US Equity","ARDR_AMORT_OF_INTANGIBLE_ASSETS","FY 2023","FY 2023","Currency=USD","Period=FY","BEST_FPERIOD_OVERRIDE=FY","FILING_STATUS=MR","SCALING_FORMAT=MLN","Sort=A","Dates=H","DateFormat=P","Fill=—","Direction=H","UseDPDF=Y")</f>
        <v>#NAME?</v>
      </c>
    </row>
    <row r="62" spans="1:8">
      <c r="A62" s="1058" t="s">
        <v>661</v>
      </c>
      <c r="B62" s="1058" t="s">
        <v>751</v>
      </c>
      <c r="C62" s="1059" t="e">
        <f ca="1">BDH("BMBL US Equity","ARDR_TOTAL_REVENUES","FY 2018","FY 2018","Currency=USD","Period=FY","BEST_FPERIOD_OVERRIDE=FY","FILING_STATUS=MR","SCALING_FORMAT=MLN","Sort=A","Dates=H","DateFormat=P","Fill=—","Direction=H","UseDPDF=Y")</f>
        <v>#NAME?</v>
      </c>
      <c r="D62" s="1059" t="e">
        <f ca="1">BDH("BMBL US Equity","ARDR_TOTAL_REVENUES","FY 2019","FY 2019","Currency=USD","Period=FY","BEST_FPERIOD_OVERRIDE=FY","FILING_STATUS=MR","SCALING_FORMAT=MLN","Sort=A","Dates=H","DateFormat=P","Fill=—","Direction=H","UseDPDF=Y")</f>
        <v>#NAME?</v>
      </c>
      <c r="E62" s="1059" t="e">
        <f ca="1">BDH("BMBL US Equity","ARDR_TOTAL_REVENUES","FY 2020","FY 2020","Currency=USD","Period=FY","BEST_FPERIOD_OVERRIDE=FY","FILING_STATUS=MR","SCALING_FORMAT=MLN","Sort=A","Dates=H","DateFormat=P","Fill=—","Direction=H","UseDPDF=Y")</f>
        <v>#NAME?</v>
      </c>
      <c r="F62" s="1059" t="e">
        <f ca="1">BDH("BMBL US Equity","ARDR_TOTAL_REVENUES","FY 2021","FY 2021","Currency=USD","Period=FY","BEST_FPERIOD_OVERRIDE=FY","FILING_STATUS=MR","SCALING_FORMAT=MLN","Sort=A","Dates=H","DateFormat=P","Fill=—","Direction=H","UseDPDF=Y")</f>
        <v>#NAME?</v>
      </c>
      <c r="G62" s="1059" t="e">
        <f ca="1">BDH("BMBL US Equity","ARDR_TOTAL_REVENUES","FY 2022","FY 2022","Currency=USD","Period=FY","BEST_FPERIOD_OVERRIDE=FY","FILING_STATUS=MR","SCALING_FORMAT=MLN","Sort=A","Dates=H","DateFormat=P","Fill=—","Direction=H","UseDPDF=Y")</f>
        <v>#NAME?</v>
      </c>
      <c r="H62" s="1059" t="e">
        <f ca="1">BDH("BMBL US Equity","ARDR_TOTAL_REVENUES","FY 2023","FY 2023","Currency=USD","Period=FY","BEST_FPERIOD_OVERRIDE=FY","FILING_STATUS=MR","SCALING_FORMAT=MLN","Sort=A","Dates=H","DateFormat=P","Fill=—","Direction=H","UseDPDF=Y")</f>
        <v>#NAME?</v>
      </c>
    </row>
    <row r="63" spans="1:8">
      <c r="A63" s="1058" t="s">
        <v>752</v>
      </c>
      <c r="B63" s="1058" t="s">
        <v>753</v>
      </c>
      <c r="C63" s="1059" t="e">
        <f ca="1">BDH("BMBL US Equity","ARDR_CUR_INCOME_TAX_EXP_BENEFIT","FY 2018","FY 2018","Currency=USD","Period=FY","BEST_FPERIOD_OVERRIDE=FY","FILING_STATUS=MR","SCALING_FORMAT=MLN","Sort=A","Dates=H","DateFormat=P","Fill=—","Direction=H","UseDPDF=Y")</f>
        <v>#NAME?</v>
      </c>
      <c r="D63" s="1059" t="e">
        <f ca="1">BDH("BMBL US Equity","ARDR_CUR_INCOME_TAX_EXP_BENEFIT","FY 2019","FY 2019","Currency=USD","Period=FY","BEST_FPERIOD_OVERRIDE=FY","FILING_STATUS=MR","SCALING_FORMAT=MLN","Sort=A","Dates=H","DateFormat=P","Fill=—","Direction=H","UseDPDF=Y")</f>
        <v>#NAME?</v>
      </c>
      <c r="E63" s="1059" t="e">
        <f ca="1">BDH("BMBL US Equity","ARDR_CUR_INCOME_TAX_EXP_BENEFIT","FY 2020","FY 2020","Currency=USD","Period=FY","BEST_FPERIOD_OVERRIDE=FY","FILING_STATUS=MR","SCALING_FORMAT=MLN","Sort=A","Dates=H","DateFormat=P","Fill=—","Direction=H","UseDPDF=Y")</f>
        <v>#NAME?</v>
      </c>
      <c r="F63" s="1059" t="e">
        <f ca="1">BDH("BMBL US Equity","ARDR_CUR_INCOME_TAX_EXP_BENEFIT","FY 2021","FY 2021","Currency=USD","Period=FY","BEST_FPERIOD_OVERRIDE=FY","FILING_STATUS=MR","SCALING_FORMAT=MLN","Sort=A","Dates=H","DateFormat=P","Fill=—","Direction=H","UseDPDF=Y")</f>
        <v>#NAME?</v>
      </c>
      <c r="G63" s="1059" t="e">
        <f ca="1">BDH("BMBL US Equity","ARDR_CUR_INCOME_TAX_EXP_BENEFIT","FY 2022","FY 2022","Currency=USD","Period=FY","BEST_FPERIOD_OVERRIDE=FY","FILING_STATUS=MR","SCALING_FORMAT=MLN","Sort=A","Dates=H","DateFormat=P","Fill=—","Direction=H","UseDPDF=Y")</f>
        <v>#NAME?</v>
      </c>
      <c r="H63" s="1059" t="e">
        <f ca="1">BDH("BMBL US Equity","ARDR_CUR_INCOME_TAX_EXP_BENEFIT","FY 2023","FY 2023","Currency=USD","Period=FY","BEST_FPERIOD_OVERRIDE=FY","FILING_STATUS=MR","SCALING_FORMAT=MLN","Sort=A","Dates=H","DateFormat=P","Fill=—","Direction=H","UseDPDF=Y")</f>
        <v>#NAME?</v>
      </c>
    </row>
    <row r="64" spans="1:8">
      <c r="A64" s="1058" t="s">
        <v>754</v>
      </c>
      <c r="B64" s="1058" t="s">
        <v>755</v>
      </c>
      <c r="C64" s="1059" t="e">
        <f ca="1">BDH("BMBL US Equity","ARDR_DEFERRED_INC_TAX_EXP_BEN","FY 2018","FY 2018","Currency=USD","Period=FY","BEST_FPERIOD_OVERRIDE=FY","FILING_STATUS=MR","SCALING_FORMAT=MLN","Sort=A","Dates=H","DateFormat=P","Fill=—","Direction=H","UseDPDF=Y")</f>
        <v>#NAME?</v>
      </c>
      <c r="D64" s="1059" t="e">
        <f ca="1">BDH("BMBL US Equity","ARDR_DEFERRED_INC_TAX_EXP_BEN","FY 2019","FY 2019","Currency=USD","Period=FY","BEST_FPERIOD_OVERRIDE=FY","FILING_STATUS=MR","SCALING_FORMAT=MLN","Sort=A","Dates=H","DateFormat=P","Fill=—","Direction=H","UseDPDF=Y")</f>
        <v>#NAME?</v>
      </c>
      <c r="E64" s="1059" t="e">
        <f ca="1">BDH("BMBL US Equity","ARDR_DEFERRED_INC_TAX_EXP_BEN","FY 2020","FY 2020","Currency=USD","Period=FY","BEST_FPERIOD_OVERRIDE=FY","FILING_STATUS=MR","SCALING_FORMAT=MLN","Sort=A","Dates=H","DateFormat=P","Fill=—","Direction=H","UseDPDF=Y")</f>
        <v>#NAME?</v>
      </c>
      <c r="F64" s="1059" t="e">
        <f ca="1">BDH("BMBL US Equity","ARDR_DEFERRED_INC_TAX_EXP_BEN","FY 2021","FY 2021","Currency=USD","Period=FY","BEST_FPERIOD_OVERRIDE=FY","FILING_STATUS=MR","SCALING_FORMAT=MLN","Sort=A","Dates=H","DateFormat=P","Fill=—","Direction=H","UseDPDF=Y")</f>
        <v>#NAME?</v>
      </c>
      <c r="G64" s="1059" t="e">
        <f ca="1">BDH("BMBL US Equity","ARDR_DEFERRED_INC_TAX_EXP_BEN","FY 2022","FY 2022","Currency=USD","Period=FY","BEST_FPERIOD_OVERRIDE=FY","FILING_STATUS=MR","SCALING_FORMAT=MLN","Sort=A","Dates=H","DateFormat=P","Fill=—","Direction=H","UseDPDF=Y")</f>
        <v>#NAME?</v>
      </c>
      <c r="H64" s="1059" t="e">
        <f ca="1">BDH("BMBL US Equity","ARDR_DEFERRED_INC_TAX_EXP_BEN","FY 2023","FY 2023","Currency=USD","Period=FY","BEST_FPERIOD_OVERRIDE=FY","FILING_STATUS=MR","SCALING_FORMAT=MLN","Sort=A","Dates=H","DateFormat=P","Fill=—","Direction=H","UseDPDF=Y")</f>
        <v>#NAME?</v>
      </c>
    </row>
    <row r="65" spans="1:8">
      <c r="A65" s="1058" t="s">
        <v>756</v>
      </c>
      <c r="B65" s="1058" t="s">
        <v>757</v>
      </c>
      <c r="C65" s="1059" t="e">
        <f ca="1">BDH("BMBL US Equity","ARDR_NET_INC_AVAIL_COM_SHRHLDR","FY 2018","FY 2018","Currency=USD","Period=FY","BEST_FPERIOD_OVERRIDE=FY","FILING_STATUS=MR","SCALING_FORMAT=MLN","Sort=A","Dates=H","DateFormat=P","Fill=—","Direction=H","UseDPDF=Y")</f>
        <v>#NAME?</v>
      </c>
      <c r="D65" s="1059" t="e">
        <f ca="1">BDH("BMBL US Equity","ARDR_NET_INC_AVAIL_COM_SHRHLDR","FY 2019","FY 2019","Currency=USD","Period=FY","BEST_FPERIOD_OVERRIDE=FY","FILING_STATUS=MR","SCALING_FORMAT=MLN","Sort=A","Dates=H","DateFormat=P","Fill=—","Direction=H","UseDPDF=Y")</f>
        <v>#NAME?</v>
      </c>
      <c r="E65" s="1059" t="e">
        <f ca="1">BDH("BMBL US Equity","ARDR_NET_INC_AVAIL_COM_SHRHLDR","FY 2020","FY 2020","Currency=USD","Period=FY","BEST_FPERIOD_OVERRIDE=FY","FILING_STATUS=MR","SCALING_FORMAT=MLN","Sort=A","Dates=H","DateFormat=P","Fill=—","Direction=H","UseDPDF=Y")</f>
        <v>#NAME?</v>
      </c>
      <c r="F65" s="1059" t="e">
        <f ca="1">BDH("BMBL US Equity","ARDR_NET_INC_AVAIL_COM_SHRHLDR","FY 2021","FY 2021","Currency=USD","Period=FY","BEST_FPERIOD_OVERRIDE=FY","FILING_STATUS=MR","SCALING_FORMAT=MLN","Sort=A","Dates=H","DateFormat=P","Fill=—","Direction=H","UseDPDF=Y")</f>
        <v>#NAME?</v>
      </c>
      <c r="G65" s="1059" t="e">
        <f ca="1">BDH("BMBL US Equity","ARDR_NET_INC_AVAIL_COM_SHRHLDR","FY 2022","FY 2022","Currency=USD","Period=FY","BEST_FPERIOD_OVERRIDE=FY","FILING_STATUS=MR","SCALING_FORMAT=MLN","Sort=A","Dates=H","DateFormat=P","Fill=—","Direction=H","UseDPDF=Y")</f>
        <v>#NAME?</v>
      </c>
      <c r="H65" s="1059" t="e">
        <f ca="1">BDH("BMBL US Equity","ARDR_NET_INC_AVAIL_COM_SHRHLDR","FY 2023","FY 2023","Currency=USD","Period=FY","BEST_FPERIOD_OVERRIDE=FY","FILING_STATUS=MR","SCALING_FORMAT=MLN","Sort=A","Dates=H","DateFormat=P","Fill=—","Direction=H","UseDPDF=Y")</f>
        <v>#NAME?</v>
      </c>
    </row>
    <row r="66" spans="1:8">
      <c r="A66" s="1058" t="s">
        <v>758</v>
      </c>
      <c r="B66" s="1058" t="s">
        <v>759</v>
      </c>
      <c r="C66" s="1057" t="e">
        <f ca="1">BDH("BMBL US Equity","ARDR_EFFECTIVE_TAX_RATE_PCT","FY 2018","FY 2018","Currency=USD","Period=FY","BEST_FPERIOD_OVERRIDE=FY","FILING_STATUS=MR","Sort=A","Dates=H","DateFormat=P","Fill=—","Direction=H","UseDPDF=Y")</f>
        <v>#NAME?</v>
      </c>
      <c r="D66" s="1057" t="e">
        <f ca="1">BDH("BMBL US Equity","ARDR_EFFECTIVE_TAX_RATE_PCT","FY 2019","FY 2019","Currency=USD","Period=FY","BEST_FPERIOD_OVERRIDE=FY","FILING_STATUS=MR","Sort=A","Dates=H","DateFormat=P","Fill=—","Direction=H","UseDPDF=Y")</f>
        <v>#NAME?</v>
      </c>
      <c r="E66" s="1057" t="e">
        <f ca="1">BDH("BMBL US Equity","ARDR_EFFECTIVE_TAX_RATE_PCT","FY 2020","FY 2020","Currency=USD","Period=FY","BEST_FPERIOD_OVERRIDE=FY","FILING_STATUS=MR","Sort=A","Dates=H","DateFormat=P","Fill=—","Direction=H","UseDPDF=Y")</f>
        <v>#NAME?</v>
      </c>
      <c r="F66" s="1057" t="e">
        <f ca="1">BDH("BMBL US Equity","ARDR_EFFECTIVE_TAX_RATE_PCT","FY 2021","FY 2021","Currency=USD","Period=FY","BEST_FPERIOD_OVERRIDE=FY","FILING_STATUS=MR","Sort=A","Dates=H","DateFormat=P","Fill=—","Direction=H","UseDPDF=Y")</f>
        <v>#NAME?</v>
      </c>
      <c r="G66" s="1057" t="e">
        <f ca="1">BDH("BMBL US Equity","ARDR_EFFECTIVE_TAX_RATE_PCT","FY 2022","FY 2022","Currency=USD","Period=FY","BEST_FPERIOD_OVERRIDE=FY","FILING_STATUS=MR","Sort=A","Dates=H","DateFormat=P","Fill=—","Direction=H","UseDPDF=Y")</f>
        <v>#NAME?</v>
      </c>
      <c r="H66" s="1057" t="e">
        <f ca="1">BDH("BMBL US Equity","ARDR_EFFECTIVE_TAX_RATE_PCT","FY 2023","FY 2023","Currency=USD","Period=FY","BEST_FPERIOD_OVERRIDE=FY","FILING_STATUS=MR","Sort=A","Dates=H","DateFormat=P","Fill=—","Direction=H","UseDPDF=Y")</f>
        <v>#NAME?</v>
      </c>
    </row>
    <row r="67" spans="1:8">
      <c r="A67" s="1058" t="s">
        <v>760</v>
      </c>
      <c r="B67" s="1058" t="s">
        <v>761</v>
      </c>
      <c r="C67" s="1059" t="e">
        <f ca="1">BDH("BMBL US Equity","ARDR_TOT_FEES_PAID_AUDIT_FIRMS","FY 2018","FY 2018","Currency=USD","Period=FY","BEST_FPERIOD_OVERRIDE=FY","FILING_STATUS=MR","SCALING_FORMAT=MLN","Sort=A","Dates=H","DateFormat=P","Fill=—","Direction=H","UseDPDF=Y")</f>
        <v>#NAME?</v>
      </c>
      <c r="D67" s="1059" t="e">
        <f ca="1">BDH("BMBL US Equity","ARDR_TOT_FEES_PAID_AUDIT_FIRMS","FY 2019","FY 2019","Currency=USD","Period=FY","BEST_FPERIOD_OVERRIDE=FY","FILING_STATUS=MR","SCALING_FORMAT=MLN","Sort=A","Dates=H","DateFormat=P","Fill=—","Direction=H","UseDPDF=Y")</f>
        <v>#NAME?</v>
      </c>
      <c r="E67" s="1059" t="e">
        <f ca="1">BDH("BMBL US Equity","ARDR_TOT_FEES_PAID_AUDIT_FIRMS","FY 2020","FY 2020","Currency=USD","Period=FY","BEST_FPERIOD_OVERRIDE=FY","FILING_STATUS=MR","SCALING_FORMAT=MLN","Sort=A","Dates=H","DateFormat=P","Fill=—","Direction=H","UseDPDF=Y")</f>
        <v>#NAME?</v>
      </c>
      <c r="F67" s="1059" t="e">
        <f ca="1">BDH("BMBL US Equity","ARDR_TOT_FEES_PAID_AUDIT_FIRMS","FY 2021","FY 2021","Currency=USD","Period=FY","BEST_FPERIOD_OVERRIDE=FY","FILING_STATUS=MR","SCALING_FORMAT=MLN","Sort=A","Dates=H","DateFormat=P","Fill=—","Direction=H","UseDPDF=Y")</f>
        <v>#NAME?</v>
      </c>
      <c r="G67" s="1059" t="e">
        <f ca="1">BDH("BMBL US Equity","ARDR_TOT_FEES_PAID_AUDIT_FIRMS","FY 2022","FY 2022","Currency=USD","Period=FY","BEST_FPERIOD_OVERRIDE=FY","FILING_STATUS=MR","SCALING_FORMAT=MLN","Sort=A","Dates=H","DateFormat=P","Fill=—","Direction=H","UseDPDF=Y")</f>
        <v>#NAME?</v>
      </c>
      <c r="H67" s="1059" t="e">
        <f ca="1">BDH("BMBL US Equity","ARDR_TOT_FEES_PAID_AUDIT_FIRMS","FY 2023","FY 2023","Currency=USD","Period=FY","BEST_FPERIOD_OVERRIDE=FY","FILING_STATUS=MR","SCALING_FORMAT=MLN","Sort=A","Dates=H","DateFormat=P","Fill=—","Direction=H","UseDPDF=Y")</f>
        <v>#NAME?</v>
      </c>
    </row>
    <row r="68" spans="1:8">
      <c r="A68" s="1058" t="s">
        <v>762</v>
      </c>
      <c r="B68" s="1058" t="s">
        <v>763</v>
      </c>
      <c r="C68" s="1059" t="e">
        <f ca="1">BDH("BMBL US Equity","ARDR_UNREAL_GL_FROM_SECS_NON_OP","FY 2018","FY 2018","Currency=USD","Period=FY","BEST_FPERIOD_OVERRIDE=FY","FILING_STATUS=MR","SCALING_FORMAT=MLN","Sort=A","Dates=H","DateFormat=P","Fill=—","Direction=H","UseDPDF=Y")</f>
        <v>#NAME?</v>
      </c>
      <c r="D68" s="1059" t="e">
        <f ca="1">BDH("BMBL US Equity","ARDR_UNREAL_GL_FROM_SECS_NON_OP","FY 2019","FY 2019","Currency=USD","Period=FY","BEST_FPERIOD_OVERRIDE=FY","FILING_STATUS=MR","SCALING_FORMAT=MLN","Sort=A","Dates=H","DateFormat=P","Fill=—","Direction=H","UseDPDF=Y")</f>
        <v>#NAME?</v>
      </c>
      <c r="E68" s="1059" t="e">
        <f ca="1">BDH("BMBL US Equity","ARDR_UNREAL_GL_FROM_SECS_NON_OP","FY 2020","FY 2020","Currency=USD","Period=FY","BEST_FPERIOD_OVERRIDE=FY","FILING_STATUS=MR","SCALING_FORMAT=MLN","Sort=A","Dates=H","DateFormat=P","Fill=—","Direction=H","UseDPDF=Y")</f>
        <v>#NAME?</v>
      </c>
      <c r="F68" s="1059" t="e">
        <f ca="1">BDH("BMBL US Equity","ARDR_UNREAL_GL_FROM_SECS_NON_OP","FY 2021","FY 2021","Currency=USD","Period=FY","BEST_FPERIOD_OVERRIDE=FY","FILING_STATUS=MR","SCALING_FORMAT=MLN","Sort=A","Dates=H","DateFormat=P","Fill=—","Direction=H","UseDPDF=Y")</f>
        <v>#NAME?</v>
      </c>
      <c r="G68" s="1059" t="e">
        <f ca="1">BDH("BMBL US Equity","ARDR_UNREAL_GL_FROM_SECS_NON_OP","FY 2022","FY 2022","Currency=USD","Period=FY","BEST_FPERIOD_OVERRIDE=FY","FILING_STATUS=MR","SCALING_FORMAT=MLN","Sort=A","Dates=H","DateFormat=P","Fill=—","Direction=H","UseDPDF=Y")</f>
        <v>#NAME?</v>
      </c>
      <c r="H68" s="1059" t="e">
        <f ca="1">BDH("BMBL US Equity","ARDR_UNREAL_GL_FROM_SECS_NON_OP","FY 2023","FY 2023","Currency=USD","Period=FY","BEST_FPERIOD_OVERRIDE=FY","FILING_STATUS=MR","SCALING_FORMAT=MLN","Sort=A","Dates=H","DateFormat=P","Fill=—","Direction=H","UseDPDF=Y")</f>
        <v>#NAME?</v>
      </c>
    </row>
    <row r="69" spans="1:8">
      <c r="A69" s="1058" t="s">
        <v>764</v>
      </c>
      <c r="B69" s="1058" t="s">
        <v>765</v>
      </c>
      <c r="C69" s="1059" t="e">
        <f ca="1">BDH("BMBL US Equity","ARDR_AUDITOR_EXP_AUDIT","FY 2018","FY 2018","Currency=USD","Period=FY","BEST_FPERIOD_OVERRIDE=FY","FILING_STATUS=MR","SCALING_FORMAT=MLN","Sort=A","Dates=H","DateFormat=P","Fill=—","Direction=H","UseDPDF=Y")</f>
        <v>#NAME?</v>
      </c>
      <c r="D69" s="1059" t="e">
        <f ca="1">BDH("BMBL US Equity","ARDR_AUDITOR_EXP_AUDIT","FY 2019","FY 2019","Currency=USD","Period=FY","BEST_FPERIOD_OVERRIDE=FY","FILING_STATUS=MR","SCALING_FORMAT=MLN","Sort=A","Dates=H","DateFormat=P","Fill=—","Direction=H","UseDPDF=Y")</f>
        <v>#NAME?</v>
      </c>
      <c r="E69" s="1059" t="e">
        <f ca="1">BDH("BMBL US Equity","ARDR_AUDITOR_EXP_AUDIT","FY 2020","FY 2020","Currency=USD","Period=FY","BEST_FPERIOD_OVERRIDE=FY","FILING_STATUS=MR","SCALING_FORMAT=MLN","Sort=A","Dates=H","DateFormat=P","Fill=—","Direction=H","UseDPDF=Y")</f>
        <v>#NAME?</v>
      </c>
      <c r="F69" s="1059" t="e">
        <f ca="1">BDH("BMBL US Equity","ARDR_AUDITOR_EXP_AUDIT","FY 2021","FY 2021","Currency=USD","Period=FY","BEST_FPERIOD_OVERRIDE=FY","FILING_STATUS=MR","SCALING_FORMAT=MLN","Sort=A","Dates=H","DateFormat=P","Fill=—","Direction=H","UseDPDF=Y")</f>
        <v>#NAME?</v>
      </c>
      <c r="G69" s="1059" t="e">
        <f ca="1">BDH("BMBL US Equity","ARDR_AUDITOR_EXP_AUDIT","FY 2022","FY 2022","Currency=USD","Period=FY","BEST_FPERIOD_OVERRIDE=FY","FILING_STATUS=MR","SCALING_FORMAT=MLN","Sort=A","Dates=H","DateFormat=P","Fill=—","Direction=H","UseDPDF=Y")</f>
        <v>#NAME?</v>
      </c>
      <c r="H69" s="1059" t="e">
        <f ca="1">BDH("BMBL US Equity","ARDR_AUDITOR_EXP_AUDIT","FY 2023","FY 2023","Currency=USD","Period=FY","BEST_FPERIOD_OVERRIDE=FY","FILING_STATUS=MR","SCALING_FORMAT=MLN","Sort=A","Dates=H","DateFormat=P","Fill=—","Direction=H","UseDPDF=Y")</f>
        <v>#NAME?</v>
      </c>
    </row>
    <row r="70" spans="1:8">
      <c r="A70" s="1058" t="s">
        <v>766</v>
      </c>
      <c r="B70" s="1058" t="s">
        <v>767</v>
      </c>
      <c r="C70" s="1059" t="e">
        <f ca="1">BDH("BMBL US Equity","ARDR_AUDITOR_EXP_NON_AUDIT","FY 2018","FY 2018","Currency=USD","Period=FY","BEST_FPERIOD_OVERRIDE=FY","FILING_STATUS=MR","SCALING_FORMAT=MLN","Sort=A","Dates=H","DateFormat=P","Fill=—","Direction=H","UseDPDF=Y")</f>
        <v>#NAME?</v>
      </c>
      <c r="D70" s="1059" t="e">
        <f ca="1">BDH("BMBL US Equity","ARDR_AUDITOR_EXP_NON_AUDIT","FY 2019","FY 2019","Currency=USD","Period=FY","BEST_FPERIOD_OVERRIDE=FY","FILING_STATUS=MR","SCALING_FORMAT=MLN","Sort=A","Dates=H","DateFormat=P","Fill=—","Direction=H","UseDPDF=Y")</f>
        <v>#NAME?</v>
      </c>
      <c r="E70" s="1059" t="e">
        <f ca="1">BDH("BMBL US Equity","ARDR_AUDITOR_EXP_NON_AUDIT","FY 2020","FY 2020","Currency=USD","Period=FY","BEST_FPERIOD_OVERRIDE=FY","FILING_STATUS=MR","SCALING_FORMAT=MLN","Sort=A","Dates=H","DateFormat=P","Fill=—","Direction=H","UseDPDF=Y")</f>
        <v>#NAME?</v>
      </c>
      <c r="F70" s="1059" t="e">
        <f ca="1">BDH("BMBL US Equity","ARDR_AUDITOR_EXP_NON_AUDIT","FY 2021","FY 2021","Currency=USD","Period=FY","BEST_FPERIOD_OVERRIDE=FY","FILING_STATUS=MR","SCALING_FORMAT=MLN","Sort=A","Dates=H","DateFormat=P","Fill=—","Direction=H","UseDPDF=Y")</f>
        <v>#NAME?</v>
      </c>
      <c r="G70" s="1059" t="e">
        <f ca="1">BDH("BMBL US Equity","ARDR_AUDITOR_EXP_NON_AUDIT","FY 2022","FY 2022","Currency=USD","Period=FY","BEST_FPERIOD_OVERRIDE=FY","FILING_STATUS=MR","SCALING_FORMAT=MLN","Sort=A","Dates=H","DateFormat=P","Fill=—","Direction=H","UseDPDF=Y")</f>
        <v>#NAME?</v>
      </c>
      <c r="H70" s="1059" t="e">
        <f ca="1">BDH("BMBL US Equity","ARDR_AUDITOR_EXP_NON_AUDIT","FY 2023","FY 2023","Currency=USD","Period=FY","BEST_FPERIOD_OVERRIDE=FY","FILING_STATUS=MR","SCALING_FORMAT=MLN","Sort=A","Dates=H","DateFormat=P","Fill=—","Direction=H","UseDPDF=Y")</f>
        <v>#NAME?</v>
      </c>
    </row>
    <row r="71" spans="1:8">
      <c r="A71" s="1058" t="s">
        <v>768</v>
      </c>
      <c r="B71" s="1058" t="s">
        <v>769</v>
      </c>
      <c r="C71" s="1059" t="e">
        <f ca="1">BDH("BMBL US Equity","ARDR_GL_DERIV_HEDGING_ACTIVITIES","FY 2018","FY 2018","Currency=USD","Period=FY","BEST_FPERIOD_OVERRIDE=FY","FILING_STATUS=MR","SCALING_FORMAT=MLN","Sort=A","Dates=H","DateFormat=P","Fill=—","Direction=H","UseDPDF=Y")</f>
        <v>#NAME?</v>
      </c>
      <c r="D71" s="1059" t="e">
        <f ca="1">BDH("BMBL US Equity","ARDR_GL_DERIV_HEDGING_ACTIVITIES","FY 2019","FY 2019","Currency=USD","Period=FY","BEST_FPERIOD_OVERRIDE=FY","FILING_STATUS=MR","SCALING_FORMAT=MLN","Sort=A","Dates=H","DateFormat=P","Fill=—","Direction=H","UseDPDF=Y")</f>
        <v>#NAME?</v>
      </c>
      <c r="E71" s="1059" t="e">
        <f ca="1">BDH("BMBL US Equity","ARDR_GL_DERIV_HEDGING_ACTIVITIES","FY 2020","FY 2020","Currency=USD","Period=FY","BEST_FPERIOD_OVERRIDE=FY","FILING_STATUS=MR","SCALING_FORMAT=MLN","Sort=A","Dates=H","DateFormat=P","Fill=—","Direction=H","UseDPDF=Y")</f>
        <v>#NAME?</v>
      </c>
      <c r="F71" s="1059" t="e">
        <f ca="1">BDH("BMBL US Equity","ARDR_GL_DERIV_HEDGING_ACTIVITIES","FY 2021","FY 2021","Currency=USD","Period=FY","BEST_FPERIOD_OVERRIDE=FY","FILING_STATUS=MR","SCALING_FORMAT=MLN","Sort=A","Dates=H","DateFormat=P","Fill=—","Direction=H","UseDPDF=Y")</f>
        <v>#NAME?</v>
      </c>
      <c r="G71" s="1059" t="e">
        <f ca="1">BDH("BMBL US Equity","ARDR_GL_DERIV_HEDGING_ACTIVITIES","FY 2022","FY 2022","Currency=USD","Period=FY","BEST_FPERIOD_OVERRIDE=FY","FILING_STATUS=MR","SCALING_FORMAT=MLN","Sort=A","Dates=H","DateFormat=P","Fill=—","Direction=H","UseDPDF=Y")</f>
        <v>#NAME?</v>
      </c>
      <c r="H71" s="1059" t="e">
        <f ca="1">BDH("BMBL US Equity","ARDR_GL_DERIV_HEDGING_ACTIVITIES","FY 2023","FY 2023","Currency=USD","Period=FY","BEST_FPERIOD_OVERRIDE=FY","FILING_STATUS=MR","SCALING_FORMAT=MLN","Sort=A","Dates=H","DateFormat=P","Fill=—","Direction=H","UseDPDF=Y")</f>
        <v>#NAME?</v>
      </c>
    </row>
    <row r="72" spans="1:8">
      <c r="A72" s="1058" t="s">
        <v>770</v>
      </c>
      <c r="B72" s="1058" t="s">
        <v>771</v>
      </c>
      <c r="C72" s="1059" t="e">
        <f ca="1">BDH("BMBL US Equity","ARDR_DILUTED_NET_INCOME","FY 2018","FY 2018","Currency=USD","Period=FY","BEST_FPERIOD_OVERRIDE=FY","FILING_STATUS=MR","SCALING_FORMAT=MLN","Sort=A","Dates=H","DateFormat=P","Fill=—","Direction=H","UseDPDF=Y")</f>
        <v>#NAME?</v>
      </c>
      <c r="D72" s="1059" t="e">
        <f ca="1">BDH("BMBL US Equity","ARDR_DILUTED_NET_INCOME","FY 2019","FY 2019","Currency=USD","Period=FY","BEST_FPERIOD_OVERRIDE=FY","FILING_STATUS=MR","SCALING_FORMAT=MLN","Sort=A","Dates=H","DateFormat=P","Fill=—","Direction=H","UseDPDF=Y")</f>
        <v>#NAME?</v>
      </c>
      <c r="E72" s="1059" t="e">
        <f ca="1">BDH("BMBL US Equity","ARDR_DILUTED_NET_INCOME","FY 2020","FY 2020","Currency=USD","Period=FY","BEST_FPERIOD_OVERRIDE=FY","FILING_STATUS=MR","SCALING_FORMAT=MLN","Sort=A","Dates=H","DateFormat=P","Fill=—","Direction=H","UseDPDF=Y")</f>
        <v>#NAME?</v>
      </c>
      <c r="F72" s="1059" t="e">
        <f ca="1">BDH("BMBL US Equity","ARDR_DILUTED_NET_INCOME","FY 2021","FY 2021","Currency=USD","Period=FY","BEST_FPERIOD_OVERRIDE=FY","FILING_STATUS=MR","SCALING_FORMAT=MLN","Sort=A","Dates=H","DateFormat=P","Fill=—","Direction=H","UseDPDF=Y")</f>
        <v>#NAME?</v>
      </c>
      <c r="G72" s="1059" t="e">
        <f ca="1">BDH("BMBL US Equity","ARDR_DILUTED_NET_INCOME","FY 2022","FY 2022","Currency=USD","Period=FY","BEST_FPERIOD_OVERRIDE=FY","FILING_STATUS=MR","SCALING_FORMAT=MLN","Sort=A","Dates=H","DateFormat=P","Fill=—","Direction=H","UseDPDF=Y")</f>
        <v>#NAME?</v>
      </c>
      <c r="H72" s="1059" t="e">
        <f ca="1">BDH("BMBL US Equity","ARDR_DILUTED_NET_INCOME","FY 2023","FY 2023","Currency=USD","Period=FY","BEST_FPERIOD_OVERRIDE=FY","FILING_STATUS=MR","SCALING_FORMAT=MLN","Sort=A","Dates=H","DateFormat=P","Fill=—","Direction=H","UseDPDF=Y")</f>
        <v>#NAME?</v>
      </c>
    </row>
    <row r="73" spans="1:8">
      <c r="A73" s="1058" t="s">
        <v>772</v>
      </c>
      <c r="B73" s="1058" t="s">
        <v>773</v>
      </c>
      <c r="C73" s="1059" t="e">
        <f ca="1">BDH("BMBL US Equity","ARDR_ADVERTISING_EXPENSES","FY 2018","FY 2018","Currency=USD","Period=FY","BEST_FPERIOD_OVERRIDE=FY","FILING_STATUS=MR","SCALING_FORMAT=MLN","Sort=A","Dates=H","DateFormat=P","Fill=—","Direction=H","UseDPDF=Y")</f>
        <v>#NAME?</v>
      </c>
      <c r="D73" s="1059" t="e">
        <f ca="1">BDH("BMBL US Equity","ARDR_ADVERTISING_EXPENSES","FY 2019","FY 2019","Currency=USD","Period=FY","BEST_FPERIOD_OVERRIDE=FY","FILING_STATUS=MR","SCALING_FORMAT=MLN","Sort=A","Dates=H","DateFormat=P","Fill=—","Direction=H","UseDPDF=Y")</f>
        <v>#NAME?</v>
      </c>
      <c r="E73" s="1059" t="e">
        <f ca="1">BDH("BMBL US Equity","ARDR_ADVERTISING_EXPENSES","FY 2020","FY 2020","Currency=USD","Period=FY","BEST_FPERIOD_OVERRIDE=FY","FILING_STATUS=MR","SCALING_FORMAT=MLN","Sort=A","Dates=H","DateFormat=P","Fill=—","Direction=H","UseDPDF=Y")</f>
        <v>#NAME?</v>
      </c>
      <c r="F73" s="1059" t="e">
        <f ca="1">BDH("BMBL US Equity","ARDR_ADVERTISING_EXPENSES","FY 2021","FY 2021","Currency=USD","Period=FY","BEST_FPERIOD_OVERRIDE=FY","FILING_STATUS=MR","SCALING_FORMAT=MLN","Sort=A","Dates=H","DateFormat=P","Fill=—","Direction=H","UseDPDF=Y")</f>
        <v>#NAME?</v>
      </c>
      <c r="G73" s="1059" t="e">
        <f ca="1">BDH("BMBL US Equity","ARDR_ADVERTISING_EXPENSES","FY 2022","FY 2022","Currency=USD","Period=FY","BEST_FPERIOD_OVERRIDE=FY","FILING_STATUS=MR","SCALING_FORMAT=MLN","Sort=A","Dates=H","DateFormat=P","Fill=—","Direction=H","UseDPDF=Y")</f>
        <v>#NAME?</v>
      </c>
      <c r="H73" s="1059" t="e">
        <f ca="1">BDH("BMBL US Equity","ARDR_ADVERTISING_EXPENSES","FY 2023","FY 2023","Currency=USD","Period=FY","BEST_FPERIOD_OVERRIDE=FY","FILING_STATUS=MR","SCALING_FORMAT=MLN","Sort=A","Dates=H","DateFormat=P","Fill=—","Direction=H","UseDPDF=Y")</f>
        <v>#NAME?</v>
      </c>
    </row>
    <row r="74" spans="1:8">
      <c r="A74" s="1058" t="s">
        <v>774</v>
      </c>
      <c r="B74" s="1058" t="s">
        <v>775</v>
      </c>
      <c r="C74" s="1059" t="e">
        <f ca="1">BDH("BMBL US Equity","ARDR_COMPREHENSIVE_INC_ATTRIB_MI","FY 2018","FY 2018","Currency=USD","Period=FY","BEST_FPERIOD_OVERRIDE=FY","FILING_STATUS=MR","SCALING_FORMAT=MLN","Sort=A","Dates=H","DateFormat=P","Fill=—","Direction=H","UseDPDF=Y")</f>
        <v>#NAME?</v>
      </c>
      <c r="D74" s="1059" t="e">
        <f ca="1">BDH("BMBL US Equity","ARDR_COMPREHENSIVE_INC_ATTRIB_MI","FY 2019","FY 2019","Currency=USD","Period=FY","BEST_FPERIOD_OVERRIDE=FY","FILING_STATUS=MR","SCALING_FORMAT=MLN","Sort=A","Dates=H","DateFormat=P","Fill=—","Direction=H","UseDPDF=Y")</f>
        <v>#NAME?</v>
      </c>
      <c r="E74" s="1059" t="e">
        <f ca="1">BDH("BMBL US Equity","ARDR_COMPREHENSIVE_INC_ATTRIB_MI","FY 2020","FY 2020","Currency=USD","Period=FY","BEST_FPERIOD_OVERRIDE=FY","FILING_STATUS=MR","SCALING_FORMAT=MLN","Sort=A","Dates=H","DateFormat=P","Fill=—","Direction=H","UseDPDF=Y")</f>
        <v>#NAME?</v>
      </c>
      <c r="F74" s="1059" t="e">
        <f ca="1">BDH("BMBL US Equity","ARDR_COMPREHENSIVE_INC_ATTRIB_MI","FY 2021","FY 2021","Currency=USD","Period=FY","BEST_FPERIOD_OVERRIDE=FY","FILING_STATUS=MR","SCALING_FORMAT=MLN","Sort=A","Dates=H","DateFormat=P","Fill=—","Direction=H","UseDPDF=Y")</f>
        <v>#NAME?</v>
      </c>
      <c r="G74" s="1059" t="e">
        <f ca="1">BDH("BMBL US Equity","ARDR_COMPREHENSIVE_INC_ATTRIB_MI","FY 2022","FY 2022","Currency=USD","Period=FY","BEST_FPERIOD_OVERRIDE=FY","FILING_STATUS=MR","SCALING_FORMAT=MLN","Sort=A","Dates=H","DateFormat=P","Fill=—","Direction=H","UseDPDF=Y")</f>
        <v>#NAME?</v>
      </c>
      <c r="H74" s="1059" t="e">
        <f ca="1">BDH("BMBL US Equity","ARDR_COMPREHENSIVE_INC_ATTRIB_MI","FY 2023","FY 2023","Currency=USD","Period=FY","BEST_FPERIOD_OVERRIDE=FY","FILING_STATUS=MR","SCALING_FORMAT=MLN","Sort=A","Dates=H","DateFormat=P","Fill=—","Direction=H","UseDPDF=Y")</f>
        <v>#NAME?</v>
      </c>
    </row>
    <row r="75" spans="1:8">
      <c r="A75" s="1058" t="s">
        <v>776</v>
      </c>
      <c r="B75" s="1058" t="s">
        <v>777</v>
      </c>
      <c r="C75" s="1059" t="e">
        <f ca="1">BDH("BMBL US Equity","ARDR_STOCK_BASED_CMPNSTN_IN_R&amp;D","FY 2018","FY 2018","Currency=USD","Period=FY","BEST_FPERIOD_OVERRIDE=FY","FILING_STATUS=MR","Sort=A","Dates=H","DateFormat=P","Fill=—","Direction=H","UseDPDF=Y")</f>
        <v>#NAME?</v>
      </c>
      <c r="D75" s="1059" t="e">
        <f ca="1">BDH("BMBL US Equity","ARDR_STOCK_BASED_CMPNSTN_IN_R&amp;D","FY 2019","FY 2019","Currency=USD","Period=FY","BEST_FPERIOD_OVERRIDE=FY","FILING_STATUS=MR","Sort=A","Dates=H","DateFormat=P","Fill=—","Direction=H","UseDPDF=Y")</f>
        <v>#NAME?</v>
      </c>
      <c r="E75" s="1059" t="e">
        <f ca="1">BDH("BMBL US Equity","ARDR_STOCK_BASED_CMPNSTN_IN_R&amp;D","FY 2020","FY 2020","Currency=USD","Period=FY","BEST_FPERIOD_OVERRIDE=FY","FILING_STATUS=MR","Sort=A","Dates=H","DateFormat=P","Fill=—","Direction=H","UseDPDF=Y")</f>
        <v>#NAME?</v>
      </c>
      <c r="F75" s="1059" t="e">
        <f ca="1">BDH("BMBL US Equity","ARDR_STOCK_BASED_CMPNSTN_IN_R&amp;D","FY 2021","FY 2021","Currency=USD","Period=FY","BEST_FPERIOD_OVERRIDE=FY","FILING_STATUS=MR","Sort=A","Dates=H","DateFormat=P","Fill=—","Direction=H","UseDPDF=Y")</f>
        <v>#NAME?</v>
      </c>
      <c r="G75" s="1059" t="e">
        <f ca="1">BDH("BMBL US Equity","ARDR_STOCK_BASED_CMPNSTN_IN_R&amp;D","FY 2022","FY 2022","Currency=USD","Period=FY","BEST_FPERIOD_OVERRIDE=FY","FILING_STATUS=MR","Sort=A","Dates=H","DateFormat=P","Fill=—","Direction=H","UseDPDF=Y")</f>
        <v>#NAME?</v>
      </c>
      <c r="H75" s="1059" t="e">
        <f ca="1">BDH("BMBL US Equity","ARDR_STOCK_BASED_CMPNSTN_IN_R&amp;D","FY 2023","FY 2023","Currency=USD","Period=FY","BEST_FPERIOD_OVERRIDE=FY","FILING_STATUS=MR","Sort=A","Dates=H","DateFormat=P","Fill=—","Direction=H","UseDPDF=Y")</f>
        <v>#NAME?</v>
      </c>
    </row>
    <row r="76" spans="1:8">
      <c r="A76" s="1058" t="s">
        <v>778</v>
      </c>
      <c r="B76" s="1058" t="s">
        <v>779</v>
      </c>
      <c r="C76" s="1059" t="e">
        <f ca="1">BDH("BMBL US Equity","ARDR_STOCK_BASED_CMPNSTN_IN_COGS","FY 2018","FY 2018","Currency=USD","Period=FY","BEST_FPERIOD_OVERRIDE=FY","FILING_STATUS=MR","Sort=A","Dates=H","DateFormat=P","Fill=—","Direction=H","UseDPDF=Y")</f>
        <v>#NAME?</v>
      </c>
      <c r="D76" s="1059" t="e">
        <f ca="1">BDH("BMBL US Equity","ARDR_STOCK_BASED_CMPNSTN_IN_COGS","FY 2019","FY 2019","Currency=USD","Period=FY","BEST_FPERIOD_OVERRIDE=FY","FILING_STATUS=MR","Sort=A","Dates=H","DateFormat=P","Fill=—","Direction=H","UseDPDF=Y")</f>
        <v>#NAME?</v>
      </c>
      <c r="E76" s="1059" t="e">
        <f ca="1">BDH("BMBL US Equity","ARDR_STOCK_BASED_CMPNSTN_IN_COGS","FY 2020","FY 2020","Currency=USD","Period=FY","BEST_FPERIOD_OVERRIDE=FY","FILING_STATUS=MR","Sort=A","Dates=H","DateFormat=P","Fill=—","Direction=H","UseDPDF=Y")</f>
        <v>#NAME?</v>
      </c>
      <c r="F76" s="1059" t="e">
        <f ca="1">BDH("BMBL US Equity","ARDR_STOCK_BASED_CMPNSTN_IN_COGS","FY 2021","FY 2021","Currency=USD","Period=FY","BEST_FPERIOD_OVERRIDE=FY","FILING_STATUS=MR","Sort=A","Dates=H","DateFormat=P","Fill=—","Direction=H","UseDPDF=Y")</f>
        <v>#NAME?</v>
      </c>
      <c r="G76" s="1059" t="e">
        <f ca="1">BDH("BMBL US Equity","ARDR_STOCK_BASED_CMPNSTN_IN_COGS","FY 2022","FY 2022","Currency=USD","Period=FY","BEST_FPERIOD_OVERRIDE=FY","FILING_STATUS=MR","Sort=A","Dates=H","DateFormat=P","Fill=—","Direction=H","UseDPDF=Y")</f>
        <v>#NAME?</v>
      </c>
      <c r="H76" s="1059" t="e">
        <f ca="1">BDH("BMBL US Equity","ARDR_STOCK_BASED_CMPNSTN_IN_COGS","FY 2023","FY 2023","Currency=USD","Period=FY","BEST_FPERIOD_OVERRIDE=FY","FILING_STATUS=MR","Sort=A","Dates=H","DateFormat=P","Fill=—","Direction=H","UseDPDF=Y")</f>
        <v>#NAME?</v>
      </c>
    </row>
    <row r="77" spans="1:8">
      <c r="A77" s="1058" t="s">
        <v>780</v>
      </c>
      <c r="B77" s="1058" t="s">
        <v>781</v>
      </c>
      <c r="C77" s="1059" t="e">
        <f ca="1">BDH("BMBL US Equity","ARDR_ITE_CURRENT_TAX_INTL","FY 2018","FY 2018","Currency=USD","Period=FY","BEST_FPERIOD_OVERRIDE=FY","FILING_STATUS=MR","SCALING_FORMAT=MLN","Sort=A","Dates=H","DateFormat=P","Fill=—","Direction=H","UseDPDF=Y")</f>
        <v>#NAME?</v>
      </c>
      <c r="D77" s="1059" t="e">
        <f ca="1">BDH("BMBL US Equity","ARDR_ITE_CURRENT_TAX_INTL","FY 2019","FY 2019","Currency=USD","Period=FY","BEST_FPERIOD_OVERRIDE=FY","FILING_STATUS=MR","SCALING_FORMAT=MLN","Sort=A","Dates=H","DateFormat=P","Fill=—","Direction=H","UseDPDF=Y")</f>
        <v>#NAME?</v>
      </c>
      <c r="E77" s="1059" t="e">
        <f ca="1">BDH("BMBL US Equity","ARDR_ITE_CURRENT_TAX_INTL","FY 2020","FY 2020","Currency=USD","Period=FY","BEST_FPERIOD_OVERRIDE=FY","FILING_STATUS=MR","SCALING_FORMAT=MLN","Sort=A","Dates=H","DateFormat=P","Fill=—","Direction=H","UseDPDF=Y")</f>
        <v>#NAME?</v>
      </c>
      <c r="F77" s="1059" t="e">
        <f ca="1">BDH("BMBL US Equity","ARDR_ITE_CURRENT_TAX_INTL","FY 2021","FY 2021","Currency=USD","Period=FY","BEST_FPERIOD_OVERRIDE=FY","FILING_STATUS=MR","SCALING_FORMAT=MLN","Sort=A","Dates=H","DateFormat=P","Fill=—","Direction=H","UseDPDF=Y")</f>
        <v>#NAME?</v>
      </c>
      <c r="G77" s="1059" t="e">
        <f ca="1">BDH("BMBL US Equity","ARDR_ITE_CURRENT_TAX_INTL","FY 2022","FY 2022","Currency=USD","Period=FY","BEST_FPERIOD_OVERRIDE=FY","FILING_STATUS=MR","SCALING_FORMAT=MLN","Sort=A","Dates=H","DateFormat=P","Fill=—","Direction=H","UseDPDF=Y")</f>
        <v>#NAME?</v>
      </c>
      <c r="H77" s="1059" t="e">
        <f ca="1">BDH("BMBL US Equity","ARDR_ITE_CURRENT_TAX_INTL","FY 2023","FY 2023","Currency=USD","Period=FY","BEST_FPERIOD_OVERRIDE=FY","FILING_STATUS=MR","SCALING_FORMAT=MLN","Sort=A","Dates=H","DateFormat=P","Fill=—","Direction=H","UseDPDF=Y")</f>
        <v>#NAME?</v>
      </c>
    </row>
    <row r="78" spans="1:8">
      <c r="A78" s="1058" t="s">
        <v>782</v>
      </c>
      <c r="B78" s="1058" t="s">
        <v>783</v>
      </c>
      <c r="C78" s="1059" t="e">
        <f ca="1">BDH("BMBL US Equity","ARDR_ITE_CURRENT_TAX_NATL","FY 2018","FY 2018","Currency=USD","Period=FY","BEST_FPERIOD_OVERRIDE=FY","FILING_STATUS=MR","SCALING_FORMAT=MLN","Sort=A","Dates=H","DateFormat=P","Fill=—","Direction=H","UseDPDF=Y")</f>
        <v>#NAME?</v>
      </c>
      <c r="D78" s="1059" t="e">
        <f ca="1">BDH("BMBL US Equity","ARDR_ITE_CURRENT_TAX_NATL","FY 2019","FY 2019","Currency=USD","Period=FY","BEST_FPERIOD_OVERRIDE=FY","FILING_STATUS=MR","SCALING_FORMAT=MLN","Sort=A","Dates=H","DateFormat=P","Fill=—","Direction=H","UseDPDF=Y")</f>
        <v>#NAME?</v>
      </c>
      <c r="E78" s="1059" t="e">
        <f ca="1">BDH("BMBL US Equity","ARDR_ITE_CURRENT_TAX_NATL","FY 2020","FY 2020","Currency=USD","Period=FY","BEST_FPERIOD_OVERRIDE=FY","FILING_STATUS=MR","SCALING_FORMAT=MLN","Sort=A","Dates=H","DateFormat=P","Fill=—","Direction=H","UseDPDF=Y")</f>
        <v>#NAME?</v>
      </c>
      <c r="F78" s="1059" t="e">
        <f ca="1">BDH("BMBL US Equity","ARDR_ITE_CURRENT_TAX_NATL","FY 2021","FY 2021","Currency=USD","Period=FY","BEST_FPERIOD_OVERRIDE=FY","FILING_STATUS=MR","SCALING_FORMAT=MLN","Sort=A","Dates=H","DateFormat=P","Fill=—","Direction=H","UseDPDF=Y")</f>
        <v>#NAME?</v>
      </c>
      <c r="G78" s="1059" t="e">
        <f ca="1">BDH("BMBL US Equity","ARDR_ITE_CURRENT_TAX_NATL","FY 2022","FY 2022","Currency=USD","Period=FY","BEST_FPERIOD_OVERRIDE=FY","FILING_STATUS=MR","SCALING_FORMAT=MLN","Sort=A","Dates=H","DateFormat=P","Fill=—","Direction=H","UseDPDF=Y")</f>
        <v>#NAME?</v>
      </c>
      <c r="H78" s="1059" t="e">
        <f ca="1">BDH("BMBL US Equity","ARDR_ITE_CURRENT_TAX_NATL","FY 2023","FY 2023","Currency=USD","Period=FY","BEST_FPERIOD_OVERRIDE=FY","FILING_STATUS=MR","SCALING_FORMAT=MLN","Sort=A","Dates=H","DateFormat=P","Fill=—","Direction=H","UseDPDF=Y")</f>
        <v>#NAME?</v>
      </c>
    </row>
    <row r="79" spans="1:8">
      <c r="A79" s="1058" t="s">
        <v>784</v>
      </c>
      <c r="B79" s="1058" t="s">
        <v>785</v>
      </c>
      <c r="C79" s="1059" t="e">
        <f ca="1">BDH("BMBL US Equity","ARDR_ITE_CURRENT_TAX_LCL","FY 2018","FY 2018","Currency=USD","Period=FY","BEST_FPERIOD_OVERRIDE=FY","FILING_STATUS=MR","SCALING_FORMAT=MLN","Sort=A","Dates=H","DateFormat=P","Fill=—","Direction=H","UseDPDF=Y")</f>
        <v>#NAME?</v>
      </c>
      <c r="D79" s="1059" t="e">
        <f ca="1">BDH("BMBL US Equity","ARDR_ITE_CURRENT_TAX_LCL","FY 2019","FY 2019","Currency=USD","Period=FY","BEST_FPERIOD_OVERRIDE=FY","FILING_STATUS=MR","SCALING_FORMAT=MLN","Sort=A","Dates=H","DateFormat=P","Fill=—","Direction=H","UseDPDF=Y")</f>
        <v>#NAME?</v>
      </c>
      <c r="E79" s="1059" t="e">
        <f ca="1">BDH("BMBL US Equity","ARDR_ITE_CURRENT_TAX_LCL","FY 2020","FY 2020","Currency=USD","Period=FY","BEST_FPERIOD_OVERRIDE=FY","FILING_STATUS=MR","SCALING_FORMAT=MLN","Sort=A","Dates=H","DateFormat=P","Fill=—","Direction=H","UseDPDF=Y")</f>
        <v>#NAME?</v>
      </c>
      <c r="F79" s="1059" t="e">
        <f ca="1">BDH("BMBL US Equity","ARDR_ITE_CURRENT_TAX_LCL","FY 2021","FY 2021","Currency=USD","Period=FY","BEST_FPERIOD_OVERRIDE=FY","FILING_STATUS=MR","SCALING_FORMAT=MLN","Sort=A","Dates=H","DateFormat=P","Fill=—","Direction=H","UseDPDF=Y")</f>
        <v>#NAME?</v>
      </c>
      <c r="G79" s="1059" t="e">
        <f ca="1">BDH("BMBL US Equity","ARDR_ITE_CURRENT_TAX_LCL","FY 2022","FY 2022","Currency=USD","Period=FY","BEST_FPERIOD_OVERRIDE=FY","FILING_STATUS=MR","SCALING_FORMAT=MLN","Sort=A","Dates=H","DateFormat=P","Fill=—","Direction=H","UseDPDF=Y")</f>
        <v>#NAME?</v>
      </c>
      <c r="H79" s="1059" t="e">
        <f ca="1">BDH("BMBL US Equity","ARDR_ITE_CURRENT_TAX_LCL","FY 2023","FY 2023","Currency=USD","Period=FY","BEST_FPERIOD_OVERRIDE=FY","FILING_STATUS=MR","SCALING_FORMAT=MLN","Sort=A","Dates=H","DateFormat=P","Fill=—","Direction=H","UseDPDF=Y")</f>
        <v>#NAME?</v>
      </c>
    </row>
    <row r="80" spans="1:8">
      <c r="A80" s="1058" t="s">
        <v>786</v>
      </c>
      <c r="B80" s="1058" t="s">
        <v>787</v>
      </c>
      <c r="C80" s="1059" t="e">
        <f ca="1">BDH("BMBL US Equity","ARDR_INC_DEFERRED_TAX_INTL","FY 2018","FY 2018","Currency=USD","Period=FY","BEST_FPERIOD_OVERRIDE=FY","FILING_STATUS=MR","SCALING_FORMAT=MLN","Sort=A","Dates=H","DateFormat=P","Fill=—","Direction=H","UseDPDF=Y")</f>
        <v>#NAME?</v>
      </c>
      <c r="D80" s="1059" t="e">
        <f ca="1">BDH("BMBL US Equity","ARDR_INC_DEFERRED_TAX_INTL","FY 2019","FY 2019","Currency=USD","Period=FY","BEST_FPERIOD_OVERRIDE=FY","FILING_STATUS=MR","SCALING_FORMAT=MLN","Sort=A","Dates=H","DateFormat=P","Fill=—","Direction=H","UseDPDF=Y")</f>
        <v>#NAME?</v>
      </c>
      <c r="E80" s="1059" t="e">
        <f ca="1">BDH("BMBL US Equity","ARDR_INC_DEFERRED_TAX_INTL","FY 2020","FY 2020","Currency=USD","Period=FY","BEST_FPERIOD_OVERRIDE=FY","FILING_STATUS=MR","SCALING_FORMAT=MLN","Sort=A","Dates=H","DateFormat=P","Fill=—","Direction=H","UseDPDF=Y")</f>
        <v>#NAME?</v>
      </c>
      <c r="F80" s="1059" t="e">
        <f ca="1">BDH("BMBL US Equity","ARDR_INC_DEFERRED_TAX_INTL","FY 2021","FY 2021","Currency=USD","Period=FY","BEST_FPERIOD_OVERRIDE=FY","FILING_STATUS=MR","SCALING_FORMAT=MLN","Sort=A","Dates=H","DateFormat=P","Fill=—","Direction=H","UseDPDF=Y")</f>
        <v>#NAME?</v>
      </c>
      <c r="G80" s="1059" t="e">
        <f ca="1">BDH("BMBL US Equity","ARDR_INC_DEFERRED_TAX_INTL","FY 2022","FY 2022","Currency=USD","Period=FY","BEST_FPERIOD_OVERRIDE=FY","FILING_STATUS=MR","SCALING_FORMAT=MLN","Sort=A","Dates=H","DateFormat=P","Fill=—","Direction=H","UseDPDF=Y")</f>
        <v>#NAME?</v>
      </c>
      <c r="H80" s="1059" t="e">
        <f ca="1">BDH("BMBL US Equity","ARDR_INC_DEFERRED_TAX_INTL","FY 2023","FY 2023","Currency=USD","Period=FY","BEST_FPERIOD_OVERRIDE=FY","FILING_STATUS=MR","SCALING_FORMAT=MLN","Sort=A","Dates=H","DateFormat=P","Fill=—","Direction=H","UseDPDF=Y")</f>
        <v>#NAME?</v>
      </c>
    </row>
    <row r="81" spans="1:8">
      <c r="A81" s="1058" t="s">
        <v>788</v>
      </c>
      <c r="B81" s="1058" t="s">
        <v>789</v>
      </c>
      <c r="C81" s="1059" t="e">
        <f ca="1">BDH("BMBL US Equity","ARDR_ITE_DEFERRED_TAX_NATL","FY 2018","FY 2018","Currency=USD","Period=FY","BEST_FPERIOD_OVERRIDE=FY","FILING_STATUS=MR","SCALING_FORMAT=MLN","Sort=A","Dates=H","DateFormat=P","Fill=—","Direction=H","UseDPDF=Y")</f>
        <v>#NAME?</v>
      </c>
      <c r="D81" s="1059" t="e">
        <f ca="1">BDH("BMBL US Equity","ARDR_ITE_DEFERRED_TAX_NATL","FY 2019","FY 2019","Currency=USD","Period=FY","BEST_FPERIOD_OVERRIDE=FY","FILING_STATUS=MR","SCALING_FORMAT=MLN","Sort=A","Dates=H","DateFormat=P","Fill=—","Direction=H","UseDPDF=Y")</f>
        <v>#NAME?</v>
      </c>
      <c r="E81" s="1059" t="e">
        <f ca="1">BDH("BMBL US Equity","ARDR_ITE_DEFERRED_TAX_NATL","FY 2020","FY 2020","Currency=USD","Period=FY","BEST_FPERIOD_OVERRIDE=FY","FILING_STATUS=MR","SCALING_FORMAT=MLN","Sort=A","Dates=H","DateFormat=P","Fill=—","Direction=H","UseDPDF=Y")</f>
        <v>#NAME?</v>
      </c>
      <c r="F81" s="1059" t="e">
        <f ca="1">BDH("BMBL US Equity","ARDR_ITE_DEFERRED_TAX_NATL","FY 2021","FY 2021","Currency=USD","Period=FY","BEST_FPERIOD_OVERRIDE=FY","FILING_STATUS=MR","SCALING_FORMAT=MLN","Sort=A","Dates=H","DateFormat=P","Fill=—","Direction=H","UseDPDF=Y")</f>
        <v>#NAME?</v>
      </c>
      <c r="G81" s="1059" t="e">
        <f ca="1">BDH("BMBL US Equity","ARDR_ITE_DEFERRED_TAX_NATL","FY 2022","FY 2022","Currency=USD","Period=FY","BEST_FPERIOD_OVERRIDE=FY","FILING_STATUS=MR","SCALING_FORMAT=MLN","Sort=A","Dates=H","DateFormat=P","Fill=—","Direction=H","UseDPDF=Y")</f>
        <v>#NAME?</v>
      </c>
      <c r="H81" s="1059" t="e">
        <f ca="1">BDH("BMBL US Equity","ARDR_ITE_DEFERRED_TAX_NATL","FY 2023","FY 2023","Currency=USD","Period=FY","BEST_FPERIOD_OVERRIDE=FY","FILING_STATUS=MR","SCALING_FORMAT=MLN","Sort=A","Dates=H","DateFormat=P","Fill=—","Direction=H","UseDPDF=Y")</f>
        <v>#NAME?</v>
      </c>
    </row>
    <row r="82" spans="1:8">
      <c r="A82" s="1058" t="s">
        <v>790</v>
      </c>
      <c r="B82" s="1058" t="s">
        <v>791</v>
      </c>
      <c r="C82" s="1059" t="e">
        <f ca="1">BDH("BMBL US Equity","ARDR_ITE_DEFERRED_TAX_LCL","FY 2018","FY 2018","Currency=USD","Period=FY","BEST_FPERIOD_OVERRIDE=FY","FILING_STATUS=MR","SCALING_FORMAT=MLN","Sort=A","Dates=H","DateFormat=P","Fill=—","Direction=H","UseDPDF=Y")</f>
        <v>#NAME?</v>
      </c>
      <c r="D82" s="1059" t="e">
        <f ca="1">BDH("BMBL US Equity","ARDR_ITE_DEFERRED_TAX_LCL","FY 2019","FY 2019","Currency=USD","Period=FY","BEST_FPERIOD_OVERRIDE=FY","FILING_STATUS=MR","SCALING_FORMAT=MLN","Sort=A","Dates=H","DateFormat=P","Fill=—","Direction=H","UseDPDF=Y")</f>
        <v>#NAME?</v>
      </c>
      <c r="E82" s="1059" t="e">
        <f ca="1">BDH("BMBL US Equity","ARDR_ITE_DEFERRED_TAX_LCL","FY 2020","FY 2020","Currency=USD","Period=FY","BEST_FPERIOD_OVERRIDE=FY","FILING_STATUS=MR","SCALING_FORMAT=MLN","Sort=A","Dates=H","DateFormat=P","Fill=—","Direction=H","UseDPDF=Y")</f>
        <v>#NAME?</v>
      </c>
      <c r="F82" s="1059" t="e">
        <f ca="1">BDH("BMBL US Equity","ARDR_ITE_DEFERRED_TAX_LCL","FY 2021","FY 2021","Currency=USD","Period=FY","BEST_FPERIOD_OVERRIDE=FY","FILING_STATUS=MR","SCALING_FORMAT=MLN","Sort=A","Dates=H","DateFormat=P","Fill=—","Direction=H","UseDPDF=Y")</f>
        <v>#NAME?</v>
      </c>
      <c r="G82" s="1059" t="e">
        <f ca="1">BDH("BMBL US Equity","ARDR_ITE_DEFERRED_TAX_LCL","FY 2022","FY 2022","Currency=USD","Period=FY","BEST_FPERIOD_OVERRIDE=FY","FILING_STATUS=MR","SCALING_FORMAT=MLN","Sort=A","Dates=H","DateFormat=P","Fill=—","Direction=H","UseDPDF=Y")</f>
        <v>#NAME?</v>
      </c>
      <c r="H82" s="1059" t="e">
        <f ca="1">BDH("BMBL US Equity","ARDR_ITE_DEFERRED_TAX_LCL","FY 2023","FY 2023","Currency=USD","Period=FY","BEST_FPERIOD_OVERRIDE=FY","FILING_STATUS=MR","SCALING_FORMAT=MLN","Sort=A","Dates=H","DateFormat=P","Fill=—","Direction=H","UseDPDF=Y")</f>
        <v>#NAME?</v>
      </c>
    </row>
    <row r="83" spans="1:8">
      <c r="A83" s="1058" t="s">
        <v>792</v>
      </c>
      <c r="B83" s="1058" t="s">
        <v>793</v>
      </c>
      <c r="C83" s="1059" t="e">
        <f ca="1">BDH("BMBL US Equity","ARDR_NON_GAAP_COST_OF_SALES","FY 2018","FY 2018","Currency=USD","Period=FY","BEST_FPERIOD_OVERRIDE=FY","FILING_STATUS=MR","SCALING_FORMAT=MLN","Sort=A","Dates=H","DateFormat=P","Fill=—","Direction=H","UseDPDF=Y")</f>
        <v>#NAME?</v>
      </c>
      <c r="D83" s="1059" t="e">
        <f ca="1">BDH("BMBL US Equity","ARDR_NON_GAAP_COST_OF_SALES","FY 2019","FY 2019","Currency=USD","Period=FY","BEST_FPERIOD_OVERRIDE=FY","FILING_STATUS=MR","SCALING_FORMAT=MLN","Sort=A","Dates=H","DateFormat=P","Fill=—","Direction=H","UseDPDF=Y")</f>
        <v>#NAME?</v>
      </c>
      <c r="E83" s="1059" t="e">
        <f ca="1">BDH("BMBL US Equity","ARDR_NON_GAAP_COST_OF_SALES","FY 2020","FY 2020","Currency=USD","Period=FY","BEST_FPERIOD_OVERRIDE=FY","FILING_STATUS=MR","SCALING_FORMAT=MLN","Sort=A","Dates=H","DateFormat=P","Fill=—","Direction=H","UseDPDF=Y")</f>
        <v>#NAME?</v>
      </c>
      <c r="F83" s="1059" t="e">
        <f ca="1">BDH("BMBL US Equity","ARDR_NON_GAAP_COST_OF_SALES","FY 2021","FY 2021","Currency=USD","Period=FY","BEST_FPERIOD_OVERRIDE=FY","FILING_STATUS=MR","SCALING_FORMAT=MLN","Sort=A","Dates=H","DateFormat=P","Fill=—","Direction=H","UseDPDF=Y")</f>
        <v>#NAME?</v>
      </c>
      <c r="G83" s="1059" t="e">
        <f ca="1">BDH("BMBL US Equity","ARDR_NON_GAAP_COST_OF_SALES","FY 2022","FY 2022","Currency=USD","Period=FY","BEST_FPERIOD_OVERRIDE=FY","FILING_STATUS=MR","SCALING_FORMAT=MLN","Sort=A","Dates=H","DateFormat=P","Fill=—","Direction=H","UseDPDF=Y")</f>
        <v>#NAME?</v>
      </c>
      <c r="H83" s="1059" t="e">
        <f ca="1">BDH("BMBL US Equity","ARDR_NON_GAAP_COST_OF_SALES","FY 2023","FY 2023","Currency=USD","Period=FY","BEST_FPERIOD_OVERRIDE=FY","FILING_STATUS=MR","SCALING_FORMAT=MLN","Sort=A","Dates=H","DateFormat=P","Fill=—","Direction=H","UseDPDF=Y")</f>
        <v>#NAME?</v>
      </c>
    </row>
    <row r="84" spans="1:8">
      <c r="A84" s="1058" t="s">
        <v>794</v>
      </c>
      <c r="B84" s="1058" t="s">
        <v>795</v>
      </c>
      <c r="C84" s="1059" t="e">
        <f ca="1">BDH("BMBL US Equity","ARDR_NON_GAAP_S&amp;M","FY 2018","FY 2018","Currency=USD","Period=FY","BEST_FPERIOD_OVERRIDE=FY","FILING_STATUS=MR","SCALING_FORMAT=MLN","Sort=A","Dates=H","DateFormat=P","Fill=—","Direction=H","UseDPDF=Y")</f>
        <v>#NAME?</v>
      </c>
      <c r="D84" s="1059" t="e">
        <f ca="1">BDH("BMBL US Equity","ARDR_NON_GAAP_S&amp;M","FY 2019","FY 2019","Currency=USD","Period=FY","BEST_FPERIOD_OVERRIDE=FY","FILING_STATUS=MR","SCALING_FORMAT=MLN","Sort=A","Dates=H","DateFormat=P","Fill=—","Direction=H","UseDPDF=Y")</f>
        <v>#NAME?</v>
      </c>
      <c r="E84" s="1059" t="e">
        <f ca="1">BDH("BMBL US Equity","ARDR_NON_GAAP_S&amp;M","FY 2020","FY 2020","Currency=USD","Period=FY","BEST_FPERIOD_OVERRIDE=FY","FILING_STATUS=MR","SCALING_FORMAT=MLN","Sort=A","Dates=H","DateFormat=P","Fill=—","Direction=H","UseDPDF=Y")</f>
        <v>#NAME?</v>
      </c>
      <c r="F84" s="1059" t="e">
        <f ca="1">BDH("BMBL US Equity","ARDR_NON_GAAP_S&amp;M","FY 2021","FY 2021","Currency=USD","Period=FY","BEST_FPERIOD_OVERRIDE=FY","FILING_STATUS=MR","SCALING_FORMAT=MLN","Sort=A","Dates=H","DateFormat=P","Fill=—","Direction=H","UseDPDF=Y")</f>
        <v>#NAME?</v>
      </c>
      <c r="G84" s="1059" t="e">
        <f ca="1">BDH("BMBL US Equity","ARDR_NON_GAAP_S&amp;M","FY 2022","FY 2022","Currency=USD","Period=FY","BEST_FPERIOD_OVERRIDE=FY","FILING_STATUS=MR","SCALING_FORMAT=MLN","Sort=A","Dates=H","DateFormat=P","Fill=—","Direction=H","UseDPDF=Y")</f>
        <v>#NAME?</v>
      </c>
      <c r="H84" s="1059" t="e">
        <f ca="1">BDH("BMBL US Equity","ARDR_NON_GAAP_S&amp;M","FY 2023","FY 2023","Currency=USD","Period=FY","BEST_FPERIOD_OVERRIDE=FY","FILING_STATUS=MR","SCALING_FORMAT=MLN","Sort=A","Dates=H","DateFormat=P","Fill=—","Direction=H","UseDPDF=Y")</f>
        <v>#NAME?</v>
      </c>
    </row>
    <row r="85" spans="1:8">
      <c r="A85" s="1058" t="s">
        <v>796</v>
      </c>
      <c r="B85" s="1058" t="s">
        <v>797</v>
      </c>
      <c r="C85" s="1059" t="e">
        <f ca="1">BDH("BMBL US Equity","ARDR_NON_GAAP_G&amp;A","FY 2018","FY 2018","Currency=USD","Period=FY","BEST_FPERIOD_OVERRIDE=FY","FILING_STATUS=MR","SCALING_FORMAT=MLN","Sort=A","Dates=H","DateFormat=P","Fill=—","Direction=H","UseDPDF=Y")</f>
        <v>#NAME?</v>
      </c>
      <c r="D85" s="1059" t="e">
        <f ca="1">BDH("BMBL US Equity","ARDR_NON_GAAP_G&amp;A","FY 2019","FY 2019","Currency=USD","Period=FY","BEST_FPERIOD_OVERRIDE=FY","FILING_STATUS=MR","SCALING_FORMAT=MLN","Sort=A","Dates=H","DateFormat=P","Fill=—","Direction=H","UseDPDF=Y")</f>
        <v>#NAME?</v>
      </c>
      <c r="E85" s="1059" t="e">
        <f ca="1">BDH("BMBL US Equity","ARDR_NON_GAAP_G&amp;A","FY 2020","FY 2020","Currency=USD","Period=FY","BEST_FPERIOD_OVERRIDE=FY","FILING_STATUS=MR","SCALING_FORMAT=MLN","Sort=A","Dates=H","DateFormat=P","Fill=—","Direction=H","UseDPDF=Y")</f>
        <v>#NAME?</v>
      </c>
      <c r="F85" s="1059" t="e">
        <f ca="1">BDH("BMBL US Equity","ARDR_NON_GAAP_G&amp;A","FY 2021","FY 2021","Currency=USD","Period=FY","BEST_FPERIOD_OVERRIDE=FY","FILING_STATUS=MR","SCALING_FORMAT=MLN","Sort=A","Dates=H","DateFormat=P","Fill=—","Direction=H","UseDPDF=Y")</f>
        <v>#NAME?</v>
      </c>
      <c r="G85" s="1059" t="e">
        <f ca="1">BDH("BMBL US Equity","ARDR_NON_GAAP_G&amp;A","FY 2022","FY 2022","Currency=USD","Period=FY","BEST_FPERIOD_OVERRIDE=FY","FILING_STATUS=MR","SCALING_FORMAT=MLN","Sort=A","Dates=H","DateFormat=P","Fill=—","Direction=H","UseDPDF=Y")</f>
        <v>#NAME?</v>
      </c>
      <c r="H85" s="1059" t="e">
        <f ca="1">BDH("BMBL US Equity","ARDR_NON_GAAP_G&amp;A","FY 2023","FY 2023","Currency=USD","Period=FY","BEST_FPERIOD_OVERRIDE=FY","FILING_STATUS=MR","SCALING_FORMAT=MLN","Sort=A","Dates=H","DateFormat=P","Fill=—","Direction=H","UseDPDF=Y")</f>
        <v>#NAME?</v>
      </c>
    </row>
    <row r="86" spans="1:8">
      <c r="A86" s="1058" t="s">
        <v>798</v>
      </c>
      <c r="B86" s="1058" t="s">
        <v>799</v>
      </c>
      <c r="C86" s="1059" t="e">
        <f ca="1">BDH("BMBL US Equity","ARDR_NON_GAAP_R&amp;D","FY 2018","FY 2018","Currency=USD","Period=FY","BEST_FPERIOD_OVERRIDE=FY","FILING_STATUS=MR","SCALING_FORMAT=MLN","Sort=A","Dates=H","DateFormat=P","Fill=—","Direction=H","UseDPDF=Y")</f>
        <v>#NAME?</v>
      </c>
      <c r="D86" s="1059" t="e">
        <f ca="1">BDH("BMBL US Equity","ARDR_NON_GAAP_R&amp;D","FY 2019","FY 2019","Currency=USD","Period=FY","BEST_FPERIOD_OVERRIDE=FY","FILING_STATUS=MR","SCALING_FORMAT=MLN","Sort=A","Dates=H","DateFormat=P","Fill=—","Direction=H","UseDPDF=Y")</f>
        <v>#NAME?</v>
      </c>
      <c r="E86" s="1059" t="e">
        <f ca="1">BDH("BMBL US Equity","ARDR_NON_GAAP_R&amp;D","FY 2020","FY 2020","Currency=USD","Period=FY","BEST_FPERIOD_OVERRIDE=FY","FILING_STATUS=MR","SCALING_FORMAT=MLN","Sort=A","Dates=H","DateFormat=P","Fill=—","Direction=H","UseDPDF=Y")</f>
        <v>#NAME?</v>
      </c>
      <c r="F86" s="1059" t="e">
        <f ca="1">BDH("BMBL US Equity","ARDR_NON_GAAP_R&amp;D","FY 2021","FY 2021","Currency=USD","Period=FY","BEST_FPERIOD_OVERRIDE=FY","FILING_STATUS=MR","SCALING_FORMAT=MLN","Sort=A","Dates=H","DateFormat=P","Fill=—","Direction=H","UseDPDF=Y")</f>
        <v>#NAME?</v>
      </c>
      <c r="G86" s="1059" t="e">
        <f ca="1">BDH("BMBL US Equity","ARDR_NON_GAAP_R&amp;D","FY 2022","FY 2022","Currency=USD","Period=FY","BEST_FPERIOD_OVERRIDE=FY","FILING_STATUS=MR","SCALING_FORMAT=MLN","Sort=A","Dates=H","DateFormat=P","Fill=—","Direction=H","UseDPDF=Y")</f>
        <v>#NAME?</v>
      </c>
      <c r="H86" s="1059" t="e">
        <f ca="1">BDH("BMBL US Equity","ARDR_NON_GAAP_R&amp;D","FY 2023","FY 2023","Currency=USD","Period=FY","BEST_FPERIOD_OVERRIDE=FY","FILING_STATUS=MR","SCALING_FORMAT=MLN","Sort=A","Dates=H","DateFormat=P","Fill=—","Direction=H","UseDPDF=Y")</f>
        <v>#NAME?</v>
      </c>
    </row>
    <row r="87" spans="1:8">
      <c r="A87" s="1058" t="s">
        <v>800</v>
      </c>
      <c r="B87" s="1058" t="s">
        <v>801</v>
      </c>
      <c r="C87" s="1059" t="e">
        <f ca="1">BDH("BMBL US Equity","ARDR_NON_GAAP_OPERATING_EXPENSES","FY 2018","FY 2018","Currency=USD","Period=FY","BEST_FPERIOD_OVERRIDE=FY","FILING_STATUS=MR","SCALING_FORMAT=MLN","Sort=A","Dates=H","DateFormat=P","Fill=—","Direction=H","UseDPDF=Y")</f>
        <v>#NAME?</v>
      </c>
      <c r="D87" s="1059" t="e">
        <f ca="1">BDH("BMBL US Equity","ARDR_NON_GAAP_OPERATING_EXPENSES","FY 2019","FY 2019","Currency=USD","Period=FY","BEST_FPERIOD_OVERRIDE=FY","FILING_STATUS=MR","SCALING_FORMAT=MLN","Sort=A","Dates=H","DateFormat=P","Fill=—","Direction=H","UseDPDF=Y")</f>
        <v>#NAME?</v>
      </c>
      <c r="E87" s="1059" t="e">
        <f ca="1">BDH("BMBL US Equity","ARDR_NON_GAAP_OPERATING_EXPENSES","FY 2020","FY 2020","Currency=USD","Period=FY","BEST_FPERIOD_OVERRIDE=FY","FILING_STATUS=MR","SCALING_FORMAT=MLN","Sort=A","Dates=H","DateFormat=P","Fill=—","Direction=H","UseDPDF=Y")</f>
        <v>#NAME?</v>
      </c>
      <c r="F87" s="1059" t="e">
        <f ca="1">BDH("BMBL US Equity","ARDR_NON_GAAP_OPERATING_EXPENSES","FY 2021","FY 2021","Currency=USD","Period=FY","BEST_FPERIOD_OVERRIDE=FY","FILING_STATUS=MR","SCALING_FORMAT=MLN","Sort=A","Dates=H","DateFormat=P","Fill=—","Direction=H","UseDPDF=Y")</f>
        <v>#NAME?</v>
      </c>
      <c r="G87" s="1059" t="e">
        <f ca="1">BDH("BMBL US Equity","ARDR_NON_GAAP_OPERATING_EXPENSES","FY 2022","FY 2022","Currency=USD","Period=FY","BEST_FPERIOD_OVERRIDE=FY","FILING_STATUS=MR","SCALING_FORMAT=MLN","Sort=A","Dates=H","DateFormat=P","Fill=—","Direction=H","UseDPDF=Y")</f>
        <v>#NAME?</v>
      </c>
      <c r="H87" s="1059" t="e">
        <f ca="1">BDH("BMBL US Equity","ARDR_NON_GAAP_OPERATING_EXPENSES","FY 2023","FY 2023","Currency=USD","Period=FY","BEST_FPERIOD_OVERRIDE=FY","FILING_STATUS=MR","SCALING_FORMAT=MLN","Sort=A","Dates=H","DateFormat=P","Fill=—","Direction=H","UseDPDF=Y")</f>
        <v>#NAME?</v>
      </c>
    </row>
    <row r="88" spans="1:8">
      <c r="A88" s="1058" t="s">
        <v>802</v>
      </c>
      <c r="B88" s="1058" t="s">
        <v>803</v>
      </c>
      <c r="C88" s="1059" t="e">
        <f ca="1">BDH("BMBL US Equity","ARDR_ACQ_REL_CHRGS_NON_GAAP_G&amp;A","FY 2018","FY 2018","Currency=USD","Period=FY","BEST_FPERIOD_OVERRIDE=FY","FILING_STATUS=MR","SCALING_FORMAT=MLN","Sort=A","Dates=H","DateFormat=P","Fill=—","Direction=H","UseDPDF=Y")</f>
        <v>#NAME?</v>
      </c>
      <c r="D88" s="1059" t="e">
        <f ca="1">BDH("BMBL US Equity","ARDR_ACQ_REL_CHRGS_NON_GAAP_G&amp;A","FY 2019","FY 2019","Currency=USD","Period=FY","BEST_FPERIOD_OVERRIDE=FY","FILING_STATUS=MR","SCALING_FORMAT=MLN","Sort=A","Dates=H","DateFormat=P","Fill=—","Direction=H","UseDPDF=Y")</f>
        <v>#NAME?</v>
      </c>
      <c r="E88" s="1059" t="e">
        <f ca="1">BDH("BMBL US Equity","ARDR_ACQ_REL_CHRGS_NON_GAAP_G&amp;A","FY 2020","FY 2020","Currency=USD","Period=FY","BEST_FPERIOD_OVERRIDE=FY","FILING_STATUS=MR","SCALING_FORMAT=MLN","Sort=A","Dates=H","DateFormat=P","Fill=—","Direction=H","UseDPDF=Y")</f>
        <v>#NAME?</v>
      </c>
      <c r="F88" s="1059" t="e">
        <f ca="1">BDH("BMBL US Equity","ARDR_ACQ_REL_CHRGS_NON_GAAP_G&amp;A","FY 2021","FY 2021","Currency=USD","Period=FY","BEST_FPERIOD_OVERRIDE=FY","FILING_STATUS=MR","SCALING_FORMAT=MLN","Sort=A","Dates=H","DateFormat=P","Fill=—","Direction=H","UseDPDF=Y")</f>
        <v>#NAME?</v>
      </c>
      <c r="G88" s="1059" t="e">
        <f ca="1">BDH("BMBL US Equity","ARDR_ACQ_REL_CHRGS_NON_GAAP_G&amp;A","FY 2022","FY 2022","Currency=USD","Period=FY","BEST_FPERIOD_OVERRIDE=FY","FILING_STATUS=MR","SCALING_FORMAT=MLN","Sort=A","Dates=H","DateFormat=P","Fill=—","Direction=H","UseDPDF=Y")</f>
        <v>#NAME?</v>
      </c>
      <c r="H88" s="1059" t="e">
        <f ca="1">BDH("BMBL US Equity","ARDR_ACQ_REL_CHRGS_NON_GAAP_G&amp;A","FY 2023","FY 2023","Currency=USD","Period=FY","BEST_FPERIOD_OVERRIDE=FY","FILING_STATUS=MR","SCALING_FORMAT=MLN","Sort=A","Dates=H","DateFormat=P","Fill=—","Direction=H","UseDPDF=Y")</f>
        <v>#NAME?</v>
      </c>
    </row>
    <row r="89" spans="1:8">
      <c r="A89" s="1058" t="s">
        <v>804</v>
      </c>
      <c r="B89" s="1058" t="s">
        <v>805</v>
      </c>
      <c r="C89" s="1059" t="e">
        <f ca="1">BDH("BMBL US Equity","ARDR_SBC_NON_GAAP_COGS","FY 2018","FY 2018","Currency=USD","Period=FY","BEST_FPERIOD_OVERRIDE=FY","FILING_STATUS=MR","SCALING_FORMAT=MLN","Sort=A","Dates=H","DateFormat=P","Fill=—","Direction=H","UseDPDF=Y")</f>
        <v>#NAME?</v>
      </c>
      <c r="D89" s="1059" t="e">
        <f ca="1">BDH("BMBL US Equity","ARDR_SBC_NON_GAAP_COGS","FY 2019","FY 2019","Currency=USD","Period=FY","BEST_FPERIOD_OVERRIDE=FY","FILING_STATUS=MR","SCALING_FORMAT=MLN","Sort=A","Dates=H","DateFormat=P","Fill=—","Direction=H","UseDPDF=Y")</f>
        <v>#NAME?</v>
      </c>
      <c r="E89" s="1059" t="e">
        <f ca="1">BDH("BMBL US Equity","ARDR_SBC_NON_GAAP_COGS","FY 2020","FY 2020","Currency=USD","Period=FY","BEST_FPERIOD_OVERRIDE=FY","FILING_STATUS=MR","SCALING_FORMAT=MLN","Sort=A","Dates=H","DateFormat=P","Fill=—","Direction=H","UseDPDF=Y")</f>
        <v>#NAME?</v>
      </c>
      <c r="F89" s="1059" t="e">
        <f ca="1">BDH("BMBL US Equity","ARDR_SBC_NON_GAAP_COGS","FY 2021","FY 2021","Currency=USD","Period=FY","BEST_FPERIOD_OVERRIDE=FY","FILING_STATUS=MR","SCALING_FORMAT=MLN","Sort=A","Dates=H","DateFormat=P","Fill=—","Direction=H","UseDPDF=Y")</f>
        <v>#NAME?</v>
      </c>
      <c r="G89" s="1059" t="e">
        <f ca="1">BDH("BMBL US Equity","ARDR_SBC_NON_GAAP_COGS","FY 2022","FY 2022","Currency=USD","Period=FY","BEST_FPERIOD_OVERRIDE=FY","FILING_STATUS=MR","SCALING_FORMAT=MLN","Sort=A","Dates=H","DateFormat=P","Fill=—","Direction=H","UseDPDF=Y")</f>
        <v>#NAME?</v>
      </c>
      <c r="H89" s="1059" t="e">
        <f ca="1">BDH("BMBL US Equity","ARDR_SBC_NON_GAAP_COGS","FY 2023","FY 2023","Currency=USD","Period=FY","BEST_FPERIOD_OVERRIDE=FY","FILING_STATUS=MR","SCALING_FORMAT=MLN","Sort=A","Dates=H","DateFormat=P","Fill=—","Direction=H","UseDPDF=Y")</f>
        <v>#NAME?</v>
      </c>
    </row>
    <row r="90" spans="1:8">
      <c r="A90" s="1058" t="s">
        <v>806</v>
      </c>
      <c r="B90" s="1058" t="s">
        <v>807</v>
      </c>
      <c r="C90" s="1059" t="e">
        <f ca="1">BDH("BMBL US Equity","ARDR_SBC_NON_GAAP_SG&amp;A","FY 2018","FY 2018","Currency=USD","Period=FY","BEST_FPERIOD_OVERRIDE=FY","FILING_STATUS=MR","SCALING_FORMAT=MLN","Sort=A","Dates=H","DateFormat=P","Fill=—","Direction=H","UseDPDF=Y")</f>
        <v>#NAME?</v>
      </c>
      <c r="D90" s="1059" t="e">
        <f ca="1">BDH("BMBL US Equity","ARDR_SBC_NON_GAAP_SG&amp;A","FY 2019","FY 2019","Currency=USD","Period=FY","BEST_FPERIOD_OVERRIDE=FY","FILING_STATUS=MR","SCALING_FORMAT=MLN","Sort=A","Dates=H","DateFormat=P","Fill=—","Direction=H","UseDPDF=Y")</f>
        <v>#NAME?</v>
      </c>
      <c r="E90" s="1059" t="e">
        <f ca="1">BDH("BMBL US Equity","ARDR_SBC_NON_GAAP_SG&amp;A","FY 2020","FY 2020","Currency=USD","Period=FY","BEST_FPERIOD_OVERRIDE=FY","FILING_STATUS=MR","SCALING_FORMAT=MLN","Sort=A","Dates=H","DateFormat=P","Fill=—","Direction=H","UseDPDF=Y")</f>
        <v>#NAME?</v>
      </c>
      <c r="F90" s="1059" t="e">
        <f ca="1">BDH("BMBL US Equity","ARDR_SBC_NON_GAAP_SG&amp;A","FY 2021","FY 2021","Currency=USD","Period=FY","BEST_FPERIOD_OVERRIDE=FY","FILING_STATUS=MR","SCALING_FORMAT=MLN","Sort=A","Dates=H","DateFormat=P","Fill=—","Direction=H","UseDPDF=Y")</f>
        <v>#NAME?</v>
      </c>
      <c r="G90" s="1059" t="e">
        <f ca="1">BDH("BMBL US Equity","ARDR_SBC_NON_GAAP_SG&amp;A","FY 2022","FY 2022","Currency=USD","Period=FY","BEST_FPERIOD_OVERRIDE=FY","FILING_STATUS=MR","SCALING_FORMAT=MLN","Sort=A","Dates=H","DateFormat=P","Fill=—","Direction=H","UseDPDF=Y")</f>
        <v>#NAME?</v>
      </c>
      <c r="H90" s="1059" t="e">
        <f ca="1">BDH("BMBL US Equity","ARDR_SBC_NON_GAAP_SG&amp;A","FY 2023","FY 2023","Currency=USD","Period=FY","BEST_FPERIOD_OVERRIDE=FY","FILING_STATUS=MR","SCALING_FORMAT=MLN","Sort=A","Dates=H","DateFormat=P","Fill=—","Direction=H","UseDPDF=Y")</f>
        <v>#NAME?</v>
      </c>
    </row>
    <row r="91" spans="1:8">
      <c r="A91" s="1058" t="s">
        <v>808</v>
      </c>
      <c r="B91" s="1058" t="s">
        <v>809</v>
      </c>
      <c r="C91" s="1059" t="e">
        <f ca="1">BDH("BMBL US Equity","ARDR_SBC_NON_GAAP_G&amp;A","FY 2018","FY 2018","Currency=USD","Period=FY","BEST_FPERIOD_OVERRIDE=FY","FILING_STATUS=MR","SCALING_FORMAT=MLN","Sort=A","Dates=H","DateFormat=P","Fill=—","Direction=H","UseDPDF=Y")</f>
        <v>#NAME?</v>
      </c>
      <c r="D91" s="1059" t="e">
        <f ca="1">BDH("BMBL US Equity","ARDR_SBC_NON_GAAP_G&amp;A","FY 2019","FY 2019","Currency=USD","Period=FY","BEST_FPERIOD_OVERRIDE=FY","FILING_STATUS=MR","SCALING_FORMAT=MLN","Sort=A","Dates=H","DateFormat=P","Fill=—","Direction=H","UseDPDF=Y")</f>
        <v>#NAME?</v>
      </c>
      <c r="E91" s="1059" t="e">
        <f ca="1">BDH("BMBL US Equity","ARDR_SBC_NON_GAAP_G&amp;A","FY 2020","FY 2020","Currency=USD","Period=FY","BEST_FPERIOD_OVERRIDE=FY","FILING_STATUS=MR","SCALING_FORMAT=MLN","Sort=A","Dates=H","DateFormat=P","Fill=—","Direction=H","UseDPDF=Y")</f>
        <v>#NAME?</v>
      </c>
      <c r="F91" s="1059" t="e">
        <f ca="1">BDH("BMBL US Equity","ARDR_SBC_NON_GAAP_G&amp;A","FY 2021","FY 2021","Currency=USD","Period=FY","BEST_FPERIOD_OVERRIDE=FY","FILING_STATUS=MR","SCALING_FORMAT=MLN","Sort=A","Dates=H","DateFormat=P","Fill=—","Direction=H","UseDPDF=Y")</f>
        <v>#NAME?</v>
      </c>
      <c r="G91" s="1059" t="e">
        <f ca="1">BDH("BMBL US Equity","ARDR_SBC_NON_GAAP_G&amp;A","FY 2022","FY 2022","Currency=USD","Period=FY","BEST_FPERIOD_OVERRIDE=FY","FILING_STATUS=MR","SCALING_FORMAT=MLN","Sort=A","Dates=H","DateFormat=P","Fill=—","Direction=H","UseDPDF=Y")</f>
        <v>#NAME?</v>
      </c>
      <c r="H91" s="1059" t="e">
        <f ca="1">BDH("BMBL US Equity","ARDR_SBC_NON_GAAP_G&amp;A","FY 2023","FY 2023","Currency=USD","Period=FY","BEST_FPERIOD_OVERRIDE=FY","FILING_STATUS=MR","SCALING_FORMAT=MLN","Sort=A","Dates=H","DateFormat=P","Fill=—","Direction=H","UseDPDF=Y")</f>
        <v>#NAME?</v>
      </c>
    </row>
    <row r="92" spans="1:8">
      <c r="A92" s="1058" t="s">
        <v>810</v>
      </c>
      <c r="B92" s="1058" t="s">
        <v>811</v>
      </c>
      <c r="C92" s="1059" t="e">
        <f ca="1">BDH("BMBL US Equity","ARDR_SBC_NON_GAAP_R&amp;D","FY 2018","FY 2018","Currency=USD","Period=FY","BEST_FPERIOD_OVERRIDE=FY","FILING_STATUS=MR","SCALING_FORMAT=MLN","Sort=A","Dates=H","DateFormat=P","Fill=—","Direction=H","UseDPDF=Y")</f>
        <v>#NAME?</v>
      </c>
      <c r="D92" s="1059" t="e">
        <f ca="1">BDH("BMBL US Equity","ARDR_SBC_NON_GAAP_R&amp;D","FY 2019","FY 2019","Currency=USD","Period=FY","BEST_FPERIOD_OVERRIDE=FY","FILING_STATUS=MR","SCALING_FORMAT=MLN","Sort=A","Dates=H","DateFormat=P","Fill=—","Direction=H","UseDPDF=Y")</f>
        <v>#NAME?</v>
      </c>
      <c r="E92" s="1059" t="e">
        <f ca="1">BDH("BMBL US Equity","ARDR_SBC_NON_GAAP_R&amp;D","FY 2020","FY 2020","Currency=USD","Period=FY","BEST_FPERIOD_OVERRIDE=FY","FILING_STATUS=MR","SCALING_FORMAT=MLN","Sort=A","Dates=H","DateFormat=P","Fill=—","Direction=H","UseDPDF=Y")</f>
        <v>#NAME?</v>
      </c>
      <c r="F92" s="1059" t="e">
        <f ca="1">BDH("BMBL US Equity","ARDR_SBC_NON_GAAP_R&amp;D","FY 2021","FY 2021","Currency=USD","Period=FY","BEST_FPERIOD_OVERRIDE=FY","FILING_STATUS=MR","SCALING_FORMAT=MLN","Sort=A","Dates=H","DateFormat=P","Fill=—","Direction=H","UseDPDF=Y")</f>
        <v>#NAME?</v>
      </c>
      <c r="G92" s="1059" t="e">
        <f ca="1">BDH("BMBL US Equity","ARDR_SBC_NON_GAAP_R&amp;D","FY 2022","FY 2022","Currency=USD","Period=FY","BEST_FPERIOD_OVERRIDE=FY","FILING_STATUS=MR","SCALING_FORMAT=MLN","Sort=A","Dates=H","DateFormat=P","Fill=—","Direction=H","UseDPDF=Y")</f>
        <v>#NAME?</v>
      </c>
      <c r="H92" s="1059" t="e">
        <f ca="1">BDH("BMBL US Equity","ARDR_SBC_NON_GAAP_R&amp;D","FY 2023","FY 2023","Currency=USD","Period=FY","BEST_FPERIOD_OVERRIDE=FY","FILING_STATUS=MR","SCALING_FORMAT=MLN","Sort=A","Dates=H","DateFormat=P","Fill=—","Direction=H","UseDPDF=Y")</f>
        <v>#NAME?</v>
      </c>
    </row>
    <row r="93" spans="1:8">
      <c r="A93" s="1058" t="s">
        <v>812</v>
      </c>
      <c r="B93" s="1058" t="s">
        <v>813</v>
      </c>
      <c r="C93" s="1059" t="e">
        <f ca="1">BDH("BMBL US Equity","ARDR_OTH_ADJ_NON_GAAP_COGS","FY 2018","FY 2018","Currency=USD","Period=FY","BEST_FPERIOD_OVERRIDE=FY","FILING_STATUS=MR","SCALING_FORMAT=MLN","Sort=A","Dates=H","DateFormat=P","Fill=—","Direction=H","UseDPDF=Y")</f>
        <v>#NAME?</v>
      </c>
      <c r="D93" s="1059" t="e">
        <f ca="1">BDH("BMBL US Equity","ARDR_OTH_ADJ_NON_GAAP_COGS","FY 2019","FY 2019","Currency=USD","Period=FY","BEST_FPERIOD_OVERRIDE=FY","FILING_STATUS=MR","SCALING_FORMAT=MLN","Sort=A","Dates=H","DateFormat=P","Fill=—","Direction=H","UseDPDF=Y")</f>
        <v>#NAME?</v>
      </c>
      <c r="E93" s="1059" t="e">
        <f ca="1">BDH("BMBL US Equity","ARDR_OTH_ADJ_NON_GAAP_COGS","FY 2020","FY 2020","Currency=USD","Period=FY","BEST_FPERIOD_OVERRIDE=FY","FILING_STATUS=MR","SCALING_FORMAT=MLN","Sort=A","Dates=H","DateFormat=P","Fill=—","Direction=H","UseDPDF=Y")</f>
        <v>#NAME?</v>
      </c>
      <c r="F93" s="1059" t="e">
        <f ca="1">BDH("BMBL US Equity","ARDR_OTH_ADJ_NON_GAAP_COGS","FY 2021","FY 2021","Currency=USD","Period=FY","BEST_FPERIOD_OVERRIDE=FY","FILING_STATUS=MR","SCALING_FORMAT=MLN","Sort=A","Dates=H","DateFormat=P","Fill=—","Direction=H","UseDPDF=Y")</f>
        <v>#NAME?</v>
      </c>
      <c r="G93" s="1059" t="e">
        <f ca="1">BDH("BMBL US Equity","ARDR_OTH_ADJ_NON_GAAP_COGS","FY 2022","FY 2022","Currency=USD","Period=FY","BEST_FPERIOD_OVERRIDE=FY","FILING_STATUS=MR","SCALING_FORMAT=MLN","Sort=A","Dates=H","DateFormat=P","Fill=—","Direction=H","UseDPDF=Y")</f>
        <v>#NAME?</v>
      </c>
      <c r="H93" s="1059" t="e">
        <f ca="1">BDH("BMBL US Equity","ARDR_OTH_ADJ_NON_GAAP_COGS","FY 2023","FY 2023","Currency=USD","Period=FY","BEST_FPERIOD_OVERRIDE=FY","FILING_STATUS=MR","SCALING_FORMAT=MLN","Sort=A","Dates=H","DateFormat=P","Fill=—","Direction=H","UseDPDF=Y")</f>
        <v>#NAME?</v>
      </c>
    </row>
    <row r="94" spans="1:8">
      <c r="A94" s="1058" t="s">
        <v>814</v>
      </c>
      <c r="B94" s="1058" t="s">
        <v>815</v>
      </c>
      <c r="C94" s="1059" t="e">
        <f ca="1">BDH("BMBL US Equity","ARDR_OTH_ADJ_NON_GAAP_S&amp;M","FY 2018","FY 2018","Currency=USD","Period=FY","BEST_FPERIOD_OVERRIDE=FY","FILING_STATUS=MR","SCALING_FORMAT=MLN","Sort=A","Dates=H","DateFormat=P","Fill=—","Direction=H","UseDPDF=Y")</f>
        <v>#NAME?</v>
      </c>
      <c r="D94" s="1059" t="e">
        <f ca="1">BDH("BMBL US Equity","ARDR_OTH_ADJ_NON_GAAP_S&amp;M","FY 2019","FY 2019","Currency=USD","Period=FY","BEST_FPERIOD_OVERRIDE=FY","FILING_STATUS=MR","SCALING_FORMAT=MLN","Sort=A","Dates=H","DateFormat=P","Fill=—","Direction=H","UseDPDF=Y")</f>
        <v>#NAME?</v>
      </c>
      <c r="E94" s="1059" t="e">
        <f ca="1">BDH("BMBL US Equity","ARDR_OTH_ADJ_NON_GAAP_S&amp;M","FY 2020","FY 2020","Currency=USD","Period=FY","BEST_FPERIOD_OVERRIDE=FY","FILING_STATUS=MR","SCALING_FORMAT=MLN","Sort=A","Dates=H","DateFormat=P","Fill=—","Direction=H","UseDPDF=Y")</f>
        <v>#NAME?</v>
      </c>
      <c r="F94" s="1059" t="e">
        <f ca="1">BDH("BMBL US Equity","ARDR_OTH_ADJ_NON_GAAP_S&amp;M","FY 2021","FY 2021","Currency=USD","Period=FY","BEST_FPERIOD_OVERRIDE=FY","FILING_STATUS=MR","SCALING_FORMAT=MLN","Sort=A","Dates=H","DateFormat=P","Fill=—","Direction=H","UseDPDF=Y")</f>
        <v>#NAME?</v>
      </c>
      <c r="G94" s="1059" t="e">
        <f ca="1">BDH("BMBL US Equity","ARDR_OTH_ADJ_NON_GAAP_S&amp;M","FY 2022","FY 2022","Currency=USD","Period=FY","BEST_FPERIOD_OVERRIDE=FY","FILING_STATUS=MR","SCALING_FORMAT=MLN","Sort=A","Dates=H","DateFormat=P","Fill=—","Direction=H","UseDPDF=Y")</f>
        <v>#NAME?</v>
      </c>
      <c r="H94" s="1059" t="e">
        <f ca="1">BDH("BMBL US Equity","ARDR_OTH_ADJ_NON_GAAP_S&amp;M","FY 2023","FY 2023","Currency=USD","Period=FY","BEST_FPERIOD_OVERRIDE=FY","FILING_STATUS=MR","SCALING_FORMAT=MLN","Sort=A","Dates=H","DateFormat=P","Fill=—","Direction=H","UseDPDF=Y")</f>
        <v>#NAME?</v>
      </c>
    </row>
    <row r="95" spans="1:8">
      <c r="A95" s="1058" t="s">
        <v>816</v>
      </c>
      <c r="B95" s="1058" t="s">
        <v>817</v>
      </c>
      <c r="C95" s="1059" t="e">
        <f ca="1">BDH("BMBL US Equity","ARDR_OTH_ADJ_NON_GAAP_G&amp;A","FY 2018","FY 2018","Currency=USD","Period=FY","BEST_FPERIOD_OVERRIDE=FY","FILING_STATUS=MR","SCALING_FORMAT=MLN","Sort=A","Dates=H","DateFormat=P","Fill=—","Direction=H","UseDPDF=Y")</f>
        <v>#NAME?</v>
      </c>
      <c r="D95" s="1059" t="e">
        <f ca="1">BDH("BMBL US Equity","ARDR_OTH_ADJ_NON_GAAP_G&amp;A","FY 2019","FY 2019","Currency=USD","Period=FY","BEST_FPERIOD_OVERRIDE=FY","FILING_STATUS=MR","SCALING_FORMAT=MLN","Sort=A","Dates=H","DateFormat=P","Fill=—","Direction=H","UseDPDF=Y")</f>
        <v>#NAME?</v>
      </c>
      <c r="E95" s="1059" t="e">
        <f ca="1">BDH("BMBL US Equity","ARDR_OTH_ADJ_NON_GAAP_G&amp;A","FY 2020","FY 2020","Currency=USD","Period=FY","BEST_FPERIOD_OVERRIDE=FY","FILING_STATUS=MR","SCALING_FORMAT=MLN","Sort=A","Dates=H","DateFormat=P","Fill=—","Direction=H","UseDPDF=Y")</f>
        <v>#NAME?</v>
      </c>
      <c r="F95" s="1059" t="e">
        <f ca="1">BDH("BMBL US Equity","ARDR_OTH_ADJ_NON_GAAP_G&amp;A","FY 2021","FY 2021","Currency=USD","Period=FY","BEST_FPERIOD_OVERRIDE=FY","FILING_STATUS=MR","SCALING_FORMAT=MLN","Sort=A","Dates=H","DateFormat=P","Fill=—","Direction=H","UseDPDF=Y")</f>
        <v>#NAME?</v>
      </c>
      <c r="G95" s="1059" t="e">
        <f ca="1">BDH("BMBL US Equity","ARDR_OTH_ADJ_NON_GAAP_G&amp;A","FY 2022","FY 2022","Currency=USD","Period=FY","BEST_FPERIOD_OVERRIDE=FY","FILING_STATUS=MR","SCALING_FORMAT=MLN","Sort=A","Dates=H","DateFormat=P","Fill=—","Direction=H","UseDPDF=Y")</f>
        <v>#NAME?</v>
      </c>
      <c r="H95" s="1059" t="e">
        <f ca="1">BDH("BMBL US Equity","ARDR_OTH_ADJ_NON_GAAP_G&amp;A","FY 2023","FY 2023","Currency=USD","Period=FY","BEST_FPERIOD_OVERRIDE=FY","FILING_STATUS=MR","SCALING_FORMAT=MLN","Sort=A","Dates=H","DateFormat=P","Fill=—","Direction=H","UseDPDF=Y")</f>
        <v>#NAME?</v>
      </c>
    </row>
    <row r="96" spans="1:8">
      <c r="A96" s="1058" t="s">
        <v>818</v>
      </c>
      <c r="B96" s="1058" t="s">
        <v>819</v>
      </c>
      <c r="C96" s="1057" t="e">
        <f ca="1">BDH("BMBL US Equity","ARDR_ADJUSTED_EBITDA_MARGIN","FY 2018","FY 2018","Currency=USD","Period=FY","BEST_FPERIOD_OVERRIDE=FY","FILING_STATUS=MR","Sort=A","Dates=H","DateFormat=P","Fill=—","Direction=H","UseDPDF=Y")</f>
        <v>#NAME?</v>
      </c>
      <c r="D96" s="1057" t="e">
        <f ca="1">BDH("BMBL US Equity","ARDR_ADJUSTED_EBITDA_MARGIN","FY 2019","FY 2019","Currency=USD","Period=FY","BEST_FPERIOD_OVERRIDE=FY","FILING_STATUS=MR","Sort=A","Dates=H","DateFormat=P","Fill=—","Direction=H","UseDPDF=Y")</f>
        <v>#NAME?</v>
      </c>
      <c r="E96" s="1057" t="e">
        <f ca="1">BDH("BMBL US Equity","ARDR_ADJUSTED_EBITDA_MARGIN","FY 2020","FY 2020","Currency=USD","Period=FY","BEST_FPERIOD_OVERRIDE=FY","FILING_STATUS=MR","Sort=A","Dates=H","DateFormat=P","Fill=—","Direction=H","UseDPDF=Y")</f>
        <v>#NAME?</v>
      </c>
      <c r="F96" s="1057" t="e">
        <f ca="1">BDH("BMBL US Equity","ARDR_ADJUSTED_EBITDA_MARGIN","FY 2021","FY 2021","Currency=USD","Period=FY","BEST_FPERIOD_OVERRIDE=FY","FILING_STATUS=MR","Sort=A","Dates=H","DateFormat=P","Fill=—","Direction=H","UseDPDF=Y")</f>
        <v>#NAME?</v>
      </c>
      <c r="G96" s="1057" t="e">
        <f ca="1">BDH("BMBL US Equity","ARDR_ADJUSTED_EBITDA_MARGIN","FY 2022","FY 2022","Currency=USD","Period=FY","BEST_FPERIOD_OVERRIDE=FY","FILING_STATUS=MR","Sort=A","Dates=H","DateFormat=P","Fill=—","Direction=H","UseDPDF=Y")</f>
        <v>#NAME?</v>
      </c>
      <c r="H96" s="1057" t="e">
        <f ca="1">BDH("BMBL US Equity","ARDR_ADJUSTED_EBITDA_MARGIN","FY 2023","FY 2023","Currency=USD","Period=FY","BEST_FPERIOD_OVERRIDE=FY","FILING_STATUS=MR","Sort=A","Dates=H","DateFormat=P","Fill=—","Direction=H","UseDPDF=Y")</f>
        <v>#NAME?</v>
      </c>
    </row>
    <row r="97" spans="1:8">
      <c r="A97" s="1058" t="s">
        <v>820</v>
      </c>
      <c r="B97" s="1058" t="s">
        <v>821</v>
      </c>
      <c r="C97" s="1057" t="e">
        <f ca="1">BDH("BMBL US Equity","ARDR_EBIT_MARGIN","FY 2018","FY 2018","Currency=USD","Period=FY","BEST_FPERIOD_OVERRIDE=FY","FILING_STATUS=MR","Sort=A","Dates=H","DateFormat=P","Fill=—","Direction=H","UseDPDF=Y")</f>
        <v>#NAME?</v>
      </c>
      <c r="D97" s="1057" t="e">
        <f ca="1">BDH("BMBL US Equity","ARDR_EBIT_MARGIN","FY 2019","FY 2019","Currency=USD","Period=FY","BEST_FPERIOD_OVERRIDE=FY","FILING_STATUS=MR","Sort=A","Dates=H","DateFormat=P","Fill=—","Direction=H","UseDPDF=Y")</f>
        <v>#NAME?</v>
      </c>
      <c r="E97" s="1057" t="e">
        <f ca="1">BDH("BMBL US Equity","ARDR_EBIT_MARGIN","FY 2020","FY 2020","Currency=USD","Period=FY","BEST_FPERIOD_OVERRIDE=FY","FILING_STATUS=MR","Sort=A","Dates=H","DateFormat=P","Fill=—","Direction=H","UseDPDF=Y")</f>
        <v>#NAME?</v>
      </c>
      <c r="F97" s="1057" t="e">
        <f ca="1">BDH("BMBL US Equity","ARDR_EBIT_MARGIN","FY 2021","FY 2021","Currency=USD","Period=FY","BEST_FPERIOD_OVERRIDE=FY","FILING_STATUS=MR","Sort=A","Dates=H","DateFormat=P","Fill=—","Direction=H","UseDPDF=Y")</f>
        <v>#NAME?</v>
      </c>
      <c r="G97" s="1057" t="e">
        <f ca="1">BDH("BMBL US Equity","ARDR_EBIT_MARGIN","FY 2022","FY 2022","Currency=USD","Period=FY","BEST_FPERIOD_OVERRIDE=FY","FILING_STATUS=MR","Sort=A","Dates=H","DateFormat=P","Fill=—","Direction=H","UseDPDF=Y")</f>
        <v>#NAME?</v>
      </c>
      <c r="H97" s="1057" t="e">
        <f ca="1">BDH("BMBL US Equity","ARDR_EBIT_MARGIN","FY 2023","FY 2023","Currency=USD","Period=FY","BEST_FPERIOD_OVERRIDE=FY","FILING_STATUS=MR","Sort=A","Dates=H","DateFormat=P","Fill=—","Direction=H","UseDPDF=Y")</f>
        <v>#NAME?</v>
      </c>
    </row>
    <row r="98" spans="1:8">
      <c r="A98" s="1058" t="s">
        <v>822</v>
      </c>
      <c r="B98" s="1058" t="s">
        <v>823</v>
      </c>
      <c r="C98" s="1057" t="e">
        <f ca="1">BDH("BMBL US Equity","ARDR_REVENUE_GROWTH","FY 2018","FY 2018","Currency=USD","Period=FY","BEST_FPERIOD_OVERRIDE=FY","FILING_STATUS=MR","Sort=A","Dates=H","DateFormat=P","Fill=—","Direction=H","UseDPDF=Y")</f>
        <v>#NAME?</v>
      </c>
      <c r="D98" s="1057" t="e">
        <f ca="1">BDH("BMBL US Equity","ARDR_REVENUE_GROWTH","FY 2019","FY 2019","Currency=USD","Period=FY","BEST_FPERIOD_OVERRIDE=FY","FILING_STATUS=MR","Sort=A","Dates=H","DateFormat=P","Fill=—","Direction=H","UseDPDF=Y")</f>
        <v>#NAME?</v>
      </c>
      <c r="E98" s="1057" t="e">
        <f ca="1">BDH("BMBL US Equity","ARDR_REVENUE_GROWTH","FY 2020","FY 2020","Currency=USD","Period=FY","BEST_FPERIOD_OVERRIDE=FY","FILING_STATUS=MR","Sort=A","Dates=H","DateFormat=P","Fill=—","Direction=H","UseDPDF=Y")</f>
        <v>#NAME?</v>
      </c>
      <c r="F98" s="1057" t="e">
        <f ca="1">BDH("BMBL US Equity","ARDR_REVENUE_GROWTH","FY 2021","FY 2021","Currency=USD","Period=FY","BEST_FPERIOD_OVERRIDE=FY","FILING_STATUS=MR","Sort=A","Dates=H","DateFormat=P","Fill=—","Direction=H","UseDPDF=Y")</f>
        <v>#NAME?</v>
      </c>
      <c r="G98" s="1057" t="e">
        <f ca="1">BDH("BMBL US Equity","ARDR_REVENUE_GROWTH","FY 2022","FY 2022","Currency=USD","Period=FY","BEST_FPERIOD_OVERRIDE=FY","FILING_STATUS=MR","Sort=A","Dates=H","DateFormat=P","Fill=—","Direction=H","UseDPDF=Y")</f>
        <v>#NAME?</v>
      </c>
      <c r="H98" s="1057" t="e">
        <f ca="1">BDH("BMBL US Equity","ARDR_REVENUE_GROWTH","FY 2023","FY 2023","Currency=USD","Period=FY","BEST_FPERIOD_OVERRIDE=FY","FILING_STATUS=MR","Sort=A","Dates=H","DateFormat=P","Fill=—","Direction=H","UseDPDF=Y")</f>
        <v>#NAME?</v>
      </c>
    </row>
    <row r="99" spans="1:8">
      <c r="A99" s="1058" t="s">
        <v>824</v>
      </c>
      <c r="B99" s="1058" t="s">
        <v>825</v>
      </c>
      <c r="C99" s="1059" t="e">
        <f ca="1">BDH("BMBL US Equity","ARDR_CAPEX_AS_REPORTED","FY 2018","FY 2018","Currency=USD","Period=FY","BEST_FPERIOD_OVERRIDE=FY","FILING_STATUS=MR","SCALING_FORMAT=MLN","Sort=A","Dates=H","DateFormat=P","Fill=—","Direction=H","UseDPDF=Y")</f>
        <v>#NAME?</v>
      </c>
      <c r="D99" s="1059" t="e">
        <f ca="1">BDH("BMBL US Equity","ARDR_CAPEX_AS_REPORTED","FY 2019","FY 2019","Currency=USD","Period=FY","BEST_FPERIOD_OVERRIDE=FY","FILING_STATUS=MR","SCALING_FORMAT=MLN","Sort=A","Dates=H","DateFormat=P","Fill=—","Direction=H","UseDPDF=Y")</f>
        <v>#NAME?</v>
      </c>
      <c r="E99" s="1059" t="e">
        <f ca="1">BDH("BMBL US Equity","ARDR_CAPEX_AS_REPORTED","FY 2020","FY 2020","Currency=USD","Period=FY","BEST_FPERIOD_OVERRIDE=FY","FILING_STATUS=MR","SCALING_FORMAT=MLN","Sort=A","Dates=H","DateFormat=P","Fill=—","Direction=H","UseDPDF=Y")</f>
        <v>#NAME?</v>
      </c>
      <c r="F99" s="1059" t="e">
        <f ca="1">BDH("BMBL US Equity","ARDR_CAPEX_AS_REPORTED","FY 2021","FY 2021","Currency=USD","Period=FY","BEST_FPERIOD_OVERRIDE=FY","FILING_STATUS=MR","SCALING_FORMAT=MLN","Sort=A","Dates=H","DateFormat=P","Fill=—","Direction=H","UseDPDF=Y")</f>
        <v>#NAME?</v>
      </c>
      <c r="G99" s="1059" t="e">
        <f ca="1">BDH("BMBL US Equity","ARDR_CAPEX_AS_REPORTED","FY 2022","FY 2022","Currency=USD","Period=FY","BEST_FPERIOD_OVERRIDE=FY","FILING_STATUS=MR","SCALING_FORMAT=MLN","Sort=A","Dates=H","DateFormat=P","Fill=—","Direction=H","UseDPDF=Y")</f>
        <v>#NAME?</v>
      </c>
      <c r="H99" s="1059" t="e">
        <f ca="1">BDH("BMBL US Equity","ARDR_CAPEX_AS_REPORTED","FY 2023","FY 2023","Currency=USD","Period=FY","BEST_FPERIOD_OVERRIDE=FY","FILING_STATUS=MR","SCALING_FORMAT=MLN","Sort=A","Dates=H","DateFormat=P","Fill=—","Direction=H","UseDPDF=Y")</f>
        <v>#NAME?</v>
      </c>
    </row>
    <row r="100" spans="1:8">
      <c r="A100" s="1058" t="s">
        <v>826</v>
      </c>
      <c r="B100" s="1058" t="s">
        <v>827</v>
      </c>
      <c r="C100" s="1059" t="e">
        <f ca="1">BDH("BMBL US Equity","ARDR_STK_BSD_COMP_ATTRIB_TO_G&amp;AE","FY 2018","FY 2018","Currency=USD","Period=FY","BEST_FPERIOD_OVERRIDE=FY","FILING_STATUS=MR","Sort=A","Dates=H","DateFormat=P","Fill=—","Direction=H","UseDPDF=Y")</f>
        <v>#NAME?</v>
      </c>
      <c r="D100" s="1059" t="e">
        <f ca="1">BDH("BMBL US Equity","ARDR_STK_BSD_COMP_ATTRIB_TO_G&amp;AE","FY 2019","FY 2019","Currency=USD","Period=FY","BEST_FPERIOD_OVERRIDE=FY","FILING_STATUS=MR","Sort=A","Dates=H","DateFormat=P","Fill=—","Direction=H","UseDPDF=Y")</f>
        <v>#NAME?</v>
      </c>
      <c r="E100" s="1059" t="e">
        <f ca="1">BDH("BMBL US Equity","ARDR_STK_BSD_COMP_ATTRIB_TO_G&amp;AE","FY 2020","FY 2020","Currency=USD","Period=FY","BEST_FPERIOD_OVERRIDE=FY","FILING_STATUS=MR","Sort=A","Dates=H","DateFormat=P","Fill=—","Direction=H","UseDPDF=Y")</f>
        <v>#NAME?</v>
      </c>
      <c r="F100" s="1059" t="e">
        <f ca="1">BDH("BMBL US Equity","ARDR_STK_BSD_COMP_ATTRIB_TO_G&amp;AE","FY 2021","FY 2021","Currency=USD","Period=FY","BEST_FPERIOD_OVERRIDE=FY","FILING_STATUS=MR","Sort=A","Dates=H","DateFormat=P","Fill=—","Direction=H","UseDPDF=Y")</f>
        <v>#NAME?</v>
      </c>
      <c r="G100" s="1059" t="e">
        <f ca="1">BDH("BMBL US Equity","ARDR_STK_BSD_COMP_ATTRIB_TO_G&amp;AE","FY 2022","FY 2022","Currency=USD","Period=FY","BEST_FPERIOD_OVERRIDE=FY","FILING_STATUS=MR","Sort=A","Dates=H","DateFormat=P","Fill=—","Direction=H","UseDPDF=Y")</f>
        <v>#NAME?</v>
      </c>
      <c r="H100" s="1059" t="e">
        <f ca="1">BDH("BMBL US Equity","ARDR_STK_BSD_COMP_ATTRIB_TO_G&amp;AE","FY 2023","FY 2023","Currency=USD","Period=FY","BEST_FPERIOD_OVERRIDE=FY","FILING_STATUS=MR","Sort=A","Dates=H","DateFormat=P","Fill=—","Direction=H","UseDPDF=Y")</f>
        <v>#NAME?</v>
      </c>
    </row>
    <row r="101" spans="1:8">
      <c r="A101" s="1058" t="s">
        <v>828</v>
      </c>
      <c r="B101" s="1058" t="s">
        <v>829</v>
      </c>
      <c r="C101" s="1059" t="e">
        <f ca="1">BDH("BMBL US Equity","ARDR_STK_BSD_COM_ATT_TO_S&amp;M","FY 2018","FY 2018","Currency=USD","Period=FY","BEST_FPERIOD_OVERRIDE=FY","FILING_STATUS=MR","Sort=A","Dates=H","DateFormat=P","Fill=—","Direction=H","UseDPDF=Y")</f>
        <v>#NAME?</v>
      </c>
      <c r="D101" s="1059" t="e">
        <f ca="1">BDH("BMBL US Equity","ARDR_STK_BSD_COM_ATT_TO_S&amp;M","FY 2019","FY 2019","Currency=USD","Period=FY","BEST_FPERIOD_OVERRIDE=FY","FILING_STATUS=MR","Sort=A","Dates=H","DateFormat=P","Fill=—","Direction=H","UseDPDF=Y")</f>
        <v>#NAME?</v>
      </c>
      <c r="E101" s="1059" t="e">
        <f ca="1">BDH("BMBL US Equity","ARDR_STK_BSD_COM_ATT_TO_S&amp;M","FY 2020","FY 2020","Currency=USD","Period=FY","BEST_FPERIOD_OVERRIDE=FY","FILING_STATUS=MR","Sort=A","Dates=H","DateFormat=P","Fill=—","Direction=H","UseDPDF=Y")</f>
        <v>#NAME?</v>
      </c>
      <c r="F101" s="1059" t="e">
        <f ca="1">BDH("BMBL US Equity","ARDR_STK_BSD_COM_ATT_TO_S&amp;M","FY 2021","FY 2021","Currency=USD","Period=FY","BEST_FPERIOD_OVERRIDE=FY","FILING_STATUS=MR","Sort=A","Dates=H","DateFormat=P","Fill=—","Direction=H","UseDPDF=Y")</f>
        <v>#NAME?</v>
      </c>
      <c r="G101" s="1059" t="e">
        <f ca="1">BDH("BMBL US Equity","ARDR_STK_BSD_COM_ATT_TO_S&amp;M","FY 2022","FY 2022","Currency=USD","Period=FY","BEST_FPERIOD_OVERRIDE=FY","FILING_STATUS=MR","Sort=A","Dates=H","DateFormat=P","Fill=—","Direction=H","UseDPDF=Y")</f>
        <v>#NAME?</v>
      </c>
      <c r="H101" s="1059" t="e">
        <f ca="1">BDH("BMBL US Equity","ARDR_STK_BSD_COM_ATT_TO_S&amp;M","FY 2023","FY 2023","Currency=USD","Period=FY","BEST_FPERIOD_OVERRIDE=FY","FILING_STATUS=MR","Sort=A","Dates=H","DateFormat=P","Fill=—","Direction=H","UseDPDF=Y")</f>
        <v>#NAME?</v>
      </c>
    </row>
    <row r="102" spans="1:8">
      <c r="A102" s="1058" t="s">
        <v>830</v>
      </c>
      <c r="B102" s="1058" t="s">
        <v>831</v>
      </c>
      <c r="C102" s="1059" t="e">
        <f ca="1">BDH("BMBL US Equity","ARDR_STK_BSD_CMPNSTN_CF_PRE_TAX","FY 2018","FY 2018","Currency=USD","Period=FY","BEST_FPERIOD_OVERRIDE=FY","FILING_STATUS=MR","SCALING_FORMAT=MLN","Sort=A","Dates=H","DateFormat=P","Fill=—","Direction=H","UseDPDF=Y")</f>
        <v>#NAME?</v>
      </c>
      <c r="D102" s="1059" t="e">
        <f ca="1">BDH("BMBL US Equity","ARDR_STK_BSD_CMPNSTN_CF_PRE_TAX","FY 2019","FY 2019","Currency=USD","Period=FY","BEST_FPERIOD_OVERRIDE=FY","FILING_STATUS=MR","SCALING_FORMAT=MLN","Sort=A","Dates=H","DateFormat=P","Fill=—","Direction=H","UseDPDF=Y")</f>
        <v>#NAME?</v>
      </c>
      <c r="E102" s="1059" t="e">
        <f ca="1">BDH("BMBL US Equity","ARDR_STK_BSD_CMPNSTN_CF_PRE_TAX","FY 2020","FY 2020","Currency=USD","Period=FY","BEST_FPERIOD_OVERRIDE=FY","FILING_STATUS=MR","SCALING_FORMAT=MLN","Sort=A","Dates=H","DateFormat=P","Fill=—","Direction=H","UseDPDF=Y")</f>
        <v>#NAME?</v>
      </c>
      <c r="F102" s="1059" t="e">
        <f ca="1">BDH("BMBL US Equity","ARDR_STK_BSD_CMPNSTN_CF_PRE_TAX","FY 2021","FY 2021","Currency=USD","Period=FY","BEST_FPERIOD_OVERRIDE=FY","FILING_STATUS=MR","SCALING_FORMAT=MLN","Sort=A","Dates=H","DateFormat=P","Fill=—","Direction=H","UseDPDF=Y")</f>
        <v>#NAME?</v>
      </c>
      <c r="G102" s="1059" t="e">
        <f ca="1">BDH("BMBL US Equity","ARDR_STK_BSD_CMPNSTN_CF_PRE_TAX","FY 2022","FY 2022","Currency=USD","Period=FY","BEST_FPERIOD_OVERRIDE=FY","FILING_STATUS=MR","SCALING_FORMAT=MLN","Sort=A","Dates=H","DateFormat=P","Fill=—","Direction=H","UseDPDF=Y")</f>
        <v>#NAME?</v>
      </c>
      <c r="H102" s="1059" t="e">
        <f ca="1">BDH("BMBL US Equity","ARDR_STK_BSD_CMPNSTN_CF_PRE_TAX","FY 2023","FY 2023","Currency=USD","Period=FY","BEST_FPERIOD_OVERRIDE=FY","FILING_STATUS=MR","SCALING_FORMAT=MLN","Sort=A","Dates=H","DateFormat=P","Fill=—","Direction=H","UseDPDF=Y")</f>
        <v>#NAME?</v>
      </c>
    </row>
    <row r="103" spans="1:8">
      <c r="A103" s="1058" t="s">
        <v>832</v>
      </c>
      <c r="B103" s="1058" t="s">
        <v>833</v>
      </c>
      <c r="C103" s="1059" t="e">
        <f ca="1">BDH("BMBL US Equity","ARDR_ADJUSTED_EBITDA","FY 2018","FY 2018","Currency=USD","Period=FY","BEST_FPERIOD_OVERRIDE=FY","FILING_STATUS=MR","SCALING_FORMAT=MLN","Sort=A","Dates=H","DateFormat=P","Fill=—","Direction=H","UseDPDF=Y")</f>
        <v>#NAME?</v>
      </c>
      <c r="D103" s="1059" t="e">
        <f ca="1">BDH("BMBL US Equity","ARDR_ADJUSTED_EBITDA","FY 2019","FY 2019","Currency=USD","Period=FY","BEST_FPERIOD_OVERRIDE=FY","FILING_STATUS=MR","SCALING_FORMAT=MLN","Sort=A","Dates=H","DateFormat=P","Fill=—","Direction=H","UseDPDF=Y")</f>
        <v>#NAME?</v>
      </c>
      <c r="E103" s="1059" t="e">
        <f ca="1">BDH("BMBL US Equity","ARDR_ADJUSTED_EBITDA","FY 2020","FY 2020","Currency=USD","Period=FY","BEST_FPERIOD_OVERRIDE=FY","FILING_STATUS=MR","SCALING_FORMAT=MLN","Sort=A","Dates=H","DateFormat=P","Fill=—","Direction=H","UseDPDF=Y")</f>
        <v>#NAME?</v>
      </c>
      <c r="F103" s="1059" t="e">
        <f ca="1">BDH("BMBL US Equity","ARDR_ADJUSTED_EBITDA","FY 2021","FY 2021","Currency=USD","Period=FY","BEST_FPERIOD_OVERRIDE=FY","FILING_STATUS=MR","SCALING_FORMAT=MLN","Sort=A","Dates=H","DateFormat=P","Fill=—","Direction=H","UseDPDF=Y")</f>
        <v>#NAME?</v>
      </c>
      <c r="G103" s="1059" t="e">
        <f ca="1">BDH("BMBL US Equity","ARDR_ADJUSTED_EBITDA","FY 2022","FY 2022","Currency=USD","Period=FY","BEST_FPERIOD_OVERRIDE=FY","FILING_STATUS=MR","SCALING_FORMAT=MLN","Sort=A","Dates=H","DateFormat=P","Fill=—","Direction=H","UseDPDF=Y")</f>
        <v>#NAME?</v>
      </c>
      <c r="H103" s="1059" t="e">
        <f ca="1">BDH("BMBL US Equity","ARDR_ADJUSTED_EBITDA","FY 2023","FY 2023","Currency=USD","Period=FY","BEST_FPERIOD_OVERRIDE=FY","FILING_STATUS=MR","SCALING_FORMAT=MLN","Sort=A","Dates=H","DateFormat=P","Fill=—","Direction=H","UseDPDF=Y")</f>
        <v>#NAME?</v>
      </c>
    </row>
    <row r="104" spans="1:8">
      <c r="A104" s="1056" t="s">
        <v>313</v>
      </c>
      <c r="B104" s="1056"/>
      <c r="C104" s="1056" t="s">
        <v>314</v>
      </c>
      <c r="D104" s="1056"/>
      <c r="E104" s="1056"/>
      <c r="F104" s="1056"/>
      <c r="G104" s="1056"/>
      <c r="H104" s="10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tabColor theme="5" tint="-0.499984740745262"/>
  </sheetPr>
  <dimension ref="A1:XFC79"/>
  <sheetViews>
    <sheetView showGridLines="0" tabSelected="1" zoomScale="92" workbookViewId="0">
      <selection activeCell="G53" sqref="G53"/>
    </sheetView>
  </sheetViews>
  <sheetFormatPr defaultColWidth="9.44140625" defaultRowHeight="12.75" customHeight="1" zeroHeight="1"/>
  <cols>
    <col min="1" max="1" width="0.44140625" style="2" customWidth="1"/>
    <col min="2" max="2" width="1.44140625" style="860" customWidth="1"/>
    <col min="3" max="3" width="40.44140625" style="2" customWidth="1"/>
    <col min="4" max="4" width="24.33203125" style="2" customWidth="1"/>
    <col min="5" max="5" width="4.6640625" style="2" customWidth="1"/>
    <col min="6" max="6" width="8.44140625" style="2" customWidth="1"/>
    <col min="7" max="7" width="11.44140625" style="2" customWidth="1"/>
    <col min="8" max="8" width="6.6640625" style="2" customWidth="1"/>
    <col min="9" max="9" width="0.44140625" style="2" customWidth="1"/>
    <col min="10" max="16383" width="0" style="2" hidden="1" customWidth="1"/>
    <col min="16384" max="16384" width="4.44140625" style="2" hidden="1" customWidth="1"/>
  </cols>
  <sheetData>
    <row r="1" spans="1:9" ht="8.25" customHeight="1">
      <c r="A1" s="434"/>
      <c r="B1" s="434"/>
      <c r="C1" s="435"/>
      <c r="D1" s="435"/>
      <c r="E1" s="435"/>
      <c r="F1" s="435"/>
      <c r="G1" s="435"/>
      <c r="H1" s="435"/>
      <c r="I1" s="435"/>
    </row>
    <row r="2" spans="1:9" ht="11.25" customHeight="1">
      <c r="A2" s="434"/>
      <c r="B2" s="433"/>
      <c r="C2" s="440" t="s">
        <v>834</v>
      </c>
      <c r="D2" s="436"/>
      <c r="E2" s="435"/>
      <c r="F2" s="435"/>
      <c r="G2" s="435"/>
      <c r="H2" s="435"/>
      <c r="I2" s="435"/>
    </row>
    <row r="3" spans="1:9" ht="11.25" customHeight="1">
      <c r="A3" s="434"/>
      <c r="B3" s="434"/>
      <c r="C3" s="440" t="str">
        <f>'DCF - Assumptions (old)'!F8&amp;" Valuation Model"</f>
        <v>Bumble INC Valuation Model</v>
      </c>
      <c r="D3" s="435"/>
      <c r="E3" s="435"/>
      <c r="F3" s="435"/>
      <c r="G3" s="435"/>
      <c r="H3" s="435"/>
      <c r="I3" s="435"/>
    </row>
    <row r="4" spans="1:9" ht="7.5" customHeight="1">
      <c r="A4" s="434"/>
      <c r="B4" s="434"/>
      <c r="C4" s="435"/>
      <c r="D4" s="435"/>
      <c r="E4" s="435"/>
      <c r="F4" s="435"/>
      <c r="G4" s="435"/>
      <c r="H4" s="435"/>
      <c r="I4" s="435"/>
    </row>
    <row r="5" spans="1:9" ht="101.25" customHeight="1">
      <c r="B5" s="2"/>
      <c r="C5" s="418"/>
    </row>
    <row r="6" spans="1:9" ht="13.2">
      <c r="B6" s="2"/>
    </row>
    <row r="7" spans="1:9" ht="14.4">
      <c r="B7" s="2"/>
      <c r="C7" s="418"/>
    </row>
    <row r="8" spans="1:9" ht="14.4">
      <c r="B8" s="2"/>
      <c r="C8" s="418"/>
    </row>
    <row r="9" spans="1:9" ht="13.2">
      <c r="B9" s="2"/>
    </row>
    <row r="10" spans="1:9" ht="14.4">
      <c r="B10" s="2"/>
      <c r="C10" s="418"/>
    </row>
    <row r="11" spans="1:9" ht="14.4">
      <c r="B11" s="2"/>
      <c r="C11" s="418"/>
    </row>
    <row r="12" spans="1:9" ht="14.4">
      <c r="B12" s="2"/>
      <c r="C12" s="418"/>
    </row>
    <row r="13" spans="1:9" ht="14.4">
      <c r="B13" s="2"/>
      <c r="C13" s="418"/>
    </row>
    <row r="14" spans="1:9" ht="14.4">
      <c r="B14" s="2"/>
      <c r="C14" s="418"/>
    </row>
    <row r="15" spans="1:9" ht="14.4">
      <c r="B15" s="2"/>
      <c r="C15" s="418"/>
    </row>
    <row r="16" spans="1:9" ht="14.4">
      <c r="B16" s="2"/>
      <c r="C16" s="418"/>
    </row>
    <row r="17" spans="1:9" ht="13.5" customHeight="1">
      <c r="B17" s="2"/>
      <c r="C17" s="418"/>
    </row>
    <row r="18" spans="1:9" s="446" customFormat="1" ht="13.5" customHeight="1">
      <c r="A18" s="444"/>
      <c r="B18" s="442"/>
      <c r="C18" s="442" t="s">
        <v>835</v>
      </c>
      <c r="D18" s="442"/>
      <c r="E18" s="442"/>
      <c r="F18" s="442"/>
      <c r="G18" s="445"/>
      <c r="H18" s="442"/>
      <c r="I18" s="442"/>
    </row>
    <row r="19" spans="1:9" s="3" customFormat="1" ht="6" customHeight="1"/>
    <row r="20" spans="1:9" s="3" customFormat="1" ht="12.75" customHeight="1">
      <c r="A20" s="428"/>
      <c r="C20" s="1593" t="s">
        <v>836</v>
      </c>
      <c r="D20" s="1593"/>
      <c r="E20" s="1593"/>
      <c r="F20" s="1593"/>
      <c r="G20" s="1593"/>
      <c r="H20" s="1593"/>
    </row>
    <row r="21" spans="1:9" s="3" customFormat="1" ht="57" customHeight="1">
      <c r="C21" s="1593"/>
      <c r="D21" s="1593"/>
      <c r="E21" s="1593"/>
      <c r="F21" s="1593"/>
      <c r="G21" s="1593"/>
      <c r="H21" s="1593"/>
    </row>
    <row r="22" spans="1:9" s="3" customFormat="1" ht="6" customHeight="1">
      <c r="C22" s="575"/>
      <c r="D22" s="575"/>
      <c r="E22" s="575"/>
      <c r="F22" s="575"/>
      <c r="G22" s="575"/>
      <c r="H22" s="575"/>
    </row>
    <row r="23" spans="1:9" s="423" customFormat="1" ht="11.85" customHeight="1">
      <c r="C23" s="421" t="s">
        <v>837</v>
      </c>
      <c r="F23" s="423" t="s">
        <v>838</v>
      </c>
    </row>
    <row r="24" spans="1:9" s="3" customFormat="1" ht="8.85" customHeight="1"/>
    <row r="25" spans="1:9" s="446" customFormat="1" ht="10.199999999999999">
      <c r="A25" s="444"/>
      <c r="B25" s="442"/>
      <c r="C25" s="442" t="s">
        <v>839</v>
      </c>
      <c r="D25" s="442" t="s">
        <v>840</v>
      </c>
      <c r="E25" s="442"/>
      <c r="F25" s="442"/>
      <c r="G25" s="445"/>
      <c r="H25" s="442"/>
      <c r="I25" s="442"/>
    </row>
    <row r="26" spans="1:9" s="3" customFormat="1" ht="13.5" customHeight="1">
      <c r="C26" s="419" t="s">
        <v>841</v>
      </c>
      <c r="D26" s="420"/>
      <c r="E26" s="420"/>
      <c r="F26" s="421"/>
      <c r="G26" s="422"/>
      <c r="H26" s="420"/>
    </row>
    <row r="27" spans="1:9" s="3" customFormat="1" ht="13.5" customHeight="1">
      <c r="C27" s="423" t="s">
        <v>842</v>
      </c>
      <c r="D27" s="421" t="s">
        <v>843</v>
      </c>
      <c r="E27" s="421"/>
      <c r="F27" s="421"/>
      <c r="G27" s="424"/>
      <c r="H27" s="421"/>
    </row>
    <row r="28" spans="1:9" s="3" customFormat="1" ht="13.5" customHeight="1">
      <c r="C28" s="423" t="s">
        <v>844</v>
      </c>
      <c r="D28" s="3" t="s">
        <v>845</v>
      </c>
      <c r="E28" s="421"/>
      <c r="F28" s="421"/>
      <c r="G28" s="421"/>
      <c r="H28" s="425"/>
    </row>
    <row r="29" spans="1:9" s="3" customFormat="1" ht="13.5" customHeight="1">
      <c r="C29" s="423" t="s">
        <v>846</v>
      </c>
      <c r="D29" s="3" t="s">
        <v>847</v>
      </c>
      <c r="E29" s="421"/>
      <c r="F29" s="421"/>
      <c r="G29" s="421"/>
      <c r="H29" s="425"/>
    </row>
    <row r="30" spans="1:9" s="3" customFormat="1" ht="13.5" customHeight="1">
      <c r="C30" s="423" t="s">
        <v>848</v>
      </c>
      <c r="D30" s="3" t="s">
        <v>849</v>
      </c>
      <c r="E30" s="421"/>
      <c r="F30" s="421"/>
      <c r="G30" s="421"/>
      <c r="H30" s="425"/>
    </row>
    <row r="31" spans="1:9" s="3" customFormat="1" ht="13.5" customHeight="1">
      <c r="C31" s="423" t="s">
        <v>850</v>
      </c>
      <c r="D31" s="421" t="s">
        <v>851</v>
      </c>
      <c r="E31" s="421"/>
      <c r="F31" s="421"/>
      <c r="G31" s="424"/>
      <c r="H31" s="421"/>
    </row>
    <row r="32" spans="1:9" s="3" customFormat="1" ht="13.5" customHeight="1">
      <c r="C32" s="423" t="s">
        <v>852</v>
      </c>
      <c r="D32" s="421" t="s">
        <v>853</v>
      </c>
      <c r="E32" s="421"/>
      <c r="F32" s="421"/>
      <c r="G32" s="424"/>
      <c r="H32" s="421"/>
    </row>
    <row r="33" spans="2:8" s="3" customFormat="1" ht="13.5" customHeight="1">
      <c r="B33" s="94"/>
      <c r="C33" s="423"/>
      <c r="D33" s="421"/>
      <c r="E33" s="421"/>
      <c r="F33" s="421"/>
      <c r="G33" s="424"/>
      <c r="H33" s="421"/>
    </row>
    <row r="34" spans="2:8" s="3" customFormat="1" ht="13.5" customHeight="1">
      <c r="B34" s="94"/>
      <c r="C34" s="426" t="s">
        <v>854</v>
      </c>
      <c r="D34" s="421"/>
      <c r="E34" s="421"/>
      <c r="F34" s="421"/>
      <c r="G34" s="424"/>
      <c r="H34" s="421"/>
    </row>
    <row r="35" spans="2:8" s="3" customFormat="1" ht="13.5" customHeight="1">
      <c r="B35" s="94"/>
      <c r="C35" s="423" t="s">
        <v>855</v>
      </c>
      <c r="D35" s="421" t="s">
        <v>856</v>
      </c>
      <c r="E35" s="421"/>
      <c r="F35" s="421"/>
      <c r="G35" s="424"/>
      <c r="H35" s="425"/>
    </row>
    <row r="36" spans="2:8" s="3" customFormat="1" ht="13.5" customHeight="1">
      <c r="B36" s="94"/>
      <c r="C36" s="423" t="s">
        <v>857</v>
      </c>
      <c r="D36" s="421" t="s">
        <v>858</v>
      </c>
      <c r="E36" s="421"/>
      <c r="F36" s="421"/>
      <c r="G36" s="424"/>
      <c r="H36" s="425"/>
    </row>
    <row r="37" spans="2:8" s="3" customFormat="1" ht="13.5" customHeight="1">
      <c r="B37" s="94"/>
      <c r="C37" s="423" t="s">
        <v>859</v>
      </c>
      <c r="D37" s="421" t="s">
        <v>860</v>
      </c>
      <c r="E37" s="421"/>
      <c r="F37" s="421"/>
      <c r="G37" s="424"/>
      <c r="H37" s="421"/>
    </row>
    <row r="38" spans="2:8" s="3" customFormat="1" ht="13.5" customHeight="1">
      <c r="B38" s="94"/>
      <c r="C38" s="426"/>
      <c r="D38" s="421"/>
      <c r="E38" s="421"/>
      <c r="F38" s="421"/>
      <c r="G38" s="424"/>
      <c r="H38" s="421"/>
    </row>
    <row r="39" spans="2:8" s="3" customFormat="1" ht="13.5" customHeight="1">
      <c r="B39" s="94"/>
      <c r="C39" s="426" t="s">
        <v>861</v>
      </c>
      <c r="D39" s="421"/>
      <c r="E39" s="421"/>
      <c r="F39" s="421"/>
      <c r="G39" s="424"/>
      <c r="H39" s="421"/>
    </row>
    <row r="40" spans="2:8" s="3" customFormat="1" ht="13.5" customHeight="1">
      <c r="B40" s="94"/>
      <c r="C40" s="423" t="s">
        <v>862</v>
      </c>
      <c r="D40" s="421" t="s">
        <v>863</v>
      </c>
      <c r="E40" s="421"/>
      <c r="F40" s="421"/>
      <c r="G40" s="424"/>
      <c r="H40" s="421"/>
    </row>
    <row r="41" spans="2:8" s="3" customFormat="1" ht="13.5" customHeight="1">
      <c r="B41" s="94"/>
      <c r="C41" s="423" t="s">
        <v>864</v>
      </c>
      <c r="D41" s="421" t="s">
        <v>865</v>
      </c>
      <c r="E41" s="421"/>
      <c r="F41" s="421"/>
      <c r="G41" s="424"/>
      <c r="H41" s="421"/>
    </row>
    <row r="42" spans="2:8" s="3" customFormat="1" ht="13.5" customHeight="1">
      <c r="B42" s="94"/>
      <c r="D42" s="421"/>
      <c r="E42" s="421"/>
      <c r="F42" s="421"/>
      <c r="G42" s="424"/>
      <c r="H42" s="425"/>
    </row>
    <row r="43" spans="2:8" s="3" customFormat="1" ht="13.5" customHeight="1">
      <c r="B43" s="94"/>
      <c r="C43" s="426" t="s">
        <v>866</v>
      </c>
      <c r="D43" s="421"/>
      <c r="E43" s="421"/>
      <c r="F43" s="421"/>
      <c r="G43" s="424"/>
      <c r="H43" s="421"/>
    </row>
    <row r="44" spans="2:8" s="3" customFormat="1" ht="13.5" customHeight="1">
      <c r="B44" s="94"/>
      <c r="C44" s="423" t="s">
        <v>867</v>
      </c>
      <c r="D44" s="421" t="s">
        <v>868</v>
      </c>
      <c r="E44" s="421"/>
      <c r="F44" s="421"/>
      <c r="G44" s="424"/>
      <c r="H44" s="421"/>
    </row>
    <row r="45" spans="2:8" s="3" customFormat="1" ht="13.5" customHeight="1">
      <c r="B45" s="94"/>
      <c r="C45" s="423" t="s">
        <v>869</v>
      </c>
      <c r="D45" s="421" t="s">
        <v>870</v>
      </c>
      <c r="E45" s="421"/>
      <c r="F45" s="421"/>
      <c r="G45" s="424"/>
      <c r="H45" s="421"/>
    </row>
    <row r="46" spans="2:8" s="3" customFormat="1" ht="13.5" customHeight="1">
      <c r="B46" s="94"/>
      <c r="C46" s="423" t="s">
        <v>871</v>
      </c>
      <c r="D46" s="421" t="s">
        <v>872</v>
      </c>
      <c r="E46" s="421"/>
      <c r="F46" s="421"/>
      <c r="G46" s="424"/>
      <c r="H46" s="421"/>
    </row>
    <row r="47" spans="2:8" s="3" customFormat="1" ht="13.5" customHeight="1">
      <c r="B47" s="94"/>
      <c r="C47" s="423" t="s">
        <v>873</v>
      </c>
      <c r="D47" s="421" t="s">
        <v>874</v>
      </c>
      <c r="E47" s="421"/>
      <c r="F47" s="421"/>
      <c r="G47" s="424"/>
      <c r="H47" s="421"/>
    </row>
    <row r="48" spans="2:8" s="3" customFormat="1" ht="13.5" customHeight="1">
      <c r="B48" s="94"/>
      <c r="C48" s="426"/>
      <c r="D48" s="421"/>
      <c r="E48" s="421"/>
      <c r="F48" s="421"/>
      <c r="G48" s="424"/>
      <c r="H48" s="421"/>
    </row>
    <row r="49" spans="1:10" s="443" customFormat="1" ht="10.199999999999999">
      <c r="B49" s="444"/>
      <c r="C49" s="442" t="s">
        <v>875</v>
      </c>
      <c r="D49" s="442"/>
      <c r="E49" s="442"/>
      <c r="F49" s="442"/>
      <c r="G49" s="442"/>
      <c r="H49" s="442"/>
      <c r="I49" s="442"/>
      <c r="J49" s="442"/>
    </row>
    <row r="50" spans="1:10" s="3" customFormat="1" ht="10.199999999999999">
      <c r="A50" s="427"/>
      <c r="B50" s="427"/>
      <c r="C50" s="427"/>
      <c r="D50" s="427"/>
      <c r="E50" s="427"/>
      <c r="F50" s="427"/>
      <c r="G50" s="427"/>
      <c r="H50" s="427"/>
      <c r="I50" s="427"/>
    </row>
    <row r="51" spans="1:10" s="3" customFormat="1" ht="10.199999999999999">
      <c r="A51" s="428"/>
      <c r="C51" s="1292" t="s">
        <v>876</v>
      </c>
      <c r="D51" s="1293"/>
      <c r="E51" s="1294"/>
      <c r="F51" s="1293"/>
      <c r="G51" s="1293"/>
      <c r="H51" s="1293"/>
    </row>
    <row r="52" spans="1:10" s="3" customFormat="1" ht="3.75" customHeight="1">
      <c r="A52" s="427"/>
      <c r="B52" s="427"/>
      <c r="C52" s="427"/>
      <c r="D52" s="427"/>
      <c r="E52" s="427"/>
      <c r="F52" s="427"/>
      <c r="G52" s="427"/>
      <c r="H52" s="427"/>
      <c r="I52" s="427"/>
    </row>
    <row r="53" spans="1:10" s="3" customFormat="1" ht="10.199999999999999">
      <c r="A53" s="428"/>
      <c r="C53" s="429" t="s">
        <v>877</v>
      </c>
      <c r="D53" s="420"/>
      <c r="E53" s="420"/>
      <c r="F53" s="420"/>
      <c r="G53" s="819" t="s">
        <v>878</v>
      </c>
      <c r="H53" s="818"/>
    </row>
    <row r="54" spans="1:10" s="3" customFormat="1" ht="12.75" customHeight="1">
      <c r="A54" s="428"/>
      <c r="C54" s="429" t="s">
        <v>879</v>
      </c>
      <c r="D54" s="420"/>
      <c r="E54" s="420"/>
      <c r="F54" s="420"/>
      <c r="G54" s="820" t="s">
        <v>878</v>
      </c>
      <c r="H54" s="817"/>
    </row>
    <row r="55" spans="1:10" s="3" customFormat="1" ht="10.8" thickBot="1">
      <c r="A55" s="428"/>
      <c r="C55" s="429" t="s">
        <v>880</v>
      </c>
      <c r="D55" s="420"/>
      <c r="E55" s="420"/>
      <c r="F55" s="420"/>
      <c r="G55" s="431" t="s">
        <v>881</v>
      </c>
      <c r="H55" s="432"/>
    </row>
    <row r="56" spans="1:10" s="3" customFormat="1" ht="10.8" thickBot="1">
      <c r="A56" s="428"/>
      <c r="C56" s="429" t="s">
        <v>882</v>
      </c>
      <c r="D56" s="420"/>
      <c r="E56" s="420"/>
      <c r="F56" s="420"/>
      <c r="G56" s="815" t="s">
        <v>883</v>
      </c>
      <c r="H56" s="816"/>
    </row>
    <row r="57" spans="1:10" s="3" customFormat="1" ht="10.35" customHeight="1">
      <c r="A57" s="428"/>
      <c r="C57" s="429" t="s">
        <v>884</v>
      </c>
      <c r="D57" s="420"/>
      <c r="E57" s="420"/>
      <c r="F57" s="420"/>
      <c r="G57" s="1187" t="s">
        <v>881</v>
      </c>
      <c r="H57" s="1188"/>
    </row>
    <row r="58" spans="1:10" s="3" customFormat="1" ht="10.199999999999999">
      <c r="A58" s="428"/>
      <c r="C58" s="429" t="s">
        <v>885</v>
      </c>
      <c r="D58" s="420"/>
      <c r="E58" s="420"/>
      <c r="F58" s="420"/>
      <c r="G58" s="800" t="s">
        <v>886</v>
      </c>
      <c r="H58" s="800"/>
    </row>
    <row r="59" spans="1:10" s="3" customFormat="1" ht="10.199999999999999">
      <c r="A59" s="428"/>
      <c r="C59" s="429" t="s">
        <v>885</v>
      </c>
      <c r="D59" s="420"/>
      <c r="E59" s="420"/>
      <c r="F59" s="420"/>
      <c r="G59" s="801" t="s">
        <v>886</v>
      </c>
      <c r="H59" s="801"/>
    </row>
    <row r="60" spans="1:10" s="3" customFormat="1" ht="10.199999999999999">
      <c r="A60" s="428"/>
      <c r="C60" s="429"/>
      <c r="D60" s="420"/>
      <c r="E60" s="420"/>
      <c r="F60" s="420"/>
      <c r="G60" s="801"/>
      <c r="H60" s="801"/>
    </row>
    <row r="61" spans="1:10" s="3" customFormat="1" ht="10.199999999999999">
      <c r="A61" s="427"/>
      <c r="B61" s="427"/>
      <c r="C61" s="348" t="s">
        <v>887</v>
      </c>
      <c r="D61" s="427"/>
      <c r="E61" s="427"/>
      <c r="F61" s="427"/>
      <c r="G61" s="427"/>
      <c r="H61" s="427"/>
      <c r="I61" s="427"/>
    </row>
    <row r="62" spans="1:10" s="3" customFormat="1" ht="10.199999999999999">
      <c r="A62" s="428"/>
      <c r="C62" s="429" t="s">
        <v>888</v>
      </c>
      <c r="D62" s="441"/>
      <c r="E62" s="430"/>
      <c r="F62" s="420"/>
      <c r="G62" s="422"/>
      <c r="H62" s="420"/>
    </row>
    <row r="63" spans="1:10" s="3" customFormat="1" ht="10.199999999999999">
      <c r="A63" s="428"/>
      <c r="C63" s="429" t="s">
        <v>889</v>
      </c>
      <c r="D63" s="441"/>
      <c r="E63" s="430"/>
      <c r="F63" s="420"/>
      <c r="G63" s="422"/>
      <c r="H63" s="420"/>
    </row>
    <row r="64" spans="1:10" s="3" customFormat="1" ht="10.199999999999999">
      <c r="A64" s="428"/>
      <c r="C64" s="429" t="s">
        <v>890</v>
      </c>
      <c r="D64" s="441"/>
      <c r="E64" s="430"/>
      <c r="F64" s="420"/>
      <c r="G64" s="422"/>
      <c r="H64" s="420"/>
    </row>
    <row r="65" spans="1:8" s="3" customFormat="1" ht="10.199999999999999">
      <c r="A65" s="428"/>
      <c r="C65" s="429" t="s">
        <v>891</v>
      </c>
      <c r="D65" s="420"/>
      <c r="E65" s="430"/>
      <c r="F65" s="420"/>
      <c r="G65" s="422"/>
      <c r="H65" s="420"/>
    </row>
    <row r="66" spans="1:8" s="3" customFormat="1" ht="10.199999999999999">
      <c r="A66" s="428"/>
      <c r="C66" s="429" t="s">
        <v>892</v>
      </c>
      <c r="D66" s="420"/>
      <c r="E66" s="430"/>
      <c r="F66" s="420"/>
      <c r="G66" s="422"/>
      <c r="H66" s="420"/>
    </row>
    <row r="67" spans="1:8" s="3" customFormat="1" ht="10.199999999999999">
      <c r="A67" s="428"/>
    </row>
    <row r="68" spans="1:8" s="439" customFormat="1" ht="10.199999999999999">
      <c r="A68" s="437"/>
      <c r="B68" s="438"/>
      <c r="C68" s="442" t="s">
        <v>893</v>
      </c>
      <c r="D68" s="438"/>
      <c r="E68" s="438"/>
      <c r="F68" s="438"/>
      <c r="G68" s="438"/>
      <c r="H68" s="438"/>
    </row>
    <row r="69" spans="1:8" ht="12.75" hidden="1" customHeight="1">
      <c r="B69" s="2"/>
    </row>
    <row r="70" spans="1:8" s="3" customFormat="1" ht="10.199999999999999" hidden="1"/>
    <row r="71" spans="1:8" ht="13.2" hidden="1">
      <c r="B71" s="2"/>
    </row>
    <row r="72" spans="1:8" ht="13.2" hidden="1">
      <c r="B72" s="2"/>
    </row>
    <row r="73" spans="1:8" ht="13.2" hidden="1">
      <c r="B73" s="2"/>
    </row>
    <row r="74" spans="1:8" ht="13.2" hidden="1">
      <c r="B74" s="2"/>
    </row>
    <row r="75" spans="1:8" ht="12.75" hidden="1" customHeight="1">
      <c r="B75" s="2"/>
    </row>
    <row r="76" spans="1:8" ht="12.75" hidden="1" customHeight="1">
      <c r="B76" s="2"/>
    </row>
    <row r="77" spans="1:8" ht="12.75" hidden="1" customHeight="1">
      <c r="B77" s="2"/>
    </row>
    <row r="78" spans="1:8" ht="12.75" hidden="1" customHeight="1">
      <c r="B78" s="2"/>
    </row>
    <row r="79" spans="1:8" ht="12.75" hidden="1" customHeight="1">
      <c r="B79" s="2"/>
    </row>
  </sheetData>
  <sheetProtection formatCells="0" formatColumns="0" formatRows="0" insertColumns="0" insertRows="0" insertHyperlinks="0" deleteColumns="0" deleteRows="0" sort="0" autoFilter="0" pivotTables="0"/>
  <mergeCells count="1">
    <mergeCell ref="C20:H21"/>
  </mergeCells>
  <conditionalFormatting sqref="H28:H30 H33 H35:H37 H42:H47">
    <cfRule type="cellIs" dxfId="74" priority="1" stopIfTrue="1" operator="equal">
      <formula>1</formula>
    </cfRule>
  </conditionalFormatting>
  <hyperlinks>
    <hyperlink ref="C40" location="'Precedents - Selection'!A1" display="Precedents - Selection" xr:uid="{00000000-0004-0000-0500-000000000000}"/>
    <hyperlink ref="C41" location="'Precedents - Dataset'!A1" display="Precedents - Dataset" xr:uid="{00000000-0004-0000-0500-000001000000}"/>
    <hyperlink ref="C35" location="'Comps - Selection'!A1" display="Comps - Selection" xr:uid="{00000000-0004-0000-0500-000002000000}"/>
    <hyperlink ref="C37" location="'Comps - Dataset'!A1" display="Comps - Dataset" xr:uid="{00000000-0004-0000-0500-000003000000}"/>
    <hyperlink ref="C29" location="'DCF - Financials'!A1" display="Financials" xr:uid="{00000000-0004-0000-0500-000004000000}"/>
    <hyperlink ref="C30" location="'DCF - Capital Structure'!A1" display="DCF - Capital Structure" xr:uid="{00000000-0004-0000-0500-000005000000}"/>
    <hyperlink ref="C31" location="'DCF - Valuation'!A1" display="DCF Valuation " xr:uid="{00000000-0004-0000-0500-000006000000}"/>
    <hyperlink ref="C28" location="'DCF - Assumptions'!A1" display="DCF - Assumptions" xr:uid="{00000000-0004-0000-0500-000007000000}"/>
    <hyperlink ref="C27" location="'DCF - Outputs'!A1" display="DCF - Outputs" xr:uid="{00000000-0004-0000-0500-000008000000}"/>
    <hyperlink ref="C32" location="'DCF - Assumptions Document'!A1" display="DCF - Assumptions Document" xr:uid="{00000000-0004-0000-0500-000009000000}"/>
    <hyperlink ref="C44" location="'LBO - Outputs'!A1" display="LBO - Outputs" xr:uid="{00000000-0004-0000-0500-00000A000000}"/>
    <hyperlink ref="C45" location="'LBO - Assumptions'!A1" display="LBO - Assumptions" xr:uid="{00000000-0004-0000-0500-00000B000000}"/>
    <hyperlink ref="C46" location="'LBO - Financials'!A1" display="LBO - Financials" xr:uid="{00000000-0004-0000-0500-00000C000000}"/>
    <hyperlink ref="C47" location="'LBO - Assumptions Document'!A1" display="LBO - Assumptions Document" xr:uid="{00000000-0004-0000-0500-00000D000000}"/>
    <hyperlink ref="F23" r:id="rId1" xr:uid="{00000000-0004-0000-0500-00000E000000}"/>
    <hyperlink ref="C36" location="'Comps - Outputs'!A1" display="Comps - Outputs" xr:uid="{00000000-0004-0000-0500-00000F000000}"/>
  </hyperlinks>
  <printOptions horizontalCentered="1" verticalCentered="1"/>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6654A"/>
  </sheetPr>
  <dimension ref="A1:JC470"/>
  <sheetViews>
    <sheetView showGridLines="0" topLeftCell="A2" zoomScaleSheetLayoutView="100" workbookViewId="0">
      <pane xSplit="5" ySplit="7" topLeftCell="F114" activePane="bottomRight" state="frozen"/>
      <selection pane="topRight" activeCell="V123" sqref="V123"/>
      <selection pane="bottomLeft" activeCell="V123" sqref="V123"/>
      <selection pane="bottomRight" activeCell="M167" sqref="M167"/>
    </sheetView>
  </sheetViews>
  <sheetFormatPr defaultColWidth="0" defaultRowHeight="10.199999999999999" zeroHeight="1"/>
  <cols>
    <col min="1" max="1" width="2.44140625" style="3" customWidth="1"/>
    <col min="2" max="2" width="1" style="3" customWidth="1"/>
    <col min="3" max="3" width="24.44140625" style="3" customWidth="1"/>
    <col min="4" max="4" width="16.44140625" style="3" customWidth="1"/>
    <col min="5" max="5" width="11.44140625" style="3" hidden="1" customWidth="1"/>
    <col min="6" max="6" width="29.6640625" style="918" customWidth="1"/>
    <col min="7" max="7" width="8.88671875" style="3" bestFit="1" customWidth="1"/>
    <col min="8" max="19" width="7.44140625" style="3" customWidth="1"/>
    <col min="20" max="20" width="2.44140625" style="3" customWidth="1"/>
    <col min="21" max="22" width="4.44140625" style="3" customWidth="1"/>
    <col min="23" max="23" width="2.44140625" style="3" customWidth="1"/>
    <col min="24" max="258" width="9.44140625" style="3" hidden="1" customWidth="1"/>
    <col min="259" max="263" width="0" style="3" hidden="1" customWidth="1"/>
    <col min="264" max="16384" width="9.44140625" style="3" hidden="1"/>
  </cols>
  <sheetData>
    <row r="1" spans="1:99" hidden="1">
      <c r="A1" s="32"/>
      <c r="B1" s="32"/>
      <c r="C1" s="32"/>
      <c r="D1" s="32"/>
      <c r="E1" s="32"/>
    </row>
    <row r="2" spans="1:99" s="26" customFormat="1" ht="13.2">
      <c r="A2" s="36"/>
      <c r="B2" s="36" t="str">
        <f>'DCF - Assumptions (old)'!$F$8&amp;" | Discounted Cash Flows - Financial Statements"</f>
        <v>Bumble INC | Discounted Cash Flows - Financial Statements</v>
      </c>
      <c r="C2" s="35"/>
      <c r="F2" s="919"/>
      <c r="U2" s="34" t="str">
        <f>IF(V7=U7,"OK","Check")</f>
        <v>OK</v>
      </c>
      <c r="V2" s="34" t="str">
        <f>IF(U6=V6,"OK","Check")</f>
        <v>OK</v>
      </c>
    </row>
    <row r="3" spans="1:99" s="32" customFormat="1" ht="2.25" customHeight="1">
      <c r="A3" s="33"/>
      <c r="B3" s="33"/>
      <c r="F3" s="920"/>
      <c r="T3" s="31"/>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row>
    <row r="4" spans="1:99" s="28" customFormat="1" ht="3" customHeight="1">
      <c r="A4" s="29"/>
      <c r="B4" s="29"/>
      <c r="F4" s="921"/>
      <c r="T4" s="27"/>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row>
    <row r="5" spans="1:99" ht="11.25" customHeight="1">
      <c r="G5" s="847"/>
      <c r="H5" s="847"/>
      <c r="I5" s="847"/>
      <c r="J5" s="847"/>
      <c r="K5" s="847"/>
      <c r="L5" s="1089"/>
      <c r="M5" s="1089"/>
      <c r="N5" s="1089"/>
      <c r="O5" s="1089"/>
      <c r="P5" s="1089"/>
      <c r="Q5" s="1089"/>
      <c r="R5" s="1089"/>
      <c r="S5" s="1089"/>
    </row>
    <row r="6" spans="1:99" ht="12">
      <c r="A6" s="19"/>
      <c r="B6" s="19"/>
      <c r="C6" s="807" t="s">
        <v>894</v>
      </c>
      <c r="D6" s="808"/>
      <c r="E6" s="808"/>
      <c r="F6" s="922"/>
      <c r="G6" s="808"/>
      <c r="H6" s="808"/>
      <c r="I6" s="808"/>
      <c r="J6" s="808"/>
      <c r="K6" s="808"/>
      <c r="L6" s="808"/>
      <c r="M6" s="808"/>
      <c r="N6" s="808"/>
      <c r="O6" s="808"/>
      <c r="P6" s="808"/>
      <c r="Q6" s="808"/>
      <c r="R6" s="808"/>
      <c r="S6" s="808"/>
      <c r="U6" s="42">
        <f>ROWS(C6:C172)</f>
        <v>167</v>
      </c>
      <c r="V6" s="24">
        <v>167</v>
      </c>
      <c r="W6" s="19"/>
      <c r="X6" s="19"/>
      <c r="Y6" s="19"/>
      <c r="Z6" s="19"/>
      <c r="AA6" s="19"/>
      <c r="AB6" s="19"/>
      <c r="AC6" s="19"/>
      <c r="AD6" s="19"/>
      <c r="AE6" s="19"/>
      <c r="AF6" s="19"/>
      <c r="AG6" s="19"/>
      <c r="AH6" s="19"/>
      <c r="AI6" s="19"/>
      <c r="AJ6" s="19"/>
      <c r="AK6" s="19"/>
      <c r="AL6" s="19"/>
    </row>
    <row r="7" spans="1:99" ht="13.5" customHeight="1">
      <c r="G7" s="40"/>
      <c r="H7" s="40"/>
      <c r="I7" s="40"/>
      <c r="J7" s="39"/>
      <c r="K7" s="847"/>
      <c r="L7" s="1089" t="str">
        <f>'DCF - Assumptions (old)'!$L$6</f>
        <v>Projected Fiscal Years Ending June 31</v>
      </c>
      <c r="M7" s="1089"/>
      <c r="N7" s="1089"/>
      <c r="O7" s="1089"/>
      <c r="P7" s="1089"/>
      <c r="Q7" s="1089"/>
      <c r="R7" s="1089"/>
      <c r="S7" s="1089"/>
      <c r="U7" s="93"/>
      <c r="V7" s="24"/>
    </row>
    <row r="8" spans="1:99" ht="13.5" customHeight="1" thickBot="1">
      <c r="A8" s="57"/>
      <c r="B8" s="57"/>
      <c r="C8" s="57" t="str">
        <f>'DCF - Outputs'!C7</f>
        <v>* All amounts in millions of US dollars except per share and multiples</v>
      </c>
      <c r="D8" s="57"/>
      <c r="E8" s="57"/>
      <c r="F8" s="923"/>
      <c r="G8" s="85">
        <f>+'DCF - Assumptions (old)'!G7</f>
        <v>2019</v>
      </c>
      <c r="H8" s="85">
        <f>+'DCF - Assumptions (old)'!H7</f>
        <v>2020</v>
      </c>
      <c r="I8" s="85">
        <f>+'DCF - Assumptions (old)'!I7</f>
        <v>2021</v>
      </c>
      <c r="J8" s="85">
        <f>+'DCF - Assumptions (old)'!J7</f>
        <v>2022</v>
      </c>
      <c r="K8" s="85">
        <f>+'DCF - Assumptions (old)'!K7</f>
        <v>2023</v>
      </c>
      <c r="L8" s="85">
        <f>+'DCF - Assumptions (old)'!L7</f>
        <v>2024</v>
      </c>
      <c r="M8" s="85">
        <f>+'DCF - Assumptions (old)'!M7</f>
        <v>2025</v>
      </c>
      <c r="N8" s="85">
        <f>+'DCF - Assumptions (old)'!N7</f>
        <v>2026</v>
      </c>
      <c r="O8" s="85">
        <f>+'DCF - Assumptions (old)'!O7</f>
        <v>2027</v>
      </c>
      <c r="P8" s="85">
        <f>+'DCF - Assumptions (old)'!P7</f>
        <v>2028</v>
      </c>
      <c r="Q8" s="85">
        <f>+'DCF - Assumptions (old)'!Q7</f>
        <v>2029</v>
      </c>
      <c r="R8" s="85">
        <f>+'DCF - Assumptions (old)'!R7</f>
        <v>2030</v>
      </c>
      <c r="S8" s="85">
        <f>+'DCF - Assumptions (old)'!S7</f>
        <v>2031</v>
      </c>
      <c r="U8" s="93">
        <f t="shared" ref="U8:U72" si="0">IF(NOT(ISBLANK(C8)), 1, 0)</f>
        <v>1</v>
      </c>
      <c r="V8" s="24">
        <v>1</v>
      </c>
    </row>
    <row r="9" spans="1:99" ht="12.75" customHeight="1">
      <c r="A9" s="20"/>
      <c r="B9" s="20"/>
      <c r="C9" s="3" t="s">
        <v>895</v>
      </c>
      <c r="G9" s="852" t="e">
        <f ca="1">G11-G10</f>
        <v>#NAME?</v>
      </c>
      <c r="H9" s="852" t="e">
        <f t="shared" ref="H9:K9" ca="1" si="1">H11-H10</f>
        <v>#NAME?</v>
      </c>
      <c r="I9" s="852" t="e">
        <f t="shared" ca="1" si="1"/>
        <v>#NAME?</v>
      </c>
      <c r="J9" s="852" t="e">
        <f t="shared" ca="1" si="1"/>
        <v>#NAME?</v>
      </c>
      <c r="K9" s="852" t="e">
        <f t="shared" ca="1" si="1"/>
        <v>#NAME?</v>
      </c>
      <c r="L9" s="852"/>
      <c r="M9" s="852"/>
      <c r="N9" s="852"/>
      <c r="O9" s="852"/>
      <c r="P9" s="852"/>
      <c r="Q9" s="852"/>
      <c r="R9" s="852"/>
      <c r="S9" s="852"/>
      <c r="U9" s="93">
        <f t="shared" si="0"/>
        <v>1</v>
      </c>
      <c r="V9" s="24">
        <v>1</v>
      </c>
    </row>
    <row r="10" spans="1:99" ht="12.75" customHeight="1">
      <c r="A10" s="20"/>
      <c r="B10" s="20"/>
      <c r="C10" s="54" t="s">
        <v>896</v>
      </c>
      <c r="G10" s="1090">
        <v>-6427</v>
      </c>
      <c r="H10" s="1090">
        <v>-5945</v>
      </c>
      <c r="I10" s="1090">
        <v>-6420</v>
      </c>
      <c r="J10" s="1090">
        <v>-6996</v>
      </c>
      <c r="K10" s="1090">
        <v>-6402</v>
      </c>
      <c r="L10" s="565"/>
      <c r="M10" s="565"/>
      <c r="N10" s="565"/>
      <c r="O10" s="565"/>
      <c r="P10" s="565"/>
      <c r="Q10" s="565"/>
      <c r="R10" s="565"/>
      <c r="S10" s="565"/>
      <c r="U10" s="93">
        <f t="shared" si="0"/>
        <v>1</v>
      </c>
      <c r="V10" s="24">
        <v>1</v>
      </c>
    </row>
    <row r="11" spans="1:99" ht="13.5" customHeight="1">
      <c r="A11" s="20"/>
      <c r="B11" s="20"/>
      <c r="C11" s="853" t="s">
        <v>897</v>
      </c>
      <c r="D11" s="32"/>
      <c r="E11" s="32"/>
      <c r="F11" s="920"/>
      <c r="G11" s="211" t="e">
        <f ca="1">'DCF - Assumptions (old)'!G92</f>
        <v>#NAME?</v>
      </c>
      <c r="H11" s="211" t="e">
        <f ca="1">'DCF - Assumptions (old)'!H92</f>
        <v>#NAME?</v>
      </c>
      <c r="I11" s="211" t="e">
        <f ca="1">'DCF - Assumptions (old)'!I92</f>
        <v>#NAME?</v>
      </c>
      <c r="J11" s="211" t="e">
        <f ca="1">'DCF - Assumptions (old)'!J92</f>
        <v>#NAME?</v>
      </c>
      <c r="K11" s="211" t="e">
        <f ca="1">'DCF - Assumptions (old)'!K92</f>
        <v>#NAME?</v>
      </c>
      <c r="L11" s="564">
        <f>'DCF - Assumptions (old)'!L92</f>
        <v>17113</v>
      </c>
      <c r="M11" s="564">
        <f>'DCF - Assumptions (old)'!M92</f>
        <v>17113</v>
      </c>
      <c r="N11" s="564">
        <f>'DCF - Assumptions (old)'!N92</f>
        <v>17113</v>
      </c>
      <c r="O11" s="564">
        <f>'DCF - Assumptions (old)'!O92</f>
        <v>17113</v>
      </c>
      <c r="P11" s="564">
        <f>'DCF - Assumptions (old)'!P92</f>
        <v>17113</v>
      </c>
      <c r="Q11" s="564">
        <f>'DCF - Assumptions (old)'!Q92</f>
        <v>17113</v>
      </c>
      <c r="R11" s="564">
        <f>'DCF - Assumptions (old)'!R92</f>
        <v>17113</v>
      </c>
      <c r="S11" s="564">
        <f>'DCF - Assumptions (old)'!S92</f>
        <v>17113</v>
      </c>
      <c r="U11" s="93">
        <f t="shared" si="0"/>
        <v>1</v>
      </c>
      <c r="V11" s="24">
        <v>1</v>
      </c>
    </row>
    <row r="12" spans="1:99" ht="13.5" customHeight="1">
      <c r="C12" s="119" t="s">
        <v>898</v>
      </c>
      <c r="D12" s="1"/>
      <c r="E12" s="1"/>
      <c r="F12" s="924"/>
      <c r="G12" s="846"/>
      <c r="H12" s="355" t="e">
        <f ca="1">H11/G11-1</f>
        <v>#NAME?</v>
      </c>
      <c r="I12" s="355" t="e">
        <f t="shared" ref="I12:S12" ca="1" si="2">I11/H11-1</f>
        <v>#NAME?</v>
      </c>
      <c r="J12" s="355" t="e">
        <f t="shared" ca="1" si="2"/>
        <v>#NAME?</v>
      </c>
      <c r="K12" s="355" t="e">
        <f t="shared" ca="1" si="2"/>
        <v>#NAME?</v>
      </c>
      <c r="L12" s="355" t="e">
        <f ca="1">L11/K11-1</f>
        <v>#NAME?</v>
      </c>
      <c r="M12" s="355">
        <f t="shared" si="2"/>
        <v>0</v>
      </c>
      <c r="N12" s="355">
        <f t="shared" si="2"/>
        <v>0</v>
      </c>
      <c r="O12" s="355">
        <f t="shared" si="2"/>
        <v>0</v>
      </c>
      <c r="P12" s="355">
        <f t="shared" si="2"/>
        <v>0</v>
      </c>
      <c r="Q12" s="355">
        <f t="shared" si="2"/>
        <v>0</v>
      </c>
      <c r="R12" s="355">
        <f t="shared" si="2"/>
        <v>0</v>
      </c>
      <c r="S12" s="355">
        <f t="shared" si="2"/>
        <v>0</v>
      </c>
      <c r="T12"/>
      <c r="U12" s="93">
        <f t="shared" si="0"/>
        <v>1</v>
      </c>
      <c r="V12" s="24">
        <v>1</v>
      </c>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r="13" spans="1:99" ht="13.5" customHeight="1">
      <c r="A13" s="20"/>
      <c r="B13" s="20"/>
      <c r="G13" s="84"/>
      <c r="H13" s="84"/>
      <c r="I13" s="84"/>
      <c r="J13" s="84"/>
      <c r="K13" s="83"/>
      <c r="M13" s="823"/>
      <c r="N13" s="823"/>
      <c r="O13" s="823"/>
      <c r="P13" s="823"/>
      <c r="Q13" s="823"/>
      <c r="R13" s="823"/>
      <c r="S13" s="823"/>
      <c r="U13" s="93">
        <f>IF(NOT(ISBLANK(C13)), 1, 0)</f>
        <v>0</v>
      </c>
      <c r="V13" s="24">
        <v>0</v>
      </c>
    </row>
    <row r="14" spans="1:99" ht="13.5" customHeight="1">
      <c r="A14" s="20"/>
      <c r="B14" s="20"/>
      <c r="C14" s="3" t="s">
        <v>899</v>
      </c>
      <c r="G14" s="82">
        <v>-4866</v>
      </c>
      <c r="H14" s="82">
        <v>-4654</v>
      </c>
      <c r="I14" s="82">
        <v>-5038</v>
      </c>
      <c r="J14" s="82">
        <v>-5973</v>
      </c>
      <c r="K14" s="82">
        <v>-6899</v>
      </c>
      <c r="L14" s="559">
        <f>'DCF - Assumptions (old)'!L101</f>
        <v>-17113</v>
      </c>
      <c r="M14" s="559">
        <f>'DCF - Assumptions (old)'!M101</f>
        <v>-17113</v>
      </c>
      <c r="N14" s="559">
        <f>'DCF - Assumptions (old)'!N101</f>
        <v>-17113</v>
      </c>
      <c r="O14" s="559">
        <f>'DCF - Assumptions (old)'!O101</f>
        <v>-17113</v>
      </c>
      <c r="P14" s="559">
        <f>'DCF - Assumptions (old)'!P101</f>
        <v>-17113</v>
      </c>
      <c r="Q14" s="559">
        <f>'DCF - Assumptions (old)'!Q101</f>
        <v>-17113</v>
      </c>
      <c r="R14" s="559">
        <f>'DCF - Assumptions (old)'!R101</f>
        <v>-17113</v>
      </c>
      <c r="S14" s="559">
        <f>'DCF - Assumptions (old)'!S101</f>
        <v>-17113</v>
      </c>
      <c r="U14" s="93">
        <f t="shared" si="0"/>
        <v>1</v>
      </c>
      <c r="V14" s="24">
        <v>1</v>
      </c>
    </row>
    <row r="15" spans="1:99" ht="13.5" customHeight="1">
      <c r="A15" s="20"/>
      <c r="B15" s="20"/>
      <c r="C15" s="78" t="s">
        <v>900</v>
      </c>
      <c r="D15" s="78"/>
      <c r="E15" s="78"/>
      <c r="F15" s="925"/>
      <c r="G15" s="211">
        <f>SUM(G14)</f>
        <v>-4866</v>
      </c>
      <c r="H15" s="211">
        <f t="shared" ref="H15:S15" si="3">SUM(H14)</f>
        <v>-4654</v>
      </c>
      <c r="I15" s="211">
        <f t="shared" si="3"/>
        <v>-5038</v>
      </c>
      <c r="J15" s="211">
        <f t="shared" si="3"/>
        <v>-5973</v>
      </c>
      <c r="K15" s="211">
        <f t="shared" si="3"/>
        <v>-6899</v>
      </c>
      <c r="L15" s="564">
        <f t="shared" si="3"/>
        <v>-17113</v>
      </c>
      <c r="M15" s="564">
        <f t="shared" si="3"/>
        <v>-17113</v>
      </c>
      <c r="N15" s="564">
        <f t="shared" si="3"/>
        <v>-17113</v>
      </c>
      <c r="O15" s="564">
        <f t="shared" si="3"/>
        <v>-17113</v>
      </c>
      <c r="P15" s="564">
        <f t="shared" si="3"/>
        <v>-17113</v>
      </c>
      <c r="Q15" s="564">
        <f t="shared" si="3"/>
        <v>-17113</v>
      </c>
      <c r="R15" s="564">
        <f t="shared" si="3"/>
        <v>-17113</v>
      </c>
      <c r="S15" s="564">
        <f t="shared" si="3"/>
        <v>-17113</v>
      </c>
      <c r="U15" s="93">
        <f t="shared" si="0"/>
        <v>1</v>
      </c>
      <c r="V15" s="24">
        <v>1</v>
      </c>
    </row>
    <row r="16" spans="1:99" ht="13.5" customHeight="1">
      <c r="C16" s="119" t="s">
        <v>901</v>
      </c>
      <c r="D16" s="1"/>
      <c r="E16" s="1"/>
      <c r="F16" s="924"/>
      <c r="G16" s="355" t="e">
        <f ca="1">G15/G11</f>
        <v>#NAME?</v>
      </c>
      <c r="H16" s="355" t="e">
        <f ca="1">H15/H11</f>
        <v>#NAME?</v>
      </c>
      <c r="I16" s="355" t="e">
        <f ca="1">I15/I11</f>
        <v>#NAME?</v>
      </c>
      <c r="J16" s="355" t="e">
        <f ca="1">J15/J11</f>
        <v>#NAME?</v>
      </c>
      <c r="K16" s="355" t="e">
        <f ca="1">K15/K11</f>
        <v>#NAME?</v>
      </c>
      <c r="L16" s="355">
        <v>0.4</v>
      </c>
      <c r="M16" s="355">
        <v>0.4</v>
      </c>
      <c r="N16" s="355">
        <v>0.4</v>
      </c>
      <c r="O16" s="355">
        <v>0.4</v>
      </c>
      <c r="P16" s="355">
        <v>0.4</v>
      </c>
      <c r="Q16" s="355">
        <v>0.4</v>
      </c>
      <c r="R16" s="355">
        <v>0.4</v>
      </c>
      <c r="S16" s="355">
        <v>0.4</v>
      </c>
      <c r="T16"/>
      <c r="U16" s="93">
        <f t="shared" si="0"/>
        <v>1</v>
      </c>
      <c r="V16" s="24">
        <v>1</v>
      </c>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r="17" spans="1:99" ht="13.5" customHeight="1">
      <c r="A17" s="20"/>
      <c r="B17" s="20"/>
      <c r="C17" s="23"/>
      <c r="G17" s="6"/>
      <c r="H17" s="6"/>
      <c r="I17" s="6"/>
      <c r="J17" s="6"/>
      <c r="K17" s="6"/>
      <c r="L17" s="6"/>
      <c r="M17" s="6"/>
      <c r="N17" s="6"/>
      <c r="O17" s="6"/>
      <c r="P17" s="6"/>
      <c r="Q17" s="6"/>
      <c r="R17" s="6"/>
      <c r="S17" s="6"/>
      <c r="U17" s="93">
        <f t="shared" si="0"/>
        <v>0</v>
      </c>
      <c r="V17" s="24">
        <v>0</v>
      </c>
    </row>
    <row r="18" spans="1:99" ht="13.5" customHeight="1">
      <c r="A18" s="20"/>
      <c r="B18" s="20"/>
      <c r="C18" s="78" t="s">
        <v>902</v>
      </c>
      <c r="D18" s="78"/>
      <c r="E18" s="78"/>
      <c r="F18" s="925"/>
      <c r="G18" s="211" t="e">
        <f ca="1">G11+G15</f>
        <v>#NAME?</v>
      </c>
      <c r="H18" s="211" t="e">
        <f t="shared" ref="H18:S18" ca="1" si="4">H11+H15</f>
        <v>#NAME?</v>
      </c>
      <c r="I18" s="211" t="e">
        <f t="shared" ca="1" si="4"/>
        <v>#NAME?</v>
      </c>
      <c r="J18" s="211" t="e">
        <f t="shared" ca="1" si="4"/>
        <v>#NAME?</v>
      </c>
      <c r="K18" s="211" t="e">
        <f t="shared" ca="1" si="4"/>
        <v>#NAME?</v>
      </c>
      <c r="L18" s="564">
        <f t="shared" si="4"/>
        <v>0</v>
      </c>
      <c r="M18" s="564">
        <f t="shared" si="4"/>
        <v>0</v>
      </c>
      <c r="N18" s="564">
        <f t="shared" si="4"/>
        <v>0</v>
      </c>
      <c r="O18" s="564">
        <f t="shared" si="4"/>
        <v>0</v>
      </c>
      <c r="P18" s="564">
        <f t="shared" si="4"/>
        <v>0</v>
      </c>
      <c r="Q18" s="564">
        <f t="shared" si="4"/>
        <v>0</v>
      </c>
      <c r="R18" s="564">
        <f t="shared" si="4"/>
        <v>0</v>
      </c>
      <c r="S18" s="564">
        <f t="shared" si="4"/>
        <v>0</v>
      </c>
      <c r="U18" s="93">
        <f t="shared" si="0"/>
        <v>1</v>
      </c>
      <c r="V18" s="24">
        <v>1</v>
      </c>
    </row>
    <row r="19" spans="1:99" ht="13.5" customHeight="1">
      <c r="C19" s="119" t="s">
        <v>903</v>
      </c>
      <c r="D19" s="1"/>
      <c r="E19" s="1"/>
      <c r="F19" s="924"/>
      <c r="G19" s="355" t="e">
        <f t="shared" ref="G19:S19" ca="1" si="5">G18/G11</f>
        <v>#NAME?</v>
      </c>
      <c r="H19" s="355" t="e">
        <f t="shared" ca="1" si="5"/>
        <v>#NAME?</v>
      </c>
      <c r="I19" s="355" t="e">
        <f t="shared" ca="1" si="5"/>
        <v>#NAME?</v>
      </c>
      <c r="J19" s="355" t="e">
        <f t="shared" ca="1" si="5"/>
        <v>#NAME?</v>
      </c>
      <c r="K19" s="355" t="e">
        <f t="shared" ca="1" si="5"/>
        <v>#NAME?</v>
      </c>
      <c r="L19" s="355">
        <f t="shared" si="5"/>
        <v>0</v>
      </c>
      <c r="M19" s="355">
        <f t="shared" si="5"/>
        <v>0</v>
      </c>
      <c r="N19" s="355">
        <f t="shared" si="5"/>
        <v>0</v>
      </c>
      <c r="O19" s="355">
        <f t="shared" si="5"/>
        <v>0</v>
      </c>
      <c r="P19" s="355">
        <f t="shared" si="5"/>
        <v>0</v>
      </c>
      <c r="Q19" s="355">
        <f t="shared" si="5"/>
        <v>0</v>
      </c>
      <c r="R19" s="355">
        <f t="shared" si="5"/>
        <v>0</v>
      </c>
      <c r="S19" s="355">
        <f t="shared" si="5"/>
        <v>0</v>
      </c>
      <c r="T19"/>
      <c r="U19" s="93">
        <f t="shared" si="0"/>
        <v>1</v>
      </c>
      <c r="V19" s="24">
        <v>1</v>
      </c>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r="20" spans="1:99" ht="13.5" customHeight="1">
      <c r="A20" s="20"/>
      <c r="B20" s="20"/>
      <c r="C20" s="23"/>
      <c r="G20" s="6"/>
      <c r="H20" s="6"/>
      <c r="I20" s="110"/>
      <c r="J20" s="110"/>
      <c r="K20" s="110"/>
      <c r="L20" s="6"/>
      <c r="M20" s="6"/>
      <c r="N20" s="6"/>
      <c r="O20" s="6"/>
      <c r="P20" s="6"/>
      <c r="Q20" s="6"/>
      <c r="R20" s="6"/>
      <c r="S20" s="6"/>
      <c r="U20" s="93">
        <f t="shared" si="0"/>
        <v>0</v>
      </c>
      <c r="V20" s="24">
        <v>0</v>
      </c>
    </row>
    <row r="21" spans="1:99" ht="13.5" customHeight="1">
      <c r="A21" s="20"/>
      <c r="B21" s="20"/>
      <c r="C21" s="81" t="s">
        <v>904</v>
      </c>
      <c r="G21" s="82">
        <v>-2042</v>
      </c>
      <c r="H21" s="82">
        <v>-1841</v>
      </c>
      <c r="I21" s="82">
        <v>-2163</v>
      </c>
      <c r="J21" s="82">
        <v>-2721</v>
      </c>
      <c r="K21" s="82">
        <v>-3051</v>
      </c>
      <c r="L21" s="559">
        <f>'DCF - Assumptions (old)'!L106</f>
        <v>0</v>
      </c>
      <c r="M21" s="559">
        <f>'DCF - Assumptions (old)'!M106</f>
        <v>0</v>
      </c>
      <c r="N21" s="559">
        <f>'DCF - Assumptions (old)'!N106</f>
        <v>0</v>
      </c>
      <c r="O21" s="559">
        <f>'DCF - Assumptions (old)'!O106</f>
        <v>0</v>
      </c>
      <c r="P21" s="559">
        <f>'DCF - Assumptions (old)'!P106</f>
        <v>0</v>
      </c>
      <c r="Q21" s="559">
        <f>'DCF - Assumptions (old)'!Q106</f>
        <v>0</v>
      </c>
      <c r="R21" s="559">
        <f>'DCF - Assumptions (old)'!R106</f>
        <v>0</v>
      </c>
      <c r="S21" s="559">
        <f>'DCF - Assumptions (old)'!S106</f>
        <v>0</v>
      </c>
      <c r="U21" s="93">
        <f t="shared" si="0"/>
        <v>1</v>
      </c>
      <c r="V21" s="24">
        <v>1</v>
      </c>
    </row>
    <row r="22" spans="1:99" ht="13.5" customHeight="1">
      <c r="A22" s="20"/>
      <c r="B22" s="20"/>
      <c r="C22" s="81" t="s">
        <v>905</v>
      </c>
      <c r="G22" s="82">
        <v>-1917</v>
      </c>
      <c r="H22" s="82">
        <v>-3120</v>
      </c>
      <c r="I22" s="82">
        <v>-1801</v>
      </c>
      <c r="J22" s="82">
        <v>-2349</v>
      </c>
      <c r="K22" s="82">
        <v>-2531</v>
      </c>
      <c r="L22" s="559">
        <f>'DCF - Assumptions (old)'!L111</f>
        <v>0</v>
      </c>
      <c r="M22" s="559">
        <f>'DCF - Assumptions (old)'!M111</f>
        <v>0</v>
      </c>
      <c r="N22" s="559">
        <f>'DCF - Assumptions (old)'!N111</f>
        <v>0</v>
      </c>
      <c r="O22" s="559">
        <f>'DCF - Assumptions (old)'!O111</f>
        <v>0</v>
      </c>
      <c r="P22" s="559">
        <f>'DCF - Assumptions (old)'!P111</f>
        <v>0</v>
      </c>
      <c r="Q22" s="559">
        <f>'DCF - Assumptions (old)'!Q111</f>
        <v>0</v>
      </c>
      <c r="R22" s="559">
        <f>'DCF - Assumptions (old)'!R111</f>
        <v>0</v>
      </c>
      <c r="S22" s="559">
        <f>'DCF - Assumptions (old)'!S111</f>
        <v>0</v>
      </c>
      <c r="U22" s="93">
        <f t="shared" si="0"/>
        <v>1</v>
      </c>
      <c r="V22" s="24">
        <v>1</v>
      </c>
    </row>
    <row r="23" spans="1:99" ht="13.5" customHeight="1">
      <c r="A23" s="20"/>
      <c r="B23" s="20"/>
      <c r="C23" s="78" t="s">
        <v>664</v>
      </c>
      <c r="D23" s="78"/>
      <c r="E23" s="78"/>
      <c r="F23" s="925"/>
      <c r="G23" s="211">
        <f>SUM(G21:G22)</f>
        <v>-3959</v>
      </c>
      <c r="H23" s="211">
        <f t="shared" ref="H23:S23" si="6">SUM(H21:H22)</f>
        <v>-4961</v>
      </c>
      <c r="I23" s="211">
        <f t="shared" si="6"/>
        <v>-3964</v>
      </c>
      <c r="J23" s="211">
        <f t="shared" si="6"/>
        <v>-5070</v>
      </c>
      <c r="K23" s="211">
        <f t="shared" si="6"/>
        <v>-5582</v>
      </c>
      <c r="L23" s="564">
        <f t="shared" si="6"/>
        <v>0</v>
      </c>
      <c r="M23" s="564">
        <f t="shared" si="6"/>
        <v>0</v>
      </c>
      <c r="N23" s="564">
        <f t="shared" si="6"/>
        <v>0</v>
      </c>
      <c r="O23" s="564">
        <f t="shared" si="6"/>
        <v>0</v>
      </c>
      <c r="P23" s="564">
        <f t="shared" si="6"/>
        <v>0</v>
      </c>
      <c r="Q23" s="564">
        <f t="shared" si="6"/>
        <v>0</v>
      </c>
      <c r="R23" s="564">
        <f t="shared" si="6"/>
        <v>0</v>
      </c>
      <c r="S23" s="564">
        <f t="shared" si="6"/>
        <v>0</v>
      </c>
      <c r="U23" s="93">
        <f t="shared" si="0"/>
        <v>1</v>
      </c>
      <c r="V23" s="24">
        <v>1</v>
      </c>
    </row>
    <row r="24" spans="1:99" ht="13.5" customHeight="1">
      <c r="C24" s="119" t="s">
        <v>906</v>
      </c>
      <c r="D24" s="1"/>
      <c r="E24" s="1"/>
      <c r="F24" s="924"/>
      <c r="G24" s="355" t="e">
        <f ca="1">G23/G$11</f>
        <v>#NAME?</v>
      </c>
      <c r="H24" s="355" t="e">
        <f ca="1">H23/H$11</f>
        <v>#NAME?</v>
      </c>
      <c r="I24" s="355" t="e">
        <f t="shared" ref="I24:J24" ca="1" si="7">I23/I$11</f>
        <v>#NAME?</v>
      </c>
      <c r="J24" s="355" t="e">
        <f t="shared" ca="1" si="7"/>
        <v>#NAME?</v>
      </c>
      <c r="K24" s="355" t="e">
        <f ca="1">K23/K$11</f>
        <v>#NAME?</v>
      </c>
      <c r="L24" s="355">
        <f>L23/L11</f>
        <v>0</v>
      </c>
      <c r="M24" s="355">
        <f t="shared" ref="M24:S24" si="8">M23/M11</f>
        <v>0</v>
      </c>
      <c r="N24" s="355">
        <f t="shared" si="8"/>
        <v>0</v>
      </c>
      <c r="O24" s="355">
        <f t="shared" si="8"/>
        <v>0</v>
      </c>
      <c r="P24" s="355">
        <f t="shared" si="8"/>
        <v>0</v>
      </c>
      <c r="Q24" s="355">
        <f t="shared" si="8"/>
        <v>0</v>
      </c>
      <c r="R24" s="355">
        <f t="shared" si="8"/>
        <v>0</v>
      </c>
      <c r="S24" s="355">
        <f t="shared" si="8"/>
        <v>0</v>
      </c>
      <c r="T24"/>
      <c r="U24" s="93">
        <f t="shared" si="0"/>
        <v>1</v>
      </c>
      <c r="V24" s="24">
        <v>1</v>
      </c>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r="25" spans="1:99" ht="13.5" customHeight="1">
      <c r="C25" s="119"/>
      <c r="D25" s="1"/>
      <c r="E25" s="1"/>
      <c r="F25" s="924"/>
      <c r="G25" s="355"/>
      <c r="H25" s="355"/>
      <c r="I25" s="355"/>
      <c r="J25" s="355"/>
      <c r="K25" s="355"/>
      <c r="L25"/>
      <c r="M25"/>
      <c r="N25"/>
      <c r="O25"/>
      <c r="P25"/>
      <c r="Q25"/>
      <c r="R25"/>
      <c r="S25"/>
      <c r="T25"/>
      <c r="U25" s="93">
        <f t="shared" si="0"/>
        <v>0</v>
      </c>
      <c r="V25" s="24">
        <v>0</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r="26" spans="1:99" ht="13.5" customHeight="1">
      <c r="A26"/>
      <c r="B26" s="20"/>
      <c r="C26" s="593" t="s">
        <v>907</v>
      </c>
      <c r="D26" s="32"/>
      <c r="E26" s="592"/>
      <c r="F26" s="926"/>
      <c r="G26" s="211" t="e">
        <f ca="1">G18+G23</f>
        <v>#NAME?</v>
      </c>
      <c r="H26" s="211" t="e">
        <f t="shared" ref="H26:S26" ca="1" si="9">H18+H23</f>
        <v>#NAME?</v>
      </c>
      <c r="I26" s="211" t="e">
        <f t="shared" ca="1" si="9"/>
        <v>#NAME?</v>
      </c>
      <c r="J26" s="211" t="e">
        <f t="shared" ca="1" si="9"/>
        <v>#NAME?</v>
      </c>
      <c r="K26" s="211" t="e">
        <f t="shared" ca="1" si="9"/>
        <v>#NAME?</v>
      </c>
      <c r="L26" s="564">
        <f t="shared" si="9"/>
        <v>0</v>
      </c>
      <c r="M26" s="564">
        <f t="shared" si="9"/>
        <v>0</v>
      </c>
      <c r="N26" s="564">
        <f t="shared" si="9"/>
        <v>0</v>
      </c>
      <c r="O26" s="564">
        <f t="shared" si="9"/>
        <v>0</v>
      </c>
      <c r="P26" s="564">
        <f t="shared" si="9"/>
        <v>0</v>
      </c>
      <c r="Q26" s="564">
        <f t="shared" si="9"/>
        <v>0</v>
      </c>
      <c r="R26" s="564">
        <f t="shared" si="9"/>
        <v>0</v>
      </c>
      <c r="S26" s="564">
        <f t="shared" si="9"/>
        <v>0</v>
      </c>
      <c r="U26" s="93">
        <f t="shared" si="0"/>
        <v>1</v>
      </c>
      <c r="V26" s="24">
        <v>1</v>
      </c>
    </row>
    <row r="27" spans="1:99" ht="13.5" customHeight="1">
      <c r="A27"/>
      <c r="B27" s="20"/>
      <c r="C27" s="594"/>
      <c r="E27" s="595"/>
      <c r="F27" s="927"/>
      <c r="G27" s="22"/>
      <c r="H27" s="22"/>
      <c r="I27" s="22"/>
      <c r="J27" s="22"/>
      <c r="K27" s="1031"/>
      <c r="L27" s="891"/>
      <c r="M27" s="891"/>
      <c r="N27"/>
      <c r="O27"/>
      <c r="P27"/>
      <c r="Q27"/>
      <c r="R27"/>
      <c r="S27"/>
      <c r="U27" s="93">
        <f t="shared" si="0"/>
        <v>0</v>
      </c>
      <c r="V27" s="24">
        <v>0</v>
      </c>
    </row>
    <row r="28" spans="1:99" ht="13.5" customHeight="1">
      <c r="A28" s="20"/>
      <c r="B28" s="20"/>
      <c r="C28" s="3" t="s">
        <v>908</v>
      </c>
      <c r="D28" s="344"/>
      <c r="G28" s="45">
        <v>144</v>
      </c>
      <c r="H28" s="45">
        <v>-23</v>
      </c>
      <c r="I28" s="45">
        <v>14</v>
      </c>
      <c r="J28" s="45">
        <v>-17</v>
      </c>
      <c r="K28" s="45">
        <v>328</v>
      </c>
      <c r="L28" s="559">
        <v>0</v>
      </c>
      <c r="M28" s="559">
        <v>0</v>
      </c>
      <c r="N28" s="559">
        <v>0</v>
      </c>
      <c r="O28" s="559">
        <v>0</v>
      </c>
      <c r="P28" s="559">
        <v>0</v>
      </c>
      <c r="Q28" s="559">
        <v>0</v>
      </c>
      <c r="R28" s="559">
        <v>0</v>
      </c>
      <c r="S28" s="559">
        <v>0</v>
      </c>
      <c r="U28" s="93">
        <f t="shared" si="0"/>
        <v>1</v>
      </c>
      <c r="V28" s="24">
        <v>1</v>
      </c>
    </row>
    <row r="29" spans="1:99" ht="13.5" customHeight="1">
      <c r="A29" s="20"/>
      <c r="B29" s="20"/>
      <c r="C29" s="19" t="s">
        <v>909</v>
      </c>
      <c r="D29" s="866"/>
      <c r="E29" s="1"/>
      <c r="F29" s="924"/>
      <c r="G29" s="82">
        <v>442</v>
      </c>
      <c r="H29" s="82">
        <v>366</v>
      </c>
      <c r="I29" s="82">
        <v>278</v>
      </c>
      <c r="J29" s="82">
        <v>497</v>
      </c>
      <c r="K29" s="82">
        <v>340</v>
      </c>
      <c r="L29" s="559" t="e">
        <f>'DCF - Assumptions (old)'!L176</f>
        <v>#REF!</v>
      </c>
      <c r="M29" s="559" t="e">
        <f>'DCF - Assumptions (old)'!M176</f>
        <v>#REF!</v>
      </c>
      <c r="N29" s="559" t="e">
        <f>'DCF - Assumptions (old)'!N176</f>
        <v>#REF!</v>
      </c>
      <c r="O29" s="559" t="e">
        <f>'DCF - Assumptions (old)'!O176</f>
        <v>#REF!</v>
      </c>
      <c r="P29" s="559" t="e">
        <f>'DCF - Assumptions (old)'!P176</f>
        <v>#REF!</v>
      </c>
      <c r="Q29" s="559" t="e">
        <f>'DCF - Assumptions (old)'!Q176</f>
        <v>#REF!</v>
      </c>
      <c r="R29" s="559" t="e">
        <f>'DCF - Assumptions (old)'!R176</f>
        <v>#REF!</v>
      </c>
      <c r="S29" s="559" t="e">
        <f>'DCF - Assumptions (old)'!S176</f>
        <v>#REF!</v>
      </c>
      <c r="U29" s="93">
        <f t="shared" si="0"/>
        <v>1</v>
      </c>
      <c r="V29" s="24">
        <v>1</v>
      </c>
    </row>
    <row r="30" spans="1:99" ht="13.5" customHeight="1">
      <c r="A30" s="20"/>
      <c r="B30" s="20"/>
      <c r="C30" s="81" t="s">
        <v>910</v>
      </c>
      <c r="D30" s="866"/>
      <c r="G30" s="82">
        <v>-705</v>
      </c>
      <c r="H30" s="82">
        <v>-719</v>
      </c>
      <c r="I30" s="82">
        <v>-651</v>
      </c>
      <c r="J30" s="82">
        <v>-919</v>
      </c>
      <c r="K30" s="82">
        <v>-934</v>
      </c>
      <c r="L30" s="559">
        <f>'DCF - Assumptions (old)'!L186+'DCF - Capital Structure'!L64</f>
        <v>-91.917907005916646</v>
      </c>
      <c r="M30" s="559">
        <f>'DCF - Assumptions (old)'!M186+'DCF - Capital Structure'!M64</f>
        <v>-113.62880633189667</v>
      </c>
      <c r="N30" s="559">
        <f>'DCF - Assumptions (old)'!N186+'DCF - Capital Structure'!N64</f>
        <v>-116.69903657763003</v>
      </c>
      <c r="O30" s="559">
        <f>'DCF - Assumptions (old)'!O186+'DCF - Capital Structure'!O64</f>
        <v>-115.92119687907561</v>
      </c>
      <c r="P30" s="559">
        <f>'DCF - Assumptions (old)'!P186+'DCF - Capital Structure'!P64</f>
        <v>-116.07588134960746</v>
      </c>
      <c r="Q30" s="559">
        <f>'DCF - Assumptions (old)'!Q186+'DCF - Capital Structure'!Q64</f>
        <v>-119.17876380839462</v>
      </c>
      <c r="R30" s="559">
        <f>'DCF - Assumptions (old)'!R186+'DCF - Capital Structure'!R64</f>
        <v>-120.82275109785557</v>
      </c>
      <c r="S30" s="559">
        <f>'DCF - Assumptions (old)'!S186+'DCF - Capital Structure'!S64</f>
        <v>-121.9797167945771</v>
      </c>
      <c r="U30" s="93">
        <f t="shared" si="0"/>
        <v>1</v>
      </c>
      <c r="V30" s="24">
        <v>1</v>
      </c>
    </row>
    <row r="31" spans="1:99" ht="13.5" customHeight="1">
      <c r="A31" s="20"/>
      <c r="B31" s="20"/>
      <c r="C31" s="3" t="s">
        <v>911</v>
      </c>
      <c r="G31" s="45">
        <v>312</v>
      </c>
      <c r="H31" s="45">
        <v>282</v>
      </c>
      <c r="I31" s="45">
        <v>334</v>
      </c>
      <c r="J31" s="45">
        <v>417</v>
      </c>
      <c r="K31" s="45">
        <v>370</v>
      </c>
      <c r="L31" s="623">
        <f>K31</f>
        <v>370</v>
      </c>
      <c r="M31" s="623">
        <f t="shared" ref="M31:S31" si="10">L31</f>
        <v>370</v>
      </c>
      <c r="N31" s="623">
        <f t="shared" si="10"/>
        <v>370</v>
      </c>
      <c r="O31" s="623">
        <f t="shared" si="10"/>
        <v>370</v>
      </c>
      <c r="P31" s="623">
        <f t="shared" si="10"/>
        <v>370</v>
      </c>
      <c r="Q31" s="623">
        <f t="shared" si="10"/>
        <v>370</v>
      </c>
      <c r="R31" s="623">
        <f t="shared" si="10"/>
        <v>370</v>
      </c>
      <c r="S31" s="623">
        <f t="shared" si="10"/>
        <v>370</v>
      </c>
      <c r="U31" s="93">
        <f t="shared" si="0"/>
        <v>1</v>
      </c>
      <c r="V31" s="24">
        <v>1</v>
      </c>
    </row>
    <row r="32" spans="1:99" ht="13.5" customHeight="1">
      <c r="A32" s="20"/>
      <c r="B32" s="20"/>
      <c r="C32" s="78" t="s">
        <v>912</v>
      </c>
      <c r="D32" s="32"/>
      <c r="E32" s="32"/>
      <c r="F32" s="920"/>
      <c r="G32" s="211" t="e">
        <f t="shared" ref="G32:S32" ca="1" si="11">G26+SUM(G28:G31)</f>
        <v>#NAME?</v>
      </c>
      <c r="H32" s="211" t="e">
        <f t="shared" ca="1" si="11"/>
        <v>#NAME?</v>
      </c>
      <c r="I32" s="211" t="e">
        <f t="shared" ca="1" si="11"/>
        <v>#NAME?</v>
      </c>
      <c r="J32" s="211" t="e">
        <f t="shared" ca="1" si="11"/>
        <v>#NAME?</v>
      </c>
      <c r="K32" s="211" t="e">
        <f t="shared" ca="1" si="11"/>
        <v>#NAME?</v>
      </c>
      <c r="L32" s="564" t="e">
        <f t="shared" si="11"/>
        <v>#REF!</v>
      </c>
      <c r="M32" s="564" t="e">
        <f t="shared" si="11"/>
        <v>#REF!</v>
      </c>
      <c r="N32" s="564" t="e">
        <f t="shared" si="11"/>
        <v>#REF!</v>
      </c>
      <c r="O32" s="564" t="e">
        <f t="shared" si="11"/>
        <v>#REF!</v>
      </c>
      <c r="P32" s="564" t="e">
        <f t="shared" si="11"/>
        <v>#REF!</v>
      </c>
      <c r="Q32" s="564" t="e">
        <f t="shared" si="11"/>
        <v>#REF!</v>
      </c>
      <c r="R32" s="564" t="e">
        <f t="shared" si="11"/>
        <v>#REF!</v>
      </c>
      <c r="S32" s="564" t="e">
        <f t="shared" si="11"/>
        <v>#REF!</v>
      </c>
      <c r="U32" s="93">
        <f t="shared" si="0"/>
        <v>1</v>
      </c>
      <c r="V32" s="24">
        <v>1</v>
      </c>
    </row>
    <row r="33" spans="1:22" ht="13.5" customHeight="1">
      <c r="A33" s="20"/>
      <c r="B33" s="20"/>
      <c r="G33" s="61"/>
      <c r="H33" s="61"/>
      <c r="I33" s="61"/>
      <c r="J33" s="61"/>
      <c r="K33" s="865"/>
      <c r="L33" s="61"/>
      <c r="M33" s="61"/>
      <c r="N33" s="61"/>
      <c r="O33" s="61"/>
      <c r="P33" s="61"/>
      <c r="Q33" s="61"/>
      <c r="R33" s="61"/>
      <c r="S33" s="61"/>
      <c r="U33" s="93">
        <f t="shared" si="0"/>
        <v>0</v>
      </c>
      <c r="V33" s="24">
        <v>0</v>
      </c>
    </row>
    <row r="34" spans="1:22" ht="13.5" customHeight="1">
      <c r="A34" s="20"/>
      <c r="B34" s="20"/>
      <c r="C34" s="1091" t="s">
        <v>913</v>
      </c>
      <c r="D34" s="1091"/>
      <c r="E34" s="1091"/>
      <c r="F34" s="1092"/>
      <c r="G34" s="1093">
        <v>-898</v>
      </c>
      <c r="H34" s="1093">
        <v>-589</v>
      </c>
      <c r="I34" s="1093">
        <v>-907</v>
      </c>
      <c r="J34" s="1093">
        <v>-1049</v>
      </c>
      <c r="K34" s="1093">
        <v>-970</v>
      </c>
      <c r="L34" s="1094" t="e">
        <f>-L32*'DCF - Assumptions (old)'!L179</f>
        <v>#REF!</v>
      </c>
      <c r="M34" s="1094" t="e">
        <f>-M32*'DCF - Assumptions (old)'!M179</f>
        <v>#REF!</v>
      </c>
      <c r="N34" s="1094" t="e">
        <f>-N32*'DCF - Assumptions (old)'!N179</f>
        <v>#REF!</v>
      </c>
      <c r="O34" s="1094" t="e">
        <f>-O32*'DCF - Assumptions (old)'!O179</f>
        <v>#REF!</v>
      </c>
      <c r="P34" s="1094" t="e">
        <f>-P32*'DCF - Assumptions (old)'!P179</f>
        <v>#REF!</v>
      </c>
      <c r="Q34" s="1094" t="e">
        <f>-Q32*'DCF - Assumptions (old)'!Q179</f>
        <v>#REF!</v>
      </c>
      <c r="R34" s="1094" t="e">
        <f>-R32*'DCF - Assumptions (old)'!R179</f>
        <v>#REF!</v>
      </c>
      <c r="S34" s="1094" t="e">
        <f>-S32*'DCF - Assumptions (old)'!S179</f>
        <v>#REF!</v>
      </c>
      <c r="U34" s="93">
        <f t="shared" si="0"/>
        <v>1</v>
      </c>
      <c r="V34" s="24">
        <v>1</v>
      </c>
    </row>
    <row r="35" spans="1:22" ht="13.5" customHeight="1">
      <c r="A35" s="20"/>
      <c r="B35" s="20"/>
      <c r="C35" s="23" t="s">
        <v>914</v>
      </c>
      <c r="G35" s="22" t="e">
        <f t="shared" ref="G35:S35" ca="1" si="12">SUM(G32:G34)</f>
        <v>#NAME?</v>
      </c>
      <c r="H35" s="22" t="e">
        <f t="shared" ca="1" si="12"/>
        <v>#NAME?</v>
      </c>
      <c r="I35" s="22" t="e">
        <f t="shared" ca="1" si="12"/>
        <v>#NAME?</v>
      </c>
      <c r="J35" s="22" t="e">
        <f t="shared" ca="1" si="12"/>
        <v>#NAME?</v>
      </c>
      <c r="K35" s="22" t="e">
        <f t="shared" ca="1" si="12"/>
        <v>#NAME?</v>
      </c>
      <c r="L35" s="584" t="e">
        <f t="shared" si="12"/>
        <v>#REF!</v>
      </c>
      <c r="M35" s="584" t="e">
        <f t="shared" si="12"/>
        <v>#REF!</v>
      </c>
      <c r="N35" s="584" t="e">
        <f t="shared" si="12"/>
        <v>#REF!</v>
      </c>
      <c r="O35" s="584" t="e">
        <f t="shared" si="12"/>
        <v>#REF!</v>
      </c>
      <c r="P35" s="584" t="e">
        <f t="shared" si="12"/>
        <v>#REF!</v>
      </c>
      <c r="Q35" s="584" t="e">
        <f t="shared" si="12"/>
        <v>#REF!</v>
      </c>
      <c r="R35" s="584" t="e">
        <f t="shared" si="12"/>
        <v>#REF!</v>
      </c>
      <c r="S35" s="584" t="e">
        <f t="shared" si="12"/>
        <v>#REF!</v>
      </c>
      <c r="U35" s="93">
        <f t="shared" si="0"/>
        <v>1</v>
      </c>
      <c r="V35" s="24">
        <v>1</v>
      </c>
    </row>
    <row r="36" spans="1:22" ht="13.5" customHeight="1">
      <c r="A36" s="20"/>
      <c r="B36" s="20"/>
      <c r="C36" s="344"/>
      <c r="G36" s="22"/>
      <c r="H36" s="22"/>
      <c r="I36" s="22"/>
      <c r="J36" s="22"/>
      <c r="K36" s="22"/>
      <c r="L36" s="22"/>
      <c r="M36" s="22"/>
      <c r="N36" s="22"/>
      <c r="O36" s="22"/>
      <c r="P36" s="22"/>
      <c r="Q36" s="22"/>
      <c r="R36" s="22"/>
      <c r="S36" s="22"/>
      <c r="U36" s="93">
        <f t="shared" si="0"/>
        <v>0</v>
      </c>
      <c r="V36" s="24">
        <v>0</v>
      </c>
    </row>
    <row r="37" spans="1:22" ht="13.5" customHeight="1">
      <c r="A37" s="20"/>
      <c r="B37" s="20"/>
      <c r="C37" s="3" t="s">
        <v>915</v>
      </c>
      <c r="F37" s="899">
        <f>K37/($K$37+$K$38)</f>
        <v>0.9915029208709506</v>
      </c>
      <c r="G37" s="82">
        <v>3160</v>
      </c>
      <c r="H37" s="82">
        <v>1409</v>
      </c>
      <c r="I37" s="82">
        <v>2660</v>
      </c>
      <c r="J37" s="82">
        <v>3249</v>
      </c>
      <c r="K37" s="82">
        <v>3734</v>
      </c>
      <c r="L37" s="559" t="e">
        <f t="shared" ref="L37:S37" si="13">L35*$F37</f>
        <v>#REF!</v>
      </c>
      <c r="M37" s="559" t="e">
        <f t="shared" si="13"/>
        <v>#REF!</v>
      </c>
      <c r="N37" s="559" t="e">
        <f t="shared" si="13"/>
        <v>#REF!</v>
      </c>
      <c r="O37" s="559" t="e">
        <f t="shared" si="13"/>
        <v>#REF!</v>
      </c>
      <c r="P37" s="559" t="e">
        <f t="shared" si="13"/>
        <v>#REF!</v>
      </c>
      <c r="Q37" s="559" t="e">
        <f t="shared" si="13"/>
        <v>#REF!</v>
      </c>
      <c r="R37" s="559" t="e">
        <f t="shared" si="13"/>
        <v>#REF!</v>
      </c>
      <c r="S37" s="559" t="e">
        <f t="shared" si="13"/>
        <v>#REF!</v>
      </c>
      <c r="U37" s="93">
        <f t="shared" si="0"/>
        <v>1</v>
      </c>
      <c r="V37" s="24">
        <v>1</v>
      </c>
    </row>
    <row r="38" spans="1:22" ht="13.5" customHeight="1">
      <c r="A38" s="20"/>
      <c r="B38" s="20"/>
      <c r="C38" s="3" t="s">
        <v>916</v>
      </c>
      <c r="F38" s="899">
        <f>K38/($K$37+$K$38)</f>
        <v>8.4970791290493886E-3</v>
      </c>
      <c r="G38" s="82">
        <v>177</v>
      </c>
      <c r="H38" s="82">
        <v>45</v>
      </c>
      <c r="I38" s="82">
        <v>139</v>
      </c>
      <c r="J38" s="82">
        <v>89</v>
      </c>
      <c r="K38" s="82">
        <v>32</v>
      </c>
      <c r="L38" s="559" t="e">
        <f t="shared" ref="L38:S38" si="14">L35*$F38</f>
        <v>#REF!</v>
      </c>
      <c r="M38" s="559" t="e">
        <f t="shared" si="14"/>
        <v>#REF!</v>
      </c>
      <c r="N38" s="559" t="e">
        <f t="shared" si="14"/>
        <v>#REF!</v>
      </c>
      <c r="O38" s="559" t="e">
        <f t="shared" si="14"/>
        <v>#REF!</v>
      </c>
      <c r="P38" s="559" t="e">
        <f t="shared" si="14"/>
        <v>#REF!</v>
      </c>
      <c r="Q38" s="559" t="e">
        <f t="shared" si="14"/>
        <v>#REF!</v>
      </c>
      <c r="R38" s="559" t="e">
        <f t="shared" si="14"/>
        <v>#REF!</v>
      </c>
      <c r="S38" s="559" t="e">
        <f t="shared" si="14"/>
        <v>#REF!</v>
      </c>
      <c r="U38" s="93">
        <f t="shared" si="0"/>
        <v>1</v>
      </c>
      <c r="V38" s="24">
        <v>1</v>
      </c>
    </row>
    <row r="39" spans="1:22" ht="13.5" customHeight="1">
      <c r="A39" s="20"/>
      <c r="B39" s="20"/>
      <c r="G39" s="75"/>
      <c r="H39" s="75"/>
      <c r="I39" s="75"/>
      <c r="J39" s="75"/>
      <c r="K39" s="75"/>
      <c r="U39" s="93">
        <f t="shared" si="0"/>
        <v>0</v>
      </c>
      <c r="V39" s="24">
        <v>0</v>
      </c>
    </row>
    <row r="40" spans="1:22" ht="13.5" customHeight="1">
      <c r="A40" s="20"/>
      <c r="B40" s="20"/>
      <c r="C40" s="583" t="s">
        <v>917</v>
      </c>
      <c r="D40" s="168"/>
      <c r="E40" s="168"/>
      <c r="F40" s="928"/>
      <c r="G40" s="857">
        <v>2428</v>
      </c>
      <c r="H40" s="857">
        <v>2354</v>
      </c>
      <c r="I40" s="857">
        <v>2345</v>
      </c>
      <c r="J40" s="857">
        <v>2325</v>
      </c>
      <c r="K40" s="857">
        <v>2271</v>
      </c>
      <c r="L40" s="858">
        <f>'DCF - Assumptions (old)'!L197</f>
        <v>141.9</v>
      </c>
      <c r="M40" s="858">
        <f>'DCF - Assumptions (old)'!M197</f>
        <v>148.9</v>
      </c>
      <c r="N40" s="858">
        <f>'DCF - Assumptions (old)'!N197</f>
        <v>155.9</v>
      </c>
      <c r="O40" s="858">
        <f>'DCF - Assumptions (old)'!O197</f>
        <v>162.9</v>
      </c>
      <c r="P40" s="858">
        <f>'DCF - Assumptions (old)'!P197</f>
        <v>169.9</v>
      </c>
      <c r="Q40" s="858">
        <f>'DCF - Assumptions (old)'!Q197</f>
        <v>176.9</v>
      </c>
      <c r="R40" s="858">
        <f>'DCF - Assumptions (old)'!R197</f>
        <v>183.9</v>
      </c>
      <c r="S40" s="858">
        <f>'DCF - Assumptions (old)'!S197</f>
        <v>190.9</v>
      </c>
      <c r="U40" s="93">
        <f t="shared" si="0"/>
        <v>1</v>
      </c>
      <c r="V40" s="24">
        <v>1</v>
      </c>
    </row>
    <row r="41" spans="1:22" ht="13.5" customHeight="1">
      <c r="A41" s="20"/>
      <c r="B41" s="20"/>
      <c r="C41" s="583" t="s">
        <v>918</v>
      </c>
      <c r="D41" s="168"/>
      <c r="E41" s="168"/>
      <c r="F41" s="928"/>
      <c r="G41" s="963">
        <f t="shared" ref="G41:H41" si="15">G37/G40</f>
        <v>1.3014827018121911</v>
      </c>
      <c r="H41" s="963">
        <f t="shared" si="15"/>
        <v>0.59855564995751909</v>
      </c>
      <c r="I41" s="963">
        <f>I37/I40</f>
        <v>1.1343283582089552</v>
      </c>
      <c r="J41" s="963">
        <f t="shared" ref="J41:S41" si="16">J37/J40</f>
        <v>1.3974193548387097</v>
      </c>
      <c r="K41" s="963">
        <f t="shared" si="16"/>
        <v>1.6442095992954646</v>
      </c>
      <c r="L41" s="964" t="e">
        <f t="shared" si="16"/>
        <v>#REF!</v>
      </c>
      <c r="M41" s="964" t="e">
        <f t="shared" si="16"/>
        <v>#REF!</v>
      </c>
      <c r="N41" s="964" t="e">
        <f t="shared" si="16"/>
        <v>#REF!</v>
      </c>
      <c r="O41" s="964" t="e">
        <f t="shared" si="16"/>
        <v>#REF!</v>
      </c>
      <c r="P41" s="964" t="e">
        <f t="shared" si="16"/>
        <v>#REF!</v>
      </c>
      <c r="Q41" s="964" t="e">
        <f t="shared" si="16"/>
        <v>#REF!</v>
      </c>
      <c r="R41" s="964" t="e">
        <f t="shared" si="16"/>
        <v>#REF!</v>
      </c>
      <c r="S41" s="965" t="e">
        <f t="shared" si="16"/>
        <v>#REF!</v>
      </c>
      <c r="U41" s="93">
        <f t="shared" si="0"/>
        <v>1</v>
      </c>
      <c r="V41" s="24">
        <v>1</v>
      </c>
    </row>
    <row r="42" spans="1:22" ht="13.5" customHeight="1">
      <c r="C42" s="344"/>
      <c r="K42" s="6"/>
      <c r="L42" s="6"/>
      <c r="U42" s="93">
        <f t="shared" si="0"/>
        <v>0</v>
      </c>
      <c r="V42" s="24">
        <v>0</v>
      </c>
    </row>
    <row r="43" spans="1:22" ht="13.5" customHeight="1">
      <c r="A43" s="20"/>
      <c r="B43" s="20"/>
      <c r="C43" s="1091" t="s">
        <v>919</v>
      </c>
      <c r="D43" s="1091"/>
      <c r="E43" s="1091"/>
      <c r="F43" s="1092"/>
      <c r="G43" s="1093">
        <v>287</v>
      </c>
      <c r="H43" s="1093">
        <v>-164</v>
      </c>
      <c r="I43" s="1093">
        <v>-865</v>
      </c>
      <c r="J43" s="1093">
        <v>1482</v>
      </c>
      <c r="K43" s="1093">
        <v>-802</v>
      </c>
      <c r="L43" s="1094">
        <v>0</v>
      </c>
      <c r="M43" s="1094">
        <v>0</v>
      </c>
      <c r="N43" s="1094">
        <v>0</v>
      </c>
      <c r="O43" s="1094">
        <v>0</v>
      </c>
      <c r="P43" s="1094">
        <v>0</v>
      </c>
      <c r="Q43" s="1094">
        <v>0</v>
      </c>
      <c r="R43" s="1094">
        <v>0</v>
      </c>
      <c r="S43" s="1094">
        <v>0</v>
      </c>
      <c r="U43" s="93">
        <f t="shared" si="0"/>
        <v>1</v>
      </c>
      <c r="V43" s="24">
        <v>1</v>
      </c>
    </row>
    <row r="44" spans="1:22" ht="13.5" customHeight="1">
      <c r="A44" s="900"/>
      <c r="B44" s="900"/>
      <c r="C44" s="3" t="s">
        <v>920</v>
      </c>
      <c r="G44" s="6" t="e">
        <f ca="1">G43+G35</f>
        <v>#NAME?</v>
      </c>
      <c r="H44" s="6" t="e">
        <f t="shared" ref="H44:S44" ca="1" si="17">H43+H35</f>
        <v>#NAME?</v>
      </c>
      <c r="I44" s="6" t="e">
        <f t="shared" ca="1" si="17"/>
        <v>#NAME?</v>
      </c>
      <c r="J44" s="6" t="e">
        <f t="shared" ca="1" si="17"/>
        <v>#NAME?</v>
      </c>
      <c r="K44" s="6" t="e">
        <f t="shared" ca="1" si="17"/>
        <v>#NAME?</v>
      </c>
      <c r="L44" s="559" t="e">
        <f t="shared" si="17"/>
        <v>#REF!</v>
      </c>
      <c r="M44" s="559" t="e">
        <f t="shared" si="17"/>
        <v>#REF!</v>
      </c>
      <c r="N44" s="559" t="e">
        <f t="shared" si="17"/>
        <v>#REF!</v>
      </c>
      <c r="O44" s="559" t="e">
        <f t="shared" si="17"/>
        <v>#REF!</v>
      </c>
      <c r="P44" s="559" t="e">
        <f t="shared" si="17"/>
        <v>#REF!</v>
      </c>
      <c r="Q44" s="559" t="e">
        <f t="shared" si="17"/>
        <v>#REF!</v>
      </c>
      <c r="R44" s="559" t="e">
        <f t="shared" si="17"/>
        <v>#REF!</v>
      </c>
      <c r="S44" s="559" t="e">
        <f t="shared" si="17"/>
        <v>#REF!</v>
      </c>
      <c r="U44" s="93">
        <f t="shared" si="0"/>
        <v>1</v>
      </c>
      <c r="V44" s="24">
        <v>1</v>
      </c>
    </row>
    <row r="45" spans="1:22" ht="13.5" customHeight="1">
      <c r="C45" s="344"/>
      <c r="K45" s="6"/>
      <c r="L45" s="6"/>
      <c r="U45" s="93">
        <f t="shared" si="0"/>
        <v>0</v>
      </c>
      <c r="V45" s="24">
        <v>0</v>
      </c>
    </row>
    <row r="46" spans="1:22" ht="13.5" customHeight="1">
      <c r="A46" s="20"/>
      <c r="B46" s="20"/>
      <c r="C46" s="19" t="s">
        <v>921</v>
      </c>
      <c r="G46" s="6">
        <f>G61</f>
        <v>374</v>
      </c>
      <c r="H46" s="6">
        <f>H61</f>
        <v>1839</v>
      </c>
      <c r="I46" s="6">
        <f>I61</f>
        <v>447</v>
      </c>
      <c r="J46" s="6">
        <f>J61</f>
        <v>828</v>
      </c>
      <c r="K46" s="6">
        <f>K61</f>
        <v>1066</v>
      </c>
      <c r="L46" s="559">
        <f>'DCF - Assumptions (old)'!L167</f>
        <v>0</v>
      </c>
      <c r="M46" s="559">
        <f>'DCF - Assumptions (old)'!M167</f>
        <v>0</v>
      </c>
      <c r="N46" s="559">
        <f>'DCF - Assumptions (old)'!N167</f>
        <v>0</v>
      </c>
      <c r="O46" s="559">
        <f>'DCF - Assumptions (old)'!O167</f>
        <v>0</v>
      </c>
      <c r="P46" s="559">
        <f>'DCF - Assumptions (old)'!P167</f>
        <v>0</v>
      </c>
      <c r="Q46" s="559">
        <f>'DCF - Assumptions (old)'!Q167</f>
        <v>0</v>
      </c>
      <c r="R46" s="559">
        <f>'DCF - Assumptions (old)'!R167</f>
        <v>0</v>
      </c>
      <c r="S46" s="559">
        <f>'DCF - Assumptions (old)'!S167</f>
        <v>0</v>
      </c>
      <c r="U46" s="93">
        <f t="shared" si="0"/>
        <v>1</v>
      </c>
      <c r="V46" s="24">
        <v>1</v>
      </c>
    </row>
    <row r="47" spans="1:22" ht="13.5" customHeight="1">
      <c r="A47" s="20"/>
      <c r="B47" s="20"/>
      <c r="C47" s="3" t="s">
        <v>908</v>
      </c>
      <c r="G47" s="6">
        <f>G28</f>
        <v>144</v>
      </c>
      <c r="H47" s="6">
        <f t="shared" ref="H47:K47" si="18">H28</f>
        <v>-23</v>
      </c>
      <c r="I47" s="6">
        <f t="shared" si="18"/>
        <v>14</v>
      </c>
      <c r="J47" s="6">
        <f t="shared" si="18"/>
        <v>-17</v>
      </c>
      <c r="K47" s="6">
        <f t="shared" si="18"/>
        <v>328</v>
      </c>
      <c r="L47" s="559">
        <f>L28</f>
        <v>0</v>
      </c>
      <c r="M47" s="559">
        <f t="shared" ref="M47:S47" si="19">M28</f>
        <v>0</v>
      </c>
      <c r="N47" s="559">
        <f t="shared" si="19"/>
        <v>0</v>
      </c>
      <c r="O47" s="559">
        <f t="shared" si="19"/>
        <v>0</v>
      </c>
      <c r="P47" s="559">
        <f t="shared" si="19"/>
        <v>0</v>
      </c>
      <c r="Q47" s="559">
        <f t="shared" si="19"/>
        <v>0</v>
      </c>
      <c r="R47" s="559">
        <f t="shared" si="19"/>
        <v>0</v>
      </c>
      <c r="S47" s="559">
        <f t="shared" si="19"/>
        <v>0</v>
      </c>
      <c r="U47" s="93">
        <f t="shared" si="0"/>
        <v>1</v>
      </c>
      <c r="V47" s="24">
        <v>1</v>
      </c>
    </row>
    <row r="48" spans="1:22" ht="13.5" customHeight="1">
      <c r="A48" s="20"/>
      <c r="B48" s="20"/>
      <c r="C48" s="3" t="s">
        <v>911</v>
      </c>
      <c r="G48" s="6">
        <f>G31</f>
        <v>312</v>
      </c>
      <c r="H48" s="6">
        <f t="shared" ref="H48:K48" si="20">H31</f>
        <v>282</v>
      </c>
      <c r="I48" s="6">
        <f t="shared" si="20"/>
        <v>334</v>
      </c>
      <c r="J48" s="6">
        <f t="shared" si="20"/>
        <v>417</v>
      </c>
      <c r="K48" s="6">
        <f t="shared" si="20"/>
        <v>370</v>
      </c>
      <c r="L48" s="559">
        <f>K48</f>
        <v>370</v>
      </c>
      <c r="M48" s="559">
        <f t="shared" ref="M48:S48" si="21">L48</f>
        <v>370</v>
      </c>
      <c r="N48" s="559">
        <f t="shared" si="21"/>
        <v>370</v>
      </c>
      <c r="O48" s="559">
        <f t="shared" si="21"/>
        <v>370</v>
      </c>
      <c r="P48" s="559">
        <f t="shared" si="21"/>
        <v>370</v>
      </c>
      <c r="Q48" s="559">
        <f t="shared" si="21"/>
        <v>370</v>
      </c>
      <c r="R48" s="559">
        <f t="shared" si="21"/>
        <v>370</v>
      </c>
      <c r="S48" s="559">
        <f t="shared" si="21"/>
        <v>370</v>
      </c>
      <c r="U48" s="93">
        <f t="shared" si="0"/>
        <v>1</v>
      </c>
      <c r="V48" s="24">
        <v>1</v>
      </c>
    </row>
    <row r="49" spans="1:99" ht="13.5" customHeight="1">
      <c r="A49" s="20"/>
      <c r="B49" s="20"/>
      <c r="C49" s="593" t="s">
        <v>922</v>
      </c>
      <c r="D49" s="32"/>
      <c r="E49" s="592"/>
      <c r="F49" s="926"/>
      <c r="G49" s="211" t="e">
        <f ca="1">G26+SUM(G46:G48)</f>
        <v>#NAME?</v>
      </c>
      <c r="H49" s="211" t="e">
        <f t="shared" ref="H49:S49" ca="1" si="22">H26+SUM(H46:H48)</f>
        <v>#NAME?</v>
      </c>
      <c r="I49" s="211" t="e">
        <f t="shared" ca="1" si="22"/>
        <v>#NAME?</v>
      </c>
      <c r="J49" s="211" t="e">
        <f t="shared" ca="1" si="22"/>
        <v>#NAME?</v>
      </c>
      <c r="K49" s="211" t="e">
        <f t="shared" ca="1" si="22"/>
        <v>#NAME?</v>
      </c>
      <c r="L49" s="564">
        <f t="shared" si="22"/>
        <v>370</v>
      </c>
      <c r="M49" s="564">
        <f t="shared" si="22"/>
        <v>370</v>
      </c>
      <c r="N49" s="564">
        <f t="shared" si="22"/>
        <v>370</v>
      </c>
      <c r="O49" s="564">
        <f t="shared" si="22"/>
        <v>370</v>
      </c>
      <c r="P49" s="564">
        <f t="shared" si="22"/>
        <v>370</v>
      </c>
      <c r="Q49" s="564">
        <f t="shared" si="22"/>
        <v>370</v>
      </c>
      <c r="R49" s="564">
        <f t="shared" si="22"/>
        <v>370</v>
      </c>
      <c r="S49" s="564">
        <f t="shared" si="22"/>
        <v>370</v>
      </c>
      <c r="U49" s="93">
        <f t="shared" si="0"/>
        <v>1</v>
      </c>
      <c r="V49" s="24">
        <v>1</v>
      </c>
    </row>
    <row r="50" spans="1:99" ht="13.5" customHeight="1">
      <c r="A50" s="20"/>
      <c r="B50" s="20"/>
      <c r="C50" s="344"/>
      <c r="D50" s="884"/>
      <c r="E50" s="595"/>
      <c r="F50" s="927"/>
      <c r="G50" s="22"/>
      <c r="H50" s="22"/>
      <c r="I50" s="22"/>
      <c r="J50" s="22"/>
      <c r="K50" s="960" t="e">
        <f ca="1">K49/J49-1</f>
        <v>#NAME?</v>
      </c>
      <c r="L50" s="22"/>
      <c r="M50" s="22"/>
      <c r="N50" s="22"/>
      <c r="O50" s="22"/>
      <c r="P50" s="22"/>
      <c r="Q50" s="22"/>
      <c r="R50" s="22"/>
      <c r="S50" s="22"/>
      <c r="U50" s="93">
        <f t="shared" si="0"/>
        <v>0</v>
      </c>
      <c r="V50" s="24">
        <v>0</v>
      </c>
    </row>
    <row r="51" spans="1:99" ht="13.5" customHeight="1">
      <c r="A51" s="20"/>
      <c r="B51" s="20"/>
      <c r="C51" s="3" t="s">
        <v>923</v>
      </c>
      <c r="D51" s="884"/>
      <c r="E51" s="595"/>
      <c r="F51" s="927"/>
      <c r="G51" s="6">
        <f>'DCF - Capital Structure'!G59</f>
        <v>0</v>
      </c>
      <c r="H51" s="6">
        <f>'DCF - Capital Structure'!H59</f>
        <v>0</v>
      </c>
      <c r="I51" s="6">
        <f>'DCF - Capital Structure'!I59</f>
        <v>0</v>
      </c>
      <c r="J51" s="6">
        <f>'DCF - Capital Structure'!J59</f>
        <v>0</v>
      </c>
      <c r="K51" s="6">
        <f>'DCF - Capital Structure'!K59</f>
        <v>0</v>
      </c>
      <c r="L51" s="890">
        <f>'DCF - Capital Structure'!L59</f>
        <v>0</v>
      </c>
      <c r="M51" s="890">
        <f>'DCF - Capital Structure'!M59</f>
        <v>0</v>
      </c>
      <c r="N51" s="890">
        <f>'DCF - Capital Structure'!N59</f>
        <v>0</v>
      </c>
      <c r="O51" s="890">
        <f>'DCF - Capital Structure'!O59</f>
        <v>0</v>
      </c>
      <c r="P51" s="890">
        <f>'DCF - Capital Structure'!P59</f>
        <v>0</v>
      </c>
      <c r="Q51" s="890">
        <f>'DCF - Capital Structure'!Q59</f>
        <v>0</v>
      </c>
      <c r="R51" s="890">
        <f>'DCF - Capital Structure'!R59</f>
        <v>0</v>
      </c>
      <c r="S51" s="890">
        <f>'DCF - Capital Structure'!S59</f>
        <v>0</v>
      </c>
      <c r="U51" s="93">
        <f t="shared" si="0"/>
        <v>1</v>
      </c>
      <c r="V51" s="24">
        <v>1</v>
      </c>
    </row>
    <row r="52" spans="1:99" ht="13.5" customHeight="1">
      <c r="A52" s="20"/>
      <c r="B52" s="20"/>
      <c r="C52" s="19" t="s">
        <v>908</v>
      </c>
      <c r="G52" s="6">
        <f>-G28</f>
        <v>-144</v>
      </c>
      <c r="H52" s="6">
        <f>-H28</f>
        <v>23</v>
      </c>
      <c r="I52" s="6">
        <f>-I28</f>
        <v>-14</v>
      </c>
      <c r="J52" s="6">
        <f>-J28</f>
        <v>17</v>
      </c>
      <c r="K52" s="6">
        <f>-K28</f>
        <v>-328</v>
      </c>
      <c r="L52" s="559">
        <f>L28</f>
        <v>0</v>
      </c>
      <c r="M52" s="559">
        <f t="shared" ref="M52:S52" si="23">M28</f>
        <v>0</v>
      </c>
      <c r="N52" s="559">
        <f t="shared" si="23"/>
        <v>0</v>
      </c>
      <c r="O52" s="559">
        <f t="shared" si="23"/>
        <v>0</v>
      </c>
      <c r="P52" s="559">
        <f t="shared" si="23"/>
        <v>0</v>
      </c>
      <c r="Q52" s="559">
        <f t="shared" si="23"/>
        <v>0</v>
      </c>
      <c r="R52" s="559">
        <f t="shared" si="23"/>
        <v>0</v>
      </c>
      <c r="S52" s="559">
        <f t="shared" si="23"/>
        <v>0</v>
      </c>
      <c r="U52" s="93">
        <f t="shared" si="0"/>
        <v>1</v>
      </c>
      <c r="V52" s="24">
        <v>1</v>
      </c>
    </row>
    <row r="53" spans="1:99" ht="13.5" customHeight="1">
      <c r="A53" s="20"/>
      <c r="B53" s="20"/>
      <c r="C53" s="593" t="s">
        <v>924</v>
      </c>
      <c r="D53" s="32"/>
      <c r="E53" s="592"/>
      <c r="F53" s="926"/>
      <c r="G53" s="211" t="e">
        <f t="shared" ref="G53:J53" ca="1" si="24">G49+G51+G52</f>
        <v>#NAME?</v>
      </c>
      <c r="H53" s="211" t="e">
        <f t="shared" ca="1" si="24"/>
        <v>#NAME?</v>
      </c>
      <c r="I53" s="211" t="e">
        <f t="shared" ca="1" si="24"/>
        <v>#NAME?</v>
      </c>
      <c r="J53" s="211" t="e">
        <f t="shared" ca="1" si="24"/>
        <v>#NAME?</v>
      </c>
      <c r="K53" s="211" t="e">
        <f ca="1">K49+K51+K52</f>
        <v>#NAME?</v>
      </c>
      <c r="L53" s="211">
        <f t="shared" ref="L53:S53" si="25">L49+L51+L52</f>
        <v>370</v>
      </c>
      <c r="M53" s="211">
        <f t="shared" si="25"/>
        <v>370</v>
      </c>
      <c r="N53" s="211">
        <f t="shared" si="25"/>
        <v>370</v>
      </c>
      <c r="O53" s="211">
        <f t="shared" si="25"/>
        <v>370</v>
      </c>
      <c r="P53" s="211">
        <f t="shared" si="25"/>
        <v>370</v>
      </c>
      <c r="Q53" s="211">
        <f t="shared" si="25"/>
        <v>370</v>
      </c>
      <c r="R53" s="211">
        <f t="shared" si="25"/>
        <v>370</v>
      </c>
      <c r="S53" s="211">
        <f t="shared" si="25"/>
        <v>370</v>
      </c>
      <c r="U53" s="93">
        <f t="shared" si="0"/>
        <v>1</v>
      </c>
      <c r="V53" s="24">
        <v>1</v>
      </c>
    </row>
    <row r="54" spans="1:99" ht="13.5" customHeight="1">
      <c r="C54" s="119" t="s">
        <v>925</v>
      </c>
      <c r="D54" s="1"/>
      <c r="E54" s="1"/>
      <c r="F54" s="924"/>
      <c r="G54" s="355" t="e">
        <f ca="1">G53/G$11</f>
        <v>#NAME?</v>
      </c>
      <c r="H54" s="355" t="e">
        <f ca="1">H53/H$11</f>
        <v>#NAME?</v>
      </c>
      <c r="I54" s="355" t="e">
        <f t="shared" ref="I54:J54" ca="1" si="26">I53/I$11</f>
        <v>#NAME?</v>
      </c>
      <c r="J54" s="355" t="e">
        <f t="shared" ca="1" si="26"/>
        <v>#NAME?</v>
      </c>
      <c r="K54" s="355" t="e">
        <f ca="1">K53/K$11</f>
        <v>#NAME?</v>
      </c>
      <c r="L54" s="355">
        <f>L53/L11</f>
        <v>2.1620989890726347E-2</v>
      </c>
      <c r="M54" s="355">
        <f t="shared" ref="M54:S54" si="27">M53/M11</f>
        <v>2.1620989890726347E-2</v>
      </c>
      <c r="N54" s="355">
        <f t="shared" si="27"/>
        <v>2.1620989890726347E-2</v>
      </c>
      <c r="O54" s="355">
        <f t="shared" si="27"/>
        <v>2.1620989890726347E-2</v>
      </c>
      <c r="P54" s="355">
        <f t="shared" si="27"/>
        <v>2.1620989890726347E-2</v>
      </c>
      <c r="Q54" s="355">
        <f t="shared" si="27"/>
        <v>2.1620989890726347E-2</v>
      </c>
      <c r="R54" s="355">
        <f t="shared" si="27"/>
        <v>2.1620989890726347E-2</v>
      </c>
      <c r="S54" s="355">
        <f t="shared" si="27"/>
        <v>2.1620989890726347E-2</v>
      </c>
      <c r="T54"/>
      <c r="U54" s="93">
        <f t="shared" si="0"/>
        <v>1</v>
      </c>
      <c r="V54" s="24">
        <v>1</v>
      </c>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r="55" spans="1:99" ht="13.5" customHeight="1">
      <c r="A55" s="20"/>
      <c r="B55" s="20"/>
      <c r="C55" s="594"/>
      <c r="D55" s="595"/>
      <c r="E55" s="595"/>
      <c r="F55" s="927"/>
      <c r="G55" s="22"/>
      <c r="H55" s="22"/>
      <c r="I55" s="22"/>
      <c r="J55" s="22"/>
      <c r="K55" s="22"/>
      <c r="L55" s="22"/>
      <c r="M55" s="22"/>
      <c r="N55" s="22"/>
      <c r="O55" s="22"/>
      <c r="P55" s="22"/>
      <c r="Q55" s="22"/>
      <c r="R55" s="22"/>
      <c r="S55" s="22"/>
      <c r="U55" s="93">
        <f t="shared" si="0"/>
        <v>0</v>
      </c>
      <c r="V55" s="24">
        <v>0</v>
      </c>
    </row>
    <row r="56" spans="1:99" ht="13.5" customHeight="1">
      <c r="A56" s="19"/>
      <c r="B56" s="19"/>
      <c r="C56" s="807" t="s">
        <v>926</v>
      </c>
      <c r="D56" s="808"/>
      <c r="E56" s="808"/>
      <c r="F56" s="922"/>
      <c r="G56" s="808"/>
      <c r="H56" s="808"/>
      <c r="I56" s="808"/>
      <c r="J56" s="808"/>
      <c r="K56" s="808"/>
      <c r="L56" s="808"/>
      <c r="M56" s="808"/>
      <c r="N56" s="808"/>
      <c r="O56" s="808"/>
      <c r="P56" s="808"/>
      <c r="Q56" s="808"/>
      <c r="R56" s="808"/>
      <c r="S56" s="808"/>
      <c r="U56" s="93">
        <f t="shared" si="0"/>
        <v>1</v>
      </c>
      <c r="V56" s="24">
        <v>1</v>
      </c>
      <c r="W56" s="19"/>
      <c r="X56" s="19"/>
      <c r="Y56" s="19"/>
      <c r="Z56" s="19"/>
      <c r="AA56" s="19"/>
      <c r="AB56" s="19"/>
      <c r="AC56" s="19"/>
      <c r="AD56" s="19"/>
      <c r="AE56" s="19"/>
      <c r="AF56" s="19"/>
      <c r="AG56" s="19"/>
      <c r="AH56" s="19"/>
      <c r="AI56" s="19"/>
      <c r="AJ56" s="19"/>
      <c r="AK56" s="19"/>
      <c r="AL56" s="19"/>
    </row>
    <row r="57" spans="1:99" ht="13.5" customHeight="1">
      <c r="G57" s="40"/>
      <c r="H57" s="40"/>
      <c r="I57" s="40"/>
      <c r="J57" s="39"/>
      <c r="K57" s="39"/>
      <c r="L57" s="1089" t="str">
        <f>'DCF - Assumptions (old)'!$L$6</f>
        <v>Projected Fiscal Years Ending June 31</v>
      </c>
      <c r="M57" s="1089"/>
      <c r="N57" s="1089"/>
      <c r="O57" s="1089"/>
      <c r="P57" s="1089"/>
      <c r="Q57" s="1089"/>
      <c r="R57" s="1089"/>
      <c r="S57" s="1089"/>
      <c r="U57" s="93">
        <f t="shared" si="0"/>
        <v>0</v>
      </c>
      <c r="V57" s="24">
        <v>0</v>
      </c>
    </row>
    <row r="58" spans="1:99" ht="13.5" customHeight="1" thickBot="1">
      <c r="C58" s="57"/>
      <c r="D58" s="57"/>
      <c r="E58" s="57"/>
      <c r="F58" s="929"/>
      <c r="G58" s="56">
        <f t="shared" ref="G58:S58" si="28">G$8</f>
        <v>2019</v>
      </c>
      <c r="H58" s="56">
        <f t="shared" si="28"/>
        <v>2020</v>
      </c>
      <c r="I58" s="56">
        <f t="shared" si="28"/>
        <v>2021</v>
      </c>
      <c r="J58" s="56">
        <f t="shared" si="28"/>
        <v>2022</v>
      </c>
      <c r="K58" s="56">
        <f t="shared" si="28"/>
        <v>2023</v>
      </c>
      <c r="L58" s="56">
        <f t="shared" si="28"/>
        <v>2024</v>
      </c>
      <c r="M58" s="56">
        <f t="shared" si="28"/>
        <v>2025</v>
      </c>
      <c r="N58" s="56">
        <f t="shared" si="28"/>
        <v>2026</v>
      </c>
      <c r="O58" s="56">
        <f t="shared" si="28"/>
        <v>2027</v>
      </c>
      <c r="P58" s="56">
        <f t="shared" si="28"/>
        <v>2028</v>
      </c>
      <c r="Q58" s="56">
        <f t="shared" si="28"/>
        <v>2029</v>
      </c>
      <c r="R58" s="56">
        <f t="shared" si="28"/>
        <v>2030</v>
      </c>
      <c r="S58" s="56">
        <f t="shared" si="28"/>
        <v>2031</v>
      </c>
      <c r="U58" s="93">
        <f t="shared" si="0"/>
        <v>0</v>
      </c>
      <c r="V58" s="24">
        <v>0</v>
      </c>
    </row>
    <row r="59" spans="1:99" ht="13.5" customHeight="1">
      <c r="A59" s="19"/>
      <c r="B59" s="19"/>
      <c r="C59" s="66" t="s">
        <v>927</v>
      </c>
      <c r="D59" s="19"/>
      <c r="E59" s="19"/>
      <c r="F59" s="930"/>
      <c r="G59" s="71"/>
      <c r="H59" s="45"/>
      <c r="I59" s="45"/>
      <c r="J59" s="45"/>
      <c r="K59" s="45"/>
      <c r="L59" s="14"/>
      <c r="M59" s="14"/>
      <c r="N59" s="14"/>
      <c r="O59" s="14"/>
      <c r="P59" s="14"/>
      <c r="Q59" s="14"/>
      <c r="R59" s="14"/>
      <c r="S59" s="14"/>
      <c r="U59" s="93">
        <f t="shared" si="0"/>
        <v>1</v>
      </c>
      <c r="V59" s="24">
        <v>1</v>
      </c>
      <c r="W59" s="19"/>
      <c r="X59" s="19"/>
      <c r="Y59" s="19"/>
      <c r="Z59" s="19"/>
      <c r="AA59" s="19"/>
      <c r="AB59" s="19"/>
      <c r="AC59" s="19"/>
      <c r="AD59" s="19"/>
      <c r="AE59" s="19"/>
      <c r="AF59" s="19"/>
      <c r="AG59" s="19"/>
      <c r="AH59" s="19"/>
      <c r="AI59" s="19"/>
      <c r="AJ59" s="19"/>
      <c r="AK59" s="19"/>
      <c r="AL59" s="19"/>
    </row>
    <row r="60" spans="1:99" ht="13.5" customHeight="1">
      <c r="A60" s="19"/>
      <c r="B60" s="19"/>
      <c r="C60" s="19" t="s">
        <v>907</v>
      </c>
      <c r="D60" s="19"/>
      <c r="E60" s="19"/>
      <c r="F60" s="930"/>
      <c r="G60" s="978" t="e">
        <f t="shared" ref="G60:S60" ca="1" si="29">G26</f>
        <v>#NAME?</v>
      </c>
      <c r="H60" s="979" t="e">
        <f t="shared" ca="1" si="29"/>
        <v>#NAME?</v>
      </c>
      <c r="I60" s="979" t="e">
        <f t="shared" ca="1" si="29"/>
        <v>#NAME?</v>
      </c>
      <c r="J60" s="979" t="e">
        <f t="shared" ca="1" si="29"/>
        <v>#NAME?</v>
      </c>
      <c r="K60" s="979" t="e">
        <f t="shared" ca="1" si="29"/>
        <v>#NAME?</v>
      </c>
      <c r="L60" s="980">
        <f t="shared" si="29"/>
        <v>0</v>
      </c>
      <c r="M60" s="980">
        <f t="shared" si="29"/>
        <v>0</v>
      </c>
      <c r="N60" s="980">
        <f t="shared" si="29"/>
        <v>0</v>
      </c>
      <c r="O60" s="980">
        <f t="shared" si="29"/>
        <v>0</v>
      </c>
      <c r="P60" s="980">
        <f t="shared" si="29"/>
        <v>0</v>
      </c>
      <c r="Q60" s="980">
        <f t="shared" si="29"/>
        <v>0</v>
      </c>
      <c r="R60" s="980">
        <f t="shared" si="29"/>
        <v>0</v>
      </c>
      <c r="S60" s="980">
        <f t="shared" si="29"/>
        <v>0</v>
      </c>
      <c r="U60" s="93">
        <f t="shared" si="0"/>
        <v>1</v>
      </c>
      <c r="V60" s="24">
        <v>1</v>
      </c>
      <c r="W60" s="19"/>
      <c r="X60" s="19"/>
      <c r="Y60" s="19"/>
      <c r="Z60" s="19"/>
      <c r="AA60" s="19"/>
      <c r="AB60" s="19"/>
      <c r="AC60" s="19"/>
      <c r="AD60" s="19"/>
      <c r="AE60" s="19"/>
      <c r="AF60" s="19"/>
      <c r="AG60" s="19"/>
      <c r="AH60" s="19"/>
      <c r="AI60" s="19"/>
      <c r="AJ60" s="19"/>
      <c r="AK60" s="19"/>
      <c r="AL60" s="19"/>
    </row>
    <row r="61" spans="1:99" ht="13.5" customHeight="1">
      <c r="A61" s="19"/>
      <c r="B61" s="19"/>
      <c r="C61" s="19" t="s">
        <v>921</v>
      </c>
      <c r="D61" s="19"/>
      <c r="E61" s="19"/>
      <c r="F61" s="930"/>
      <c r="G61" s="49">
        <v>374</v>
      </c>
      <c r="H61" s="49">
        <v>1839</v>
      </c>
      <c r="I61" s="49">
        <v>447</v>
      </c>
      <c r="J61" s="49">
        <v>828</v>
      </c>
      <c r="K61" s="49">
        <v>1066</v>
      </c>
      <c r="L61" s="944">
        <f>'DCF - Assumptions (old)'!L167</f>
        <v>0</v>
      </c>
      <c r="M61" s="624">
        <f>'DCF - Assumptions (old)'!M167</f>
        <v>0</v>
      </c>
      <c r="N61" s="624">
        <f>'DCF - Assumptions (old)'!N167</f>
        <v>0</v>
      </c>
      <c r="O61" s="624">
        <f>'DCF - Assumptions (old)'!O167</f>
        <v>0</v>
      </c>
      <c r="P61" s="624">
        <f>'DCF - Assumptions (old)'!P167</f>
        <v>0</v>
      </c>
      <c r="Q61" s="624">
        <f>'DCF - Assumptions (old)'!Q167</f>
        <v>0</v>
      </c>
      <c r="R61" s="624">
        <f>'DCF - Assumptions (old)'!R167</f>
        <v>0</v>
      </c>
      <c r="S61" s="624">
        <f>'DCF - Assumptions (old)'!S167</f>
        <v>0</v>
      </c>
      <c r="U61" s="93">
        <f t="shared" si="0"/>
        <v>1</v>
      </c>
      <c r="V61" s="24">
        <v>1</v>
      </c>
      <c r="W61" s="19"/>
      <c r="X61" s="19"/>
      <c r="Y61" s="19"/>
      <c r="Z61" s="19"/>
      <c r="AA61" s="19"/>
      <c r="AB61" s="19"/>
      <c r="AC61" s="19"/>
      <c r="AD61" s="19"/>
      <c r="AE61" s="19"/>
      <c r="AF61" s="19"/>
      <c r="AG61" s="19"/>
      <c r="AH61" s="19"/>
      <c r="AI61" s="19"/>
      <c r="AJ61" s="19"/>
      <c r="AK61" s="19"/>
      <c r="AL61" s="19"/>
    </row>
    <row r="62" spans="1:99" ht="13.5" customHeight="1">
      <c r="A62" s="19"/>
      <c r="B62" s="19"/>
      <c r="C62" s="19" t="s">
        <v>928</v>
      </c>
      <c r="D62" s="859"/>
      <c r="E62" s="19"/>
      <c r="F62" s="930"/>
      <c r="G62" s="49">
        <v>168</v>
      </c>
      <c r="H62" s="49">
        <v>4</v>
      </c>
      <c r="I62" s="49">
        <v>290</v>
      </c>
      <c r="J62" s="49">
        <v>190</v>
      </c>
      <c r="K62" s="49">
        <v>219</v>
      </c>
      <c r="L62" s="624">
        <f>K62</f>
        <v>219</v>
      </c>
      <c r="M62" s="624">
        <f t="shared" ref="M62:S62" si="30">L62</f>
        <v>219</v>
      </c>
      <c r="N62" s="624">
        <f t="shared" si="30"/>
        <v>219</v>
      </c>
      <c r="O62" s="624">
        <f t="shared" si="30"/>
        <v>219</v>
      </c>
      <c r="P62" s="624">
        <f t="shared" si="30"/>
        <v>219</v>
      </c>
      <c r="Q62" s="624">
        <f t="shared" si="30"/>
        <v>219</v>
      </c>
      <c r="R62" s="624">
        <f t="shared" si="30"/>
        <v>219</v>
      </c>
      <c r="S62" s="624">
        <f t="shared" si="30"/>
        <v>219</v>
      </c>
      <c r="U62" s="93">
        <f t="shared" si="0"/>
        <v>1</v>
      </c>
      <c r="V62" s="24">
        <v>1</v>
      </c>
      <c r="W62" s="19"/>
      <c r="X62" s="19"/>
      <c r="Y62" s="19"/>
      <c r="Z62" s="19"/>
      <c r="AA62" s="19"/>
      <c r="AB62" s="19"/>
      <c r="AC62" s="19"/>
      <c r="AD62" s="19"/>
      <c r="AE62" s="19"/>
      <c r="AF62" s="19"/>
      <c r="AG62" s="19"/>
      <c r="AH62" s="19"/>
      <c r="AI62" s="19"/>
      <c r="AJ62" s="19"/>
      <c r="AK62" s="19"/>
      <c r="AL62" s="19"/>
    </row>
    <row r="63" spans="1:99" ht="13.5" customHeight="1">
      <c r="A63" s="19"/>
      <c r="B63" s="19"/>
      <c r="C63" s="19" t="s">
        <v>929</v>
      </c>
      <c r="D63" s="19"/>
      <c r="E63" s="19"/>
      <c r="F63" s="930"/>
      <c r="G63" s="49">
        <v>-121</v>
      </c>
      <c r="H63" s="49">
        <v>-109</v>
      </c>
      <c r="I63" s="49">
        <v>-30</v>
      </c>
      <c r="J63" s="49">
        <v>-89</v>
      </c>
      <c r="K63" s="49">
        <v>-25</v>
      </c>
      <c r="L63" s="624">
        <v>0</v>
      </c>
      <c r="M63" s="624">
        <v>0</v>
      </c>
      <c r="N63" s="624">
        <v>0</v>
      </c>
      <c r="O63" s="624">
        <v>0</v>
      </c>
      <c r="P63" s="624">
        <v>0</v>
      </c>
      <c r="Q63" s="624">
        <v>0</v>
      </c>
      <c r="R63" s="624">
        <v>0</v>
      </c>
      <c r="S63" s="624">
        <v>0</v>
      </c>
      <c r="U63" s="93">
        <f t="shared" si="0"/>
        <v>1</v>
      </c>
      <c r="V63" s="24">
        <v>1</v>
      </c>
      <c r="W63" s="19"/>
      <c r="X63" s="19"/>
      <c r="Y63" s="19"/>
      <c r="Z63" s="19"/>
      <c r="AA63" s="19"/>
      <c r="AB63" s="19"/>
      <c r="AC63" s="19"/>
      <c r="AD63" s="19"/>
      <c r="AE63" s="19"/>
      <c r="AF63" s="19"/>
      <c r="AG63" s="19"/>
      <c r="AH63" s="19"/>
      <c r="AI63" s="19"/>
      <c r="AJ63" s="19"/>
      <c r="AK63" s="19"/>
      <c r="AL63" s="19"/>
    </row>
    <row r="64" spans="1:99" ht="13.5" customHeight="1">
      <c r="A64" s="19"/>
      <c r="B64" s="19"/>
      <c r="C64" s="19" t="s">
        <v>930</v>
      </c>
      <c r="D64" s="19"/>
      <c r="E64" s="19"/>
      <c r="F64" s="930"/>
      <c r="G64" s="49">
        <v>64</v>
      </c>
      <c r="H64" s="49">
        <v>-14</v>
      </c>
      <c r="I64" s="49">
        <v>88</v>
      </c>
      <c r="J64" s="49">
        <v>53</v>
      </c>
      <c r="K64" s="49">
        <v>62</v>
      </c>
      <c r="L64" s="624">
        <v>0</v>
      </c>
      <c r="M64" s="624">
        <v>0</v>
      </c>
      <c r="N64" s="624">
        <v>0</v>
      </c>
      <c r="O64" s="624">
        <v>0</v>
      </c>
      <c r="P64" s="624">
        <v>0</v>
      </c>
      <c r="Q64" s="624">
        <v>0</v>
      </c>
      <c r="R64" s="624">
        <v>0</v>
      </c>
      <c r="S64" s="624">
        <v>0</v>
      </c>
      <c r="U64" s="93">
        <f t="shared" si="0"/>
        <v>1</v>
      </c>
      <c r="V64" s="24">
        <v>1</v>
      </c>
      <c r="W64" s="19"/>
      <c r="X64" s="19"/>
      <c r="Y64" s="19"/>
      <c r="Z64" s="19"/>
      <c r="AA64" s="19"/>
      <c r="AB64" s="19"/>
      <c r="AC64" s="19"/>
      <c r="AD64" s="19"/>
      <c r="AE64" s="19"/>
      <c r="AF64" s="19"/>
      <c r="AG64" s="19"/>
      <c r="AH64" s="19"/>
      <c r="AI64" s="19"/>
      <c r="AJ64" s="19"/>
      <c r="AK64" s="19"/>
      <c r="AL64" s="19"/>
    </row>
    <row r="65" spans="1:38" ht="13.5" customHeight="1">
      <c r="A65" s="19"/>
      <c r="B65" s="19"/>
      <c r="C65" s="19" t="s">
        <v>931</v>
      </c>
      <c r="D65" s="19"/>
      <c r="E65" s="19"/>
      <c r="F65" s="930"/>
      <c r="G65" s="49">
        <v>0</v>
      </c>
      <c r="H65" s="49">
        <v>0</v>
      </c>
      <c r="I65" s="49">
        <v>0</v>
      </c>
      <c r="J65" s="49">
        <v>0</v>
      </c>
      <c r="K65" s="49">
        <v>0</v>
      </c>
      <c r="L65" s="944">
        <f>'DCF - Assumptions (old)'!L175</f>
        <v>-181.53399999999999</v>
      </c>
      <c r="M65" s="624">
        <f>'DCF - Assumptions (old)'!M175</f>
        <v>-181.53399999999999</v>
      </c>
      <c r="N65" s="624">
        <f>'DCF - Assumptions (old)'!N175</f>
        <v>-181.53399999999999</v>
      </c>
      <c r="O65" s="624">
        <f>'DCF - Assumptions (old)'!O175</f>
        <v>-181.53399999999999</v>
      </c>
      <c r="P65" s="624">
        <f>'DCF - Assumptions (old)'!P175</f>
        <v>-181.53399999999999</v>
      </c>
      <c r="Q65" s="624">
        <f>'DCF - Assumptions (old)'!Q175</f>
        <v>-181.53399999999999</v>
      </c>
      <c r="R65" s="624">
        <f>'DCF - Assumptions (old)'!R175</f>
        <v>-181.53399999999999</v>
      </c>
      <c r="S65" s="624">
        <f>'DCF - Assumptions (old)'!S175</f>
        <v>-181.53399999999999</v>
      </c>
      <c r="U65" s="93">
        <f t="shared" si="0"/>
        <v>1</v>
      </c>
      <c r="V65" s="24">
        <v>1</v>
      </c>
      <c r="W65" s="19"/>
      <c r="X65" s="19"/>
      <c r="Y65" s="19"/>
      <c r="Z65" s="19"/>
      <c r="AA65" s="19"/>
      <c r="AB65" s="19"/>
      <c r="AC65" s="19"/>
      <c r="AD65" s="19"/>
      <c r="AE65" s="19"/>
      <c r="AF65" s="19"/>
      <c r="AG65" s="19"/>
      <c r="AH65" s="19"/>
      <c r="AI65" s="19"/>
      <c r="AJ65" s="19"/>
      <c r="AK65" s="19"/>
      <c r="AL65" s="19"/>
    </row>
    <row r="66" spans="1:38" ht="13.5" customHeight="1">
      <c r="A66" s="19"/>
      <c r="B66" s="19"/>
      <c r="C66" s="19" t="s">
        <v>932</v>
      </c>
      <c r="D66" s="19"/>
      <c r="E66" s="19"/>
      <c r="F66" s="930"/>
      <c r="G66" s="49">
        <v>0</v>
      </c>
      <c r="H66" s="49">
        <v>0</v>
      </c>
      <c r="I66" s="49">
        <v>0</v>
      </c>
      <c r="J66" s="49">
        <v>0</v>
      </c>
      <c r="K66" s="49">
        <v>0</v>
      </c>
      <c r="L66" s="944">
        <f>'DCF - Assumptions (old)'!L186</f>
        <v>-76</v>
      </c>
      <c r="M66" s="624">
        <f>'DCF - Assumptions (old)'!M186</f>
        <v>-76</v>
      </c>
      <c r="N66" s="624">
        <f>'DCF - Assumptions (old)'!N186</f>
        <v>-76</v>
      </c>
      <c r="O66" s="624">
        <f>'DCF - Assumptions (old)'!O186</f>
        <v>-76</v>
      </c>
      <c r="P66" s="624">
        <f>'DCF - Assumptions (old)'!P186</f>
        <v>-76</v>
      </c>
      <c r="Q66" s="624">
        <f>'DCF - Assumptions (old)'!Q186</f>
        <v>-76</v>
      </c>
      <c r="R66" s="624">
        <f>'DCF - Assumptions (old)'!R186</f>
        <v>-76</v>
      </c>
      <c r="S66" s="624">
        <f>'DCF - Assumptions (old)'!S186</f>
        <v>-76</v>
      </c>
      <c r="U66" s="93">
        <f t="shared" si="0"/>
        <v>1</v>
      </c>
      <c r="V66" s="24">
        <v>1</v>
      </c>
      <c r="W66" s="19"/>
      <c r="X66" s="19"/>
      <c r="Y66" s="19"/>
      <c r="Z66" s="19"/>
      <c r="AA66" s="19"/>
      <c r="AB66" s="19"/>
      <c r="AC66" s="19"/>
      <c r="AD66" s="19"/>
      <c r="AE66" s="19"/>
      <c r="AF66" s="19"/>
      <c r="AG66" s="19"/>
      <c r="AH66" s="19"/>
      <c r="AI66" s="19"/>
      <c r="AJ66" s="19"/>
      <c r="AK66" s="19"/>
      <c r="AL66" s="19"/>
    </row>
    <row r="67" spans="1:38" ht="13.5" customHeight="1">
      <c r="A67" s="19"/>
      <c r="B67" s="19"/>
      <c r="C67" s="19" t="s">
        <v>933</v>
      </c>
      <c r="D67" s="19"/>
      <c r="E67" s="19"/>
      <c r="F67" s="930"/>
      <c r="G67" s="49">
        <v>216</v>
      </c>
      <c r="H67" s="49">
        <v>185</v>
      </c>
      <c r="I67" s="49">
        <v>89</v>
      </c>
      <c r="J67" s="49">
        <v>110</v>
      </c>
      <c r="K67" s="49">
        <v>131</v>
      </c>
      <c r="L67" s="944" t="e">
        <f>'DCF - Assumptions (old)'!L174</f>
        <v>#REF!</v>
      </c>
      <c r="M67" s="624" t="e">
        <f>'DCF - Assumptions (old)'!M174</f>
        <v>#REF!</v>
      </c>
      <c r="N67" s="624" t="e">
        <f>'DCF - Assumptions (old)'!N174</f>
        <v>#REF!</v>
      </c>
      <c r="O67" s="624" t="e">
        <f>'DCF - Assumptions (old)'!O174</f>
        <v>#REF!</v>
      </c>
      <c r="P67" s="624" t="e">
        <f>'DCF - Assumptions (old)'!P174</f>
        <v>#REF!</v>
      </c>
      <c r="Q67" s="624" t="e">
        <f>'DCF - Assumptions (old)'!Q174</f>
        <v>#REF!</v>
      </c>
      <c r="R67" s="624" t="e">
        <f>'DCF - Assumptions (old)'!R174</f>
        <v>#REF!</v>
      </c>
      <c r="S67" s="624" t="e">
        <f>'DCF - Assumptions (old)'!S174</f>
        <v>#REF!</v>
      </c>
      <c r="U67" s="93">
        <f t="shared" si="0"/>
        <v>1</v>
      </c>
      <c r="V67" s="24">
        <v>1</v>
      </c>
      <c r="W67" s="19"/>
      <c r="X67" s="19"/>
      <c r="Y67" s="19"/>
      <c r="Z67" s="19"/>
      <c r="AA67" s="19"/>
      <c r="AB67" s="19"/>
      <c r="AC67" s="19"/>
      <c r="AD67" s="19"/>
      <c r="AE67" s="19"/>
      <c r="AF67" s="19"/>
      <c r="AG67" s="19"/>
      <c r="AH67" s="19"/>
      <c r="AI67" s="19"/>
      <c r="AJ67" s="19"/>
      <c r="AK67" s="19"/>
      <c r="AL67" s="19"/>
    </row>
    <row r="68" spans="1:38" ht="13.5" customHeight="1">
      <c r="A68" s="19"/>
      <c r="B68" s="19"/>
      <c r="C68" s="19" t="s">
        <v>934</v>
      </c>
      <c r="D68" s="19"/>
      <c r="E68" s="19"/>
      <c r="F68" s="930"/>
      <c r="G68" s="49">
        <v>-468</v>
      </c>
      <c r="H68" s="49">
        <v>-493</v>
      </c>
      <c r="I68" s="49">
        <v>-440</v>
      </c>
      <c r="J68" s="49">
        <v>-438</v>
      </c>
      <c r="K68" s="49">
        <v>-685</v>
      </c>
      <c r="L68" s="944">
        <f>'DCF - Capital Structure'!L64</f>
        <v>-15.917907005916643</v>
      </c>
      <c r="M68" s="624">
        <f>'DCF - Capital Structure'!M64</f>
        <v>-37.628806331896669</v>
      </c>
      <c r="N68" s="624">
        <f>'DCF - Capital Structure'!N64</f>
        <v>-40.699036577630025</v>
      </c>
      <c r="O68" s="624">
        <f>'DCF - Capital Structure'!O64</f>
        <v>-39.921196879075609</v>
      </c>
      <c r="P68" s="624">
        <f>'DCF - Capital Structure'!P64</f>
        <v>-40.075881349607457</v>
      </c>
      <c r="Q68" s="624">
        <f>'DCF - Capital Structure'!Q64</f>
        <v>-43.178763808394621</v>
      </c>
      <c r="R68" s="624">
        <f>'DCF - Capital Structure'!R64</f>
        <v>-44.822751097855573</v>
      </c>
      <c r="S68" s="624">
        <f>'DCF - Capital Structure'!S64</f>
        <v>-45.979716794577101</v>
      </c>
      <c r="U68" s="93">
        <f t="shared" si="0"/>
        <v>1</v>
      </c>
      <c r="V68" s="24">
        <v>1</v>
      </c>
      <c r="W68" s="19"/>
      <c r="X68" s="19"/>
      <c r="Y68" s="19"/>
      <c r="Z68" s="19"/>
      <c r="AA68" s="19"/>
      <c r="AB68" s="19"/>
      <c r="AC68" s="19"/>
      <c r="AD68" s="19"/>
      <c r="AE68" s="19"/>
      <c r="AF68" s="19"/>
      <c r="AG68" s="19"/>
      <c r="AH68" s="19"/>
      <c r="AI68" s="19"/>
      <c r="AJ68" s="19"/>
      <c r="AK68" s="19"/>
      <c r="AL68" s="19"/>
    </row>
    <row r="69" spans="1:38" ht="13.5" customHeight="1">
      <c r="A69" s="19"/>
      <c r="B69" s="19"/>
      <c r="C69" s="19" t="s">
        <v>935</v>
      </c>
      <c r="D69" s="859"/>
      <c r="E69" s="19"/>
      <c r="F69" s="930"/>
      <c r="G69" s="49">
        <v>-805</v>
      </c>
      <c r="H69" s="49">
        <v>-901</v>
      </c>
      <c r="I69" s="49">
        <v>-852</v>
      </c>
      <c r="J69" s="49">
        <v>-949</v>
      </c>
      <c r="K69" s="49">
        <v>-1201</v>
      </c>
      <c r="L69" s="944" t="e">
        <f t="shared" ref="L69:S69" si="31">L34</f>
        <v>#REF!</v>
      </c>
      <c r="M69" s="624" t="e">
        <f t="shared" si="31"/>
        <v>#REF!</v>
      </c>
      <c r="N69" s="624" t="e">
        <f t="shared" si="31"/>
        <v>#REF!</v>
      </c>
      <c r="O69" s="624" t="e">
        <f t="shared" si="31"/>
        <v>#REF!</v>
      </c>
      <c r="P69" s="624" t="e">
        <f t="shared" si="31"/>
        <v>#REF!</v>
      </c>
      <c r="Q69" s="624" t="e">
        <f t="shared" si="31"/>
        <v>#REF!</v>
      </c>
      <c r="R69" s="624" t="e">
        <f t="shared" si="31"/>
        <v>#REF!</v>
      </c>
      <c r="S69" s="624" t="e">
        <f t="shared" si="31"/>
        <v>#REF!</v>
      </c>
      <c r="U69" s="93">
        <f t="shared" si="0"/>
        <v>1</v>
      </c>
      <c r="V69" s="24">
        <v>1</v>
      </c>
      <c r="W69" s="19"/>
      <c r="X69" s="19"/>
      <c r="Y69" s="19"/>
      <c r="Z69" s="19"/>
      <c r="AA69" s="19"/>
      <c r="AB69" s="19"/>
      <c r="AC69" s="19"/>
      <c r="AD69" s="19"/>
      <c r="AE69" s="19"/>
      <c r="AF69" s="19"/>
      <c r="AG69" s="19"/>
      <c r="AH69" s="19"/>
      <c r="AI69" s="19"/>
      <c r="AJ69" s="19"/>
      <c r="AK69" s="19"/>
      <c r="AL69" s="19"/>
    </row>
    <row r="70" spans="1:38" ht="13.5" customHeight="1">
      <c r="A70" s="19"/>
      <c r="B70" s="19"/>
      <c r="C70" s="585" t="s">
        <v>936</v>
      </c>
      <c r="D70" s="573"/>
      <c r="E70" s="573"/>
      <c r="F70" s="931"/>
      <c r="G70" s="579" t="e">
        <f ca="1">SUM(G60:G69)</f>
        <v>#NAME?</v>
      </c>
      <c r="H70" s="579" t="e">
        <f ca="1">SUM(H60:H69)</f>
        <v>#NAME?</v>
      </c>
      <c r="I70" s="579" t="e">
        <f ca="1">SUM(I60:I69)</f>
        <v>#NAME?</v>
      </c>
      <c r="J70" s="579" t="e">
        <f ca="1">SUM(J60:J69)</f>
        <v>#NAME?</v>
      </c>
      <c r="K70" s="579" t="e">
        <f ca="1">SUM(K60:K69)</f>
        <v>#NAME?</v>
      </c>
      <c r="L70" s="579" t="e">
        <f t="shared" ref="L70:S70" si="32">SUM(L60:L69)</f>
        <v>#REF!</v>
      </c>
      <c r="M70" s="579" t="e">
        <f t="shared" si="32"/>
        <v>#REF!</v>
      </c>
      <c r="N70" s="579" t="e">
        <f t="shared" si="32"/>
        <v>#REF!</v>
      </c>
      <c r="O70" s="579" t="e">
        <f t="shared" si="32"/>
        <v>#REF!</v>
      </c>
      <c r="P70" s="579" t="e">
        <f t="shared" si="32"/>
        <v>#REF!</v>
      </c>
      <c r="Q70" s="579" t="e">
        <f t="shared" si="32"/>
        <v>#REF!</v>
      </c>
      <c r="R70" s="579" t="e">
        <f t="shared" si="32"/>
        <v>#REF!</v>
      </c>
      <c r="S70" s="579" t="e">
        <f t="shared" si="32"/>
        <v>#REF!</v>
      </c>
      <c r="U70" s="93">
        <f t="shared" si="0"/>
        <v>1</v>
      </c>
      <c r="V70" s="24">
        <v>1</v>
      </c>
      <c r="W70" s="19"/>
      <c r="X70" s="19"/>
      <c r="Y70" s="19"/>
      <c r="Z70" s="19"/>
      <c r="AA70" s="19"/>
      <c r="AB70" s="19"/>
      <c r="AC70" s="19"/>
      <c r="AD70" s="19"/>
      <c r="AE70" s="19"/>
      <c r="AF70" s="19"/>
      <c r="AG70" s="19"/>
      <c r="AH70" s="19"/>
      <c r="AI70" s="19"/>
      <c r="AJ70" s="19"/>
      <c r="AK70" s="19"/>
      <c r="AL70" s="19"/>
    </row>
    <row r="71" spans="1:38" ht="13.5" customHeight="1">
      <c r="A71" s="19"/>
      <c r="B71" s="19"/>
      <c r="C71" s="69"/>
      <c r="D71" s="19"/>
      <c r="E71" s="19"/>
      <c r="F71" s="930"/>
      <c r="G71" s="19"/>
      <c r="H71" s="869"/>
      <c r="I71" s="19"/>
      <c r="J71" s="14"/>
      <c r="K71" s="14"/>
      <c r="L71" s="14"/>
      <c r="M71" s="14"/>
      <c r="N71" s="14"/>
      <c r="O71" s="14"/>
      <c r="P71" s="14"/>
      <c r="Q71" s="14"/>
      <c r="R71" s="14"/>
      <c r="S71" s="14"/>
      <c r="U71" s="93">
        <f t="shared" si="0"/>
        <v>0</v>
      </c>
      <c r="V71" s="24">
        <v>0</v>
      </c>
      <c r="W71" s="19"/>
      <c r="X71" s="19"/>
      <c r="Y71" s="19"/>
      <c r="Z71" s="19"/>
      <c r="AA71" s="19"/>
      <c r="AB71" s="19"/>
      <c r="AC71" s="19"/>
      <c r="AD71" s="19"/>
      <c r="AE71" s="19"/>
      <c r="AF71" s="19"/>
      <c r="AG71" s="19"/>
      <c r="AH71" s="19"/>
      <c r="AI71" s="19"/>
      <c r="AJ71" s="19"/>
      <c r="AK71" s="19"/>
      <c r="AL71" s="19"/>
    </row>
    <row r="72" spans="1:38" ht="13.5" customHeight="1">
      <c r="A72" s="19"/>
      <c r="B72" s="19"/>
      <c r="C72" s="70" t="s">
        <v>937</v>
      </c>
      <c r="D72" s="19"/>
      <c r="E72" s="19"/>
      <c r="F72" s="930"/>
      <c r="G72" s="45">
        <v>-434</v>
      </c>
      <c r="H72" s="45">
        <v>-366</v>
      </c>
      <c r="I72" s="45">
        <v>-443</v>
      </c>
      <c r="J72" s="45">
        <v>-740</v>
      </c>
      <c r="K72" s="45">
        <v>-675</v>
      </c>
      <c r="L72" s="966">
        <f>-(L125-K125)</f>
        <v>7661</v>
      </c>
      <c r="M72" s="626">
        <f>-(M125-L125)</f>
        <v>0</v>
      </c>
      <c r="N72" s="626">
        <f t="shared" ref="N72:S73" si="33">-(N125-M125)</f>
        <v>0</v>
      </c>
      <c r="O72" s="626">
        <f t="shared" si="33"/>
        <v>0</v>
      </c>
      <c r="P72" s="626">
        <f t="shared" si="33"/>
        <v>0</v>
      </c>
      <c r="Q72" s="626">
        <f t="shared" si="33"/>
        <v>0</v>
      </c>
      <c r="R72" s="626">
        <f t="shared" si="33"/>
        <v>0</v>
      </c>
      <c r="S72" s="626">
        <f t="shared" si="33"/>
        <v>0</v>
      </c>
      <c r="U72" s="93">
        <f t="shared" si="0"/>
        <v>1</v>
      </c>
      <c r="V72" s="24">
        <v>1</v>
      </c>
      <c r="W72" s="19"/>
      <c r="X72" s="19"/>
      <c r="Y72" s="19"/>
      <c r="Z72" s="19"/>
      <c r="AA72" s="19"/>
      <c r="AB72" s="19"/>
      <c r="AC72" s="19"/>
      <c r="AD72" s="19"/>
      <c r="AE72" s="19"/>
      <c r="AF72" s="19"/>
      <c r="AG72" s="19"/>
      <c r="AH72" s="19"/>
      <c r="AI72" s="19"/>
      <c r="AJ72" s="19"/>
      <c r="AK72" s="19"/>
      <c r="AL72" s="19"/>
    </row>
    <row r="73" spans="1:38" ht="13.5" customHeight="1">
      <c r="A73" s="19"/>
      <c r="B73" s="19"/>
      <c r="C73" s="70" t="s">
        <v>938</v>
      </c>
      <c r="D73" s="19"/>
      <c r="E73" s="19"/>
      <c r="F73" s="930"/>
      <c r="G73" s="45">
        <v>11</v>
      </c>
      <c r="H73" s="45">
        <v>523</v>
      </c>
      <c r="I73" s="45">
        <v>-446</v>
      </c>
      <c r="J73" s="45">
        <v>-378</v>
      </c>
      <c r="K73" s="45">
        <v>121</v>
      </c>
      <c r="L73" s="966">
        <f>-(L126-K126)</f>
        <v>2720</v>
      </c>
      <c r="M73" s="626">
        <f>-(M126-L126)</f>
        <v>0</v>
      </c>
      <c r="N73" s="626">
        <f t="shared" si="33"/>
        <v>0</v>
      </c>
      <c r="O73" s="626">
        <f t="shared" si="33"/>
        <v>0</v>
      </c>
      <c r="P73" s="626">
        <f t="shared" si="33"/>
        <v>0</v>
      </c>
      <c r="Q73" s="626">
        <f t="shared" si="33"/>
        <v>0</v>
      </c>
      <c r="R73" s="626">
        <f t="shared" si="33"/>
        <v>0</v>
      </c>
      <c r="S73" s="626">
        <f t="shared" si="33"/>
        <v>0</v>
      </c>
      <c r="U73" s="93">
        <f t="shared" ref="U73:U136" si="34">IF(NOT(ISBLANK(C73)), 1, 0)</f>
        <v>1</v>
      </c>
      <c r="V73" s="24">
        <v>1</v>
      </c>
      <c r="W73" s="19"/>
      <c r="X73" s="19"/>
      <c r="Y73" s="19"/>
      <c r="Z73" s="19"/>
      <c r="AA73" s="19"/>
      <c r="AB73" s="19"/>
      <c r="AC73" s="19"/>
      <c r="AD73" s="19"/>
      <c r="AE73" s="19"/>
      <c r="AF73" s="19"/>
      <c r="AG73" s="19"/>
      <c r="AH73" s="19"/>
      <c r="AI73" s="19"/>
      <c r="AJ73" s="19"/>
      <c r="AK73" s="19"/>
      <c r="AL73" s="19"/>
    </row>
    <row r="74" spans="1:38" ht="13.5" customHeight="1">
      <c r="A74" s="19"/>
      <c r="B74" s="19"/>
      <c r="C74" s="70" t="s">
        <v>939</v>
      </c>
      <c r="D74" s="19"/>
      <c r="E74" s="19"/>
      <c r="F74" s="930"/>
      <c r="G74" s="45">
        <v>201</v>
      </c>
      <c r="H74" s="45">
        <v>-485</v>
      </c>
      <c r="I74" s="45">
        <v>1220</v>
      </c>
      <c r="J74" s="45">
        <v>939</v>
      </c>
      <c r="K74" s="45">
        <v>-621</v>
      </c>
      <c r="L74" s="966">
        <f>(L148-K148)+(L151-K151)</f>
        <v>-5419</v>
      </c>
      <c r="M74" s="626">
        <f>(M148-L148)+(M151-L151)</f>
        <v>0</v>
      </c>
      <c r="N74" s="626">
        <f t="shared" ref="N74:S74" si="35">(N148-M148)+(N151-M151)</f>
        <v>0</v>
      </c>
      <c r="O74" s="626">
        <f t="shared" si="35"/>
        <v>0</v>
      </c>
      <c r="P74" s="626">
        <f t="shared" si="35"/>
        <v>0</v>
      </c>
      <c r="Q74" s="626">
        <f t="shared" si="35"/>
        <v>0</v>
      </c>
      <c r="R74" s="626">
        <f t="shared" si="35"/>
        <v>0</v>
      </c>
      <c r="S74" s="626">
        <f t="shared" si="35"/>
        <v>0</v>
      </c>
      <c r="U74" s="93">
        <f t="shared" si="34"/>
        <v>1</v>
      </c>
      <c r="V74" s="24">
        <v>1</v>
      </c>
      <c r="W74" s="19"/>
      <c r="X74" s="19"/>
      <c r="Y74" s="19"/>
      <c r="Z74" s="19"/>
      <c r="AA74" s="19"/>
      <c r="AB74" s="19"/>
      <c r="AC74" s="19"/>
      <c r="AD74" s="19"/>
      <c r="AE74" s="19"/>
      <c r="AF74" s="19"/>
      <c r="AG74" s="19"/>
      <c r="AH74" s="19"/>
      <c r="AI74" s="19"/>
      <c r="AJ74" s="19"/>
      <c r="AK74" s="19"/>
      <c r="AL74" s="19"/>
    </row>
    <row r="75" spans="1:38" ht="13.5" customHeight="1">
      <c r="A75" s="19"/>
      <c r="B75" s="19"/>
      <c r="C75" s="586" t="s">
        <v>940</v>
      </c>
      <c r="D75" s="573"/>
      <c r="E75" s="573"/>
      <c r="F75" s="931"/>
      <c r="G75" s="579">
        <f t="shared" ref="G75:S75" si="36">SUM(G72:G74)</f>
        <v>-222</v>
      </c>
      <c r="H75" s="579">
        <f t="shared" si="36"/>
        <v>-328</v>
      </c>
      <c r="I75" s="579">
        <f t="shared" si="36"/>
        <v>331</v>
      </c>
      <c r="J75" s="579">
        <f t="shared" si="36"/>
        <v>-179</v>
      </c>
      <c r="K75" s="579">
        <f t="shared" si="36"/>
        <v>-1175</v>
      </c>
      <c r="L75" s="625">
        <f>SUM(L72:L74)</f>
        <v>4962</v>
      </c>
      <c r="M75" s="625">
        <f t="shared" si="36"/>
        <v>0</v>
      </c>
      <c r="N75" s="625">
        <f t="shared" si="36"/>
        <v>0</v>
      </c>
      <c r="O75" s="625">
        <f t="shared" si="36"/>
        <v>0</v>
      </c>
      <c r="P75" s="625">
        <f t="shared" si="36"/>
        <v>0</v>
      </c>
      <c r="Q75" s="625">
        <f t="shared" si="36"/>
        <v>0</v>
      </c>
      <c r="R75" s="625">
        <f t="shared" si="36"/>
        <v>0</v>
      </c>
      <c r="S75" s="625">
        <f t="shared" si="36"/>
        <v>0</v>
      </c>
      <c r="U75" s="93">
        <f t="shared" si="34"/>
        <v>1</v>
      </c>
      <c r="V75" s="24">
        <v>1</v>
      </c>
      <c r="W75" s="19"/>
      <c r="X75" s="19"/>
      <c r="Y75" s="19"/>
      <c r="Z75" s="19"/>
      <c r="AA75" s="19"/>
      <c r="AB75" s="19"/>
      <c r="AC75" s="19"/>
      <c r="AD75" s="19"/>
      <c r="AE75" s="19"/>
      <c r="AF75" s="19"/>
      <c r="AG75" s="19"/>
      <c r="AH75" s="19"/>
      <c r="AI75" s="19"/>
      <c r="AJ75" s="19"/>
      <c r="AK75" s="19"/>
      <c r="AL75" s="19"/>
    </row>
    <row r="76" spans="1:38" ht="13.5" customHeight="1">
      <c r="A76" s="19"/>
      <c r="B76" s="19"/>
      <c r="C76" s="69"/>
      <c r="D76" s="19"/>
      <c r="E76" s="19"/>
      <c r="F76" s="930"/>
      <c r="G76" s="19"/>
      <c r="H76" s="19"/>
      <c r="I76" s="19"/>
      <c r="J76" s="19"/>
      <c r="K76" s="19"/>
      <c r="L76" s="2"/>
      <c r="M76" s="2"/>
      <c r="N76" s="2"/>
      <c r="O76" s="2"/>
      <c r="P76" s="2"/>
      <c r="Q76" s="2"/>
      <c r="R76" s="2"/>
      <c r="S76" s="2"/>
      <c r="U76" s="93">
        <f t="shared" si="34"/>
        <v>0</v>
      </c>
      <c r="V76" s="24">
        <v>0</v>
      </c>
      <c r="W76" s="19"/>
      <c r="X76" s="19"/>
      <c r="Y76" s="19"/>
      <c r="Z76" s="19"/>
      <c r="AA76" s="19"/>
      <c r="AB76" s="19"/>
      <c r="AC76" s="19"/>
      <c r="AD76" s="19"/>
      <c r="AE76" s="19"/>
      <c r="AF76" s="19"/>
      <c r="AG76" s="19"/>
      <c r="AH76" s="19"/>
      <c r="AI76" s="19"/>
      <c r="AJ76" s="19"/>
      <c r="AK76" s="19"/>
      <c r="AL76" s="19"/>
    </row>
    <row r="77" spans="1:38" ht="13.5" customHeight="1">
      <c r="A77" s="19"/>
      <c r="B77" s="19"/>
      <c r="C77" s="63" t="s">
        <v>941</v>
      </c>
      <c r="D77" s="48"/>
      <c r="E77" s="48"/>
      <c r="F77" s="932"/>
      <c r="G77" s="579" t="e">
        <f t="shared" ref="G77:S77" ca="1" si="37">G75+G70</f>
        <v>#NAME?</v>
      </c>
      <c r="H77" s="579" t="e">
        <f t="shared" ca="1" si="37"/>
        <v>#NAME?</v>
      </c>
      <c r="I77" s="579" t="e">
        <f t="shared" ca="1" si="37"/>
        <v>#NAME?</v>
      </c>
      <c r="J77" s="579" t="e">
        <f t="shared" ca="1" si="37"/>
        <v>#NAME?</v>
      </c>
      <c r="K77" s="579" t="e">
        <f t="shared" ca="1" si="37"/>
        <v>#NAME?</v>
      </c>
      <c r="L77" s="625" t="e">
        <f>L75+L70</f>
        <v>#REF!</v>
      </c>
      <c r="M77" s="625" t="e">
        <f t="shared" si="37"/>
        <v>#REF!</v>
      </c>
      <c r="N77" s="625" t="e">
        <f t="shared" si="37"/>
        <v>#REF!</v>
      </c>
      <c r="O77" s="625" t="e">
        <f t="shared" si="37"/>
        <v>#REF!</v>
      </c>
      <c r="P77" s="625" t="e">
        <f t="shared" si="37"/>
        <v>#REF!</v>
      </c>
      <c r="Q77" s="625" t="e">
        <f t="shared" si="37"/>
        <v>#REF!</v>
      </c>
      <c r="R77" s="625" t="e">
        <f t="shared" si="37"/>
        <v>#REF!</v>
      </c>
      <c r="S77" s="625" t="e">
        <f t="shared" si="37"/>
        <v>#REF!</v>
      </c>
      <c r="U77" s="93">
        <f t="shared" si="34"/>
        <v>1</v>
      </c>
      <c r="V77" s="24">
        <v>1</v>
      </c>
      <c r="W77" s="19"/>
      <c r="X77" s="19"/>
      <c r="Y77" s="19"/>
      <c r="Z77" s="19"/>
      <c r="AA77" s="19"/>
      <c r="AB77" s="19"/>
      <c r="AC77" s="19"/>
      <c r="AD77" s="19"/>
      <c r="AE77" s="19"/>
      <c r="AF77" s="19"/>
      <c r="AG77" s="19"/>
      <c r="AH77" s="19"/>
      <c r="AI77" s="19"/>
      <c r="AJ77" s="19"/>
      <c r="AK77" s="19"/>
      <c r="AL77" s="19"/>
    </row>
    <row r="78" spans="1:38" ht="13.5" customHeight="1">
      <c r="A78" s="19"/>
      <c r="B78" s="19"/>
      <c r="C78" s="19"/>
      <c r="D78" s="19"/>
      <c r="E78" s="19"/>
      <c r="F78" s="930"/>
      <c r="H78" s="19"/>
      <c r="I78" s="19"/>
      <c r="J78" s="19"/>
      <c r="K78" s="19"/>
      <c r="L78" s="19"/>
      <c r="M78" s="19"/>
      <c r="N78" s="19"/>
      <c r="O78" s="19"/>
      <c r="P78" s="19"/>
      <c r="Q78" s="19"/>
      <c r="R78" s="19"/>
      <c r="S78" s="19"/>
      <c r="U78" s="93">
        <f t="shared" si="34"/>
        <v>0</v>
      </c>
      <c r="V78" s="24">
        <v>0</v>
      </c>
      <c r="W78" s="19"/>
      <c r="X78" s="19"/>
      <c r="Y78" s="19"/>
      <c r="Z78" s="19"/>
      <c r="AA78" s="19"/>
      <c r="AB78" s="19"/>
      <c r="AC78" s="19"/>
      <c r="AD78" s="19"/>
      <c r="AE78" s="19"/>
      <c r="AF78" s="19"/>
      <c r="AG78" s="19"/>
      <c r="AH78" s="19"/>
      <c r="AI78" s="19"/>
      <c r="AJ78" s="19"/>
      <c r="AK78" s="19"/>
      <c r="AL78" s="19"/>
    </row>
    <row r="79" spans="1:38" ht="13.5" customHeight="1">
      <c r="A79" s="19"/>
      <c r="B79" s="19"/>
      <c r="C79" s="66" t="s">
        <v>942</v>
      </c>
      <c r="D79" s="859"/>
      <c r="E79" s="19"/>
      <c r="F79" s="930"/>
      <c r="G79" s="68"/>
      <c r="H79" s="68"/>
      <c r="I79" s="68"/>
      <c r="J79" s="68"/>
      <c r="K79" s="68"/>
      <c r="L79" s="68"/>
      <c r="M79" s="68"/>
      <c r="N79" s="68"/>
      <c r="O79" s="68"/>
      <c r="P79" s="68"/>
      <c r="Q79" s="68"/>
      <c r="R79" s="68"/>
      <c r="S79" s="68"/>
      <c r="U79" s="93">
        <f t="shared" si="34"/>
        <v>1</v>
      </c>
      <c r="V79" s="24">
        <v>1</v>
      </c>
      <c r="W79" s="19"/>
      <c r="X79" s="19"/>
      <c r="Y79" s="19"/>
      <c r="Z79" s="19"/>
      <c r="AA79" s="19"/>
      <c r="AB79" s="19"/>
      <c r="AC79" s="19"/>
      <c r="AD79" s="19"/>
      <c r="AE79" s="19"/>
      <c r="AF79" s="19"/>
      <c r="AG79" s="19"/>
      <c r="AH79" s="19"/>
      <c r="AI79" s="19"/>
      <c r="AJ79" s="19"/>
      <c r="AK79" s="19"/>
      <c r="AL79" s="19"/>
    </row>
    <row r="80" spans="1:38" ht="13.5" customHeight="1">
      <c r="A80" s="19"/>
      <c r="B80" s="19"/>
      <c r="C80" s="19" t="s">
        <v>943</v>
      </c>
      <c r="D80" s="19"/>
      <c r="E80" s="19"/>
      <c r="F80" s="930"/>
      <c r="G80" s="64">
        <v>32</v>
      </c>
      <c r="H80" s="64">
        <v>14</v>
      </c>
      <c r="I80" s="64">
        <v>13</v>
      </c>
      <c r="J80" s="64">
        <v>17</v>
      </c>
      <c r="K80" s="64">
        <v>13</v>
      </c>
      <c r="L80" s="627">
        <v>0</v>
      </c>
      <c r="M80" s="627">
        <v>0</v>
      </c>
      <c r="N80" s="627">
        <v>0</v>
      </c>
      <c r="O80" s="627">
        <v>0</v>
      </c>
      <c r="P80" s="627">
        <v>0</v>
      </c>
      <c r="Q80" s="627">
        <v>0</v>
      </c>
      <c r="R80" s="627">
        <v>0</v>
      </c>
      <c r="S80" s="627">
        <v>0</v>
      </c>
      <c r="U80" s="93">
        <f t="shared" si="34"/>
        <v>1</v>
      </c>
      <c r="V80" s="24">
        <v>1</v>
      </c>
      <c r="W80" s="19"/>
      <c r="X80" s="19"/>
      <c r="Y80" s="19"/>
      <c r="Z80" s="19"/>
      <c r="AA80" s="19"/>
      <c r="AB80" s="19"/>
      <c r="AC80" s="19"/>
      <c r="AD80" s="19"/>
      <c r="AE80" s="19"/>
      <c r="AF80" s="19"/>
      <c r="AG80" s="19"/>
      <c r="AH80" s="19"/>
      <c r="AI80" s="19"/>
      <c r="AJ80" s="19"/>
      <c r="AK80" s="19"/>
      <c r="AL80" s="19"/>
    </row>
    <row r="81" spans="1:38" ht="13.5" customHeight="1">
      <c r="A81" s="19"/>
      <c r="B81" s="19"/>
      <c r="C81" s="19" t="s">
        <v>944</v>
      </c>
      <c r="D81" s="19"/>
      <c r="E81" s="19"/>
      <c r="F81" s="930"/>
      <c r="G81" s="64">
        <v>-671</v>
      </c>
      <c r="H81" s="64">
        <v>-700</v>
      </c>
      <c r="I81" s="64">
        <v>-626</v>
      </c>
      <c r="J81" s="64">
        <v>-1097</v>
      </c>
      <c r="K81" s="64">
        <v>-1180</v>
      </c>
      <c r="L81" s="627">
        <f>-'DCF - Assumptions (old)'!L141-'DCF - Assumptions (old)'!L159-'DCF - Assumptions (old)'!L150</f>
        <v>0</v>
      </c>
      <c r="M81" s="627">
        <f>-'DCF - Assumptions (old)'!M141-'DCF - Assumptions (old)'!M159-'DCF - Assumptions (old)'!M150</f>
        <v>0</v>
      </c>
      <c r="N81" s="627">
        <f>-'DCF - Assumptions (old)'!N141-'DCF - Assumptions (old)'!N159-'DCF - Assumptions (old)'!N150</f>
        <v>0</v>
      </c>
      <c r="O81" s="627">
        <f>-'DCF - Assumptions (old)'!O141-'DCF - Assumptions (old)'!O159-'DCF - Assumptions (old)'!O150</f>
        <v>0</v>
      </c>
      <c r="P81" s="627">
        <f>-'DCF - Assumptions (old)'!P141-'DCF - Assumptions (old)'!P159-'DCF - Assumptions (old)'!P150</f>
        <v>0</v>
      </c>
      <c r="Q81" s="627">
        <f>-'DCF - Assumptions (old)'!Q141-'DCF - Assumptions (old)'!Q159-'DCF - Assumptions (old)'!Q150</f>
        <v>0</v>
      </c>
      <c r="R81" s="627">
        <f>-'DCF - Assumptions (old)'!R141-'DCF - Assumptions (old)'!R159-'DCF - Assumptions (old)'!R150</f>
        <v>0</v>
      </c>
      <c r="S81" s="627">
        <f>-'DCF - Assumptions (old)'!S141-'DCF - Assumptions (old)'!S159-'DCF - Assumptions (old)'!S150</f>
        <v>0</v>
      </c>
      <c r="U81" s="93">
        <f t="shared" si="34"/>
        <v>1</v>
      </c>
      <c r="V81" s="24">
        <v>1</v>
      </c>
      <c r="W81" s="19"/>
      <c r="X81" s="19"/>
      <c r="Y81" s="19"/>
      <c r="Z81" s="19"/>
      <c r="AA81" s="19"/>
      <c r="AB81" s="19"/>
      <c r="AC81" s="19"/>
      <c r="AD81" s="19"/>
      <c r="AE81" s="19"/>
      <c r="AF81" s="19"/>
      <c r="AG81" s="19"/>
      <c r="AH81" s="19"/>
      <c r="AI81" s="19"/>
      <c r="AJ81" s="19"/>
      <c r="AK81" s="19"/>
      <c r="AL81" s="19"/>
    </row>
    <row r="82" spans="1:38" ht="13.5" customHeight="1">
      <c r="A82" s="19"/>
      <c r="B82" s="19"/>
      <c r="C82" s="19" t="s">
        <v>945</v>
      </c>
      <c r="D82" s="19"/>
      <c r="E82" s="19"/>
      <c r="F82" s="930"/>
      <c r="G82" s="64">
        <v>-1</v>
      </c>
      <c r="H82" s="64">
        <v>0</v>
      </c>
      <c r="I82" s="64">
        <v>-4</v>
      </c>
      <c r="J82" s="64">
        <v>-72</v>
      </c>
      <c r="K82" s="64">
        <v>-57</v>
      </c>
      <c r="L82" s="627">
        <v>0</v>
      </c>
      <c r="M82" s="627">
        <v>0</v>
      </c>
      <c r="N82" s="627">
        <v>0</v>
      </c>
      <c r="O82" s="627">
        <v>0</v>
      </c>
      <c r="P82" s="627">
        <v>0</v>
      </c>
      <c r="Q82" s="627">
        <v>0</v>
      </c>
      <c r="R82" s="627">
        <v>0</v>
      </c>
      <c r="S82" s="627">
        <v>0</v>
      </c>
      <c r="U82" s="93">
        <f t="shared" si="34"/>
        <v>1</v>
      </c>
      <c r="V82" s="24">
        <v>1</v>
      </c>
      <c r="W82" s="19"/>
      <c r="X82" s="19"/>
      <c r="Y82" s="19"/>
      <c r="Z82" s="19"/>
      <c r="AA82" s="19"/>
      <c r="AB82" s="19"/>
      <c r="AC82" s="19"/>
      <c r="AD82" s="19"/>
      <c r="AE82" s="19"/>
      <c r="AF82" s="19"/>
      <c r="AG82" s="19"/>
      <c r="AH82" s="19"/>
      <c r="AI82" s="19"/>
      <c r="AJ82" s="19"/>
      <c r="AK82" s="19"/>
      <c r="AL82" s="19"/>
    </row>
    <row r="83" spans="1:38" ht="13.5" customHeight="1">
      <c r="A83" s="19"/>
      <c r="B83" s="19"/>
      <c r="C83" s="19" t="s">
        <v>946</v>
      </c>
      <c r="D83" s="19"/>
      <c r="E83" s="19"/>
      <c r="F83" s="930"/>
      <c r="G83" s="64">
        <v>426</v>
      </c>
      <c r="H83" s="64">
        <v>11</v>
      </c>
      <c r="I83" s="64">
        <v>14</v>
      </c>
      <c r="J83" s="64">
        <v>82</v>
      </c>
      <c r="K83" s="64">
        <v>462</v>
      </c>
      <c r="L83" s="627">
        <v>0</v>
      </c>
      <c r="M83" s="627">
        <v>0</v>
      </c>
      <c r="N83" s="627">
        <v>0</v>
      </c>
      <c r="O83" s="627">
        <v>0</v>
      </c>
      <c r="P83" s="627">
        <v>0</v>
      </c>
      <c r="Q83" s="627">
        <v>0</v>
      </c>
      <c r="R83" s="627">
        <v>0</v>
      </c>
      <c r="S83" s="627">
        <v>0</v>
      </c>
      <c r="U83" s="93">
        <f t="shared" si="34"/>
        <v>1</v>
      </c>
      <c r="V83" s="24">
        <v>1</v>
      </c>
      <c r="W83" s="19"/>
      <c r="X83" s="19"/>
      <c r="Y83" s="19"/>
      <c r="Z83" s="19"/>
      <c r="AA83" s="19"/>
      <c r="AB83" s="19"/>
      <c r="AC83" s="19"/>
      <c r="AD83" s="19"/>
      <c r="AE83" s="19"/>
      <c r="AF83" s="19"/>
      <c r="AG83" s="19"/>
      <c r="AH83" s="19"/>
      <c r="AI83" s="19"/>
      <c r="AJ83" s="19"/>
      <c r="AK83" s="19"/>
      <c r="AL83" s="19"/>
    </row>
    <row r="84" spans="1:38" ht="13.5" customHeight="1">
      <c r="A84" s="19"/>
      <c r="B84" s="19"/>
      <c r="C84" s="3" t="s">
        <v>947</v>
      </c>
      <c r="G84" s="196">
        <v>-56</v>
      </c>
      <c r="H84" s="196">
        <v>-130</v>
      </c>
      <c r="I84" s="196">
        <v>-488</v>
      </c>
      <c r="J84" s="196">
        <f>-206-65</f>
        <v>-271</v>
      </c>
      <c r="K84" s="196">
        <f>-342-93</f>
        <v>-435</v>
      </c>
      <c r="L84" s="627">
        <v>0</v>
      </c>
      <c r="M84" s="627">
        <v>0</v>
      </c>
      <c r="N84" s="627">
        <v>0</v>
      </c>
      <c r="O84" s="627">
        <v>0</v>
      </c>
      <c r="P84" s="627">
        <v>0</v>
      </c>
      <c r="Q84" s="627">
        <v>0</v>
      </c>
      <c r="R84" s="627">
        <v>0</v>
      </c>
      <c r="S84" s="627">
        <v>0</v>
      </c>
      <c r="U84" s="93">
        <f t="shared" si="34"/>
        <v>1</v>
      </c>
      <c r="V84" s="24">
        <v>1</v>
      </c>
    </row>
    <row r="85" spans="1:38" ht="13.5" customHeight="1">
      <c r="A85" s="19"/>
      <c r="B85" s="19"/>
      <c r="C85" s="63" t="s">
        <v>948</v>
      </c>
      <c r="D85" s="48"/>
      <c r="E85" s="48"/>
      <c r="F85" s="932"/>
      <c r="G85" s="579">
        <f t="shared" ref="G85:S85" si="38">SUM(G80:G84)</f>
        <v>-270</v>
      </c>
      <c r="H85" s="579">
        <f t="shared" si="38"/>
        <v>-805</v>
      </c>
      <c r="I85" s="579">
        <f t="shared" si="38"/>
        <v>-1091</v>
      </c>
      <c r="J85" s="579">
        <f t="shared" si="38"/>
        <v>-1341</v>
      </c>
      <c r="K85" s="579">
        <f t="shared" si="38"/>
        <v>-1197</v>
      </c>
      <c r="L85" s="625">
        <f t="shared" si="38"/>
        <v>0</v>
      </c>
      <c r="M85" s="625">
        <f t="shared" si="38"/>
        <v>0</v>
      </c>
      <c r="N85" s="625">
        <f t="shared" si="38"/>
        <v>0</v>
      </c>
      <c r="O85" s="625">
        <f t="shared" si="38"/>
        <v>0</v>
      </c>
      <c r="P85" s="625">
        <f t="shared" si="38"/>
        <v>0</v>
      </c>
      <c r="Q85" s="625">
        <f t="shared" si="38"/>
        <v>0</v>
      </c>
      <c r="R85" s="625">
        <f t="shared" si="38"/>
        <v>0</v>
      </c>
      <c r="S85" s="625">
        <f t="shared" si="38"/>
        <v>0</v>
      </c>
      <c r="U85" s="93">
        <f t="shared" si="34"/>
        <v>1</v>
      </c>
      <c r="V85" s="24">
        <v>1</v>
      </c>
      <c r="W85" s="19"/>
      <c r="X85" s="19"/>
      <c r="Y85" s="19"/>
      <c r="Z85" s="19"/>
      <c r="AA85" s="19"/>
      <c r="AB85" s="19"/>
      <c r="AC85" s="19"/>
      <c r="AD85" s="19"/>
      <c r="AE85" s="19"/>
      <c r="AF85" s="19"/>
      <c r="AG85" s="19"/>
      <c r="AH85" s="19"/>
      <c r="AI85" s="19"/>
      <c r="AJ85" s="19"/>
      <c r="AK85" s="19"/>
      <c r="AL85" s="19"/>
    </row>
    <row r="86" spans="1:38" ht="13.5" customHeight="1">
      <c r="A86" s="19"/>
      <c r="B86" s="19"/>
      <c r="C86" s="67"/>
      <c r="D86" s="19"/>
      <c r="E86" s="19"/>
      <c r="F86" s="930"/>
      <c r="G86" s="19"/>
      <c r="H86" s="19"/>
      <c r="I86" s="19"/>
      <c r="J86" s="19"/>
      <c r="K86" s="19"/>
      <c r="L86" s="19"/>
      <c r="M86" s="19"/>
      <c r="N86" s="19"/>
      <c r="O86" s="19"/>
      <c r="P86" s="19"/>
      <c r="Q86" s="19"/>
      <c r="R86" s="19"/>
      <c r="S86" s="19"/>
      <c r="U86" s="93">
        <f t="shared" si="34"/>
        <v>0</v>
      </c>
      <c r="V86" s="24">
        <v>0</v>
      </c>
      <c r="W86" s="19"/>
      <c r="X86" s="19"/>
      <c r="Y86" s="19"/>
      <c r="Z86" s="19"/>
      <c r="AA86" s="19"/>
      <c r="AB86" s="19"/>
      <c r="AC86" s="19"/>
      <c r="AD86" s="19"/>
      <c r="AE86" s="19"/>
      <c r="AF86" s="19"/>
      <c r="AG86" s="19"/>
      <c r="AH86" s="19"/>
      <c r="AI86" s="19"/>
      <c r="AJ86" s="19"/>
      <c r="AK86" s="19"/>
      <c r="AL86" s="19"/>
    </row>
    <row r="87" spans="1:38" s="23" customFormat="1" ht="13.5" customHeight="1">
      <c r="A87" s="66"/>
      <c r="B87" s="66"/>
      <c r="C87" s="578" t="s">
        <v>949</v>
      </c>
      <c r="D87" s="66"/>
      <c r="E87" s="66"/>
      <c r="F87" s="933"/>
      <c r="G87" s="577" t="e">
        <f t="shared" ref="G87:S87" ca="1" si="39">G77+G85</f>
        <v>#NAME?</v>
      </c>
      <c r="H87" s="577" t="e">
        <f t="shared" ca="1" si="39"/>
        <v>#NAME?</v>
      </c>
      <c r="I87" s="577" t="e">
        <f t="shared" ca="1" si="39"/>
        <v>#NAME?</v>
      </c>
      <c r="J87" s="577" t="e">
        <f t="shared" ca="1" si="39"/>
        <v>#NAME?</v>
      </c>
      <c r="K87" s="577" t="e">
        <f t="shared" ca="1" si="39"/>
        <v>#NAME?</v>
      </c>
      <c r="L87" s="629" t="e">
        <f>L77+L85</f>
        <v>#REF!</v>
      </c>
      <c r="M87" s="629" t="e">
        <f t="shared" si="39"/>
        <v>#REF!</v>
      </c>
      <c r="N87" s="629" t="e">
        <f t="shared" si="39"/>
        <v>#REF!</v>
      </c>
      <c r="O87" s="629" t="e">
        <f t="shared" si="39"/>
        <v>#REF!</v>
      </c>
      <c r="P87" s="629" t="e">
        <f t="shared" si="39"/>
        <v>#REF!</v>
      </c>
      <c r="Q87" s="629" t="e">
        <f t="shared" si="39"/>
        <v>#REF!</v>
      </c>
      <c r="R87" s="629" t="e">
        <f t="shared" si="39"/>
        <v>#REF!</v>
      </c>
      <c r="S87" s="629" t="e">
        <f t="shared" si="39"/>
        <v>#REF!</v>
      </c>
      <c r="U87" s="93">
        <f t="shared" si="34"/>
        <v>1</v>
      </c>
      <c r="V87" s="569">
        <v>1</v>
      </c>
      <c r="W87" s="66"/>
      <c r="X87" s="66"/>
      <c r="Y87" s="66"/>
      <c r="Z87" s="66"/>
      <c r="AA87" s="66"/>
      <c r="AB87" s="66"/>
      <c r="AC87" s="66"/>
      <c r="AD87" s="66"/>
      <c r="AE87" s="66"/>
      <c r="AF87" s="66"/>
      <c r="AG87" s="66"/>
      <c r="AH87" s="66"/>
      <c r="AI87" s="66"/>
      <c r="AJ87" s="66"/>
      <c r="AK87" s="66"/>
      <c r="AL87" s="66"/>
    </row>
    <row r="88" spans="1:38" ht="13.5" customHeight="1">
      <c r="A88" s="19"/>
      <c r="B88" s="19"/>
      <c r="C88" s="67"/>
      <c r="D88" s="19"/>
      <c r="E88" s="19"/>
      <c r="F88" s="930"/>
      <c r="G88" s="19"/>
      <c r="H88" s="19"/>
      <c r="I88" s="19"/>
      <c r="J88" s="19"/>
      <c r="K88" s="19"/>
      <c r="L88" s="19"/>
      <c r="M88" s="19"/>
      <c r="N88" s="19"/>
      <c r="O88" s="19"/>
      <c r="P88" s="19"/>
      <c r="Q88" s="19"/>
      <c r="R88" s="19"/>
      <c r="S88" s="19"/>
      <c r="U88" s="93">
        <f t="shared" si="34"/>
        <v>0</v>
      </c>
      <c r="V88" s="24">
        <v>0</v>
      </c>
      <c r="W88" s="19"/>
      <c r="X88" s="19"/>
      <c r="Y88" s="19"/>
      <c r="Z88" s="19"/>
      <c r="AA88" s="19"/>
      <c r="AB88" s="19"/>
      <c r="AC88" s="19"/>
      <c r="AD88" s="19"/>
      <c r="AE88" s="19"/>
      <c r="AF88" s="19"/>
      <c r="AG88" s="19"/>
      <c r="AH88" s="19"/>
      <c r="AI88" s="19"/>
      <c r="AJ88" s="19"/>
      <c r="AK88" s="19"/>
      <c r="AL88" s="19"/>
    </row>
    <row r="89" spans="1:38" ht="13.5" customHeight="1">
      <c r="A89" s="19"/>
      <c r="B89" s="19"/>
      <c r="C89" s="66" t="s">
        <v>950</v>
      </c>
      <c r="D89" s="19"/>
      <c r="E89" s="19"/>
      <c r="F89" s="930"/>
      <c r="G89" s="893"/>
      <c r="H89" s="14"/>
      <c r="I89" s="14"/>
      <c r="J89" s="14"/>
      <c r="K89" s="14"/>
      <c r="L89" s="14"/>
      <c r="M89" s="14"/>
      <c r="N89" s="14"/>
      <c r="O89" s="14"/>
      <c r="P89" s="14"/>
      <c r="Q89" s="14"/>
      <c r="R89" s="14"/>
      <c r="S89" s="14"/>
      <c r="U89" s="93">
        <f t="shared" si="34"/>
        <v>1</v>
      </c>
      <c r="V89" s="24">
        <v>1</v>
      </c>
      <c r="W89" s="19"/>
      <c r="X89" s="19"/>
      <c r="Y89" s="19"/>
      <c r="Z89" s="19"/>
      <c r="AA89" s="19"/>
      <c r="AB89" s="19"/>
      <c r="AC89" s="19"/>
      <c r="AD89" s="19"/>
      <c r="AE89" s="19"/>
      <c r="AF89" s="19"/>
      <c r="AG89" s="19"/>
      <c r="AH89" s="19"/>
      <c r="AI89" s="19"/>
      <c r="AJ89" s="19"/>
      <c r="AK89" s="19"/>
      <c r="AL89" s="19"/>
    </row>
    <row r="90" spans="1:38" ht="13.5" customHeight="1">
      <c r="A90" s="19"/>
      <c r="B90" s="19"/>
      <c r="C90" s="65" t="s">
        <v>951</v>
      </c>
      <c r="D90" s="19"/>
      <c r="E90" s="19"/>
      <c r="F90" s="930"/>
      <c r="G90" s="64">
        <v>-2775</v>
      </c>
      <c r="H90" s="64">
        <v>-1282</v>
      </c>
      <c r="I90" s="64">
        <v>-109</v>
      </c>
      <c r="J90" s="64">
        <v>-2284</v>
      </c>
      <c r="K90" s="64">
        <v>-1381</v>
      </c>
      <c r="L90" s="627">
        <f>'DCF - Capital Structure'!L134</f>
        <v>0</v>
      </c>
      <c r="M90" s="627">
        <f>'DCF - Capital Structure'!M134</f>
        <v>0</v>
      </c>
      <c r="N90" s="627">
        <f>'DCF - Capital Structure'!N134</f>
        <v>0</v>
      </c>
      <c r="O90" s="627">
        <f>'DCF - Capital Structure'!O134</f>
        <v>0</v>
      </c>
      <c r="P90" s="627">
        <f>'DCF - Capital Structure'!P134</f>
        <v>0</v>
      </c>
      <c r="Q90" s="627">
        <f>'DCF - Capital Structure'!Q134</f>
        <v>0</v>
      </c>
      <c r="R90" s="627">
        <f>'DCF - Capital Structure'!R134</f>
        <v>0</v>
      </c>
      <c r="S90" s="627">
        <f>'DCF - Capital Structure'!S134</f>
        <v>0</v>
      </c>
      <c r="U90" s="93">
        <f t="shared" si="34"/>
        <v>1</v>
      </c>
      <c r="V90" s="24">
        <v>1</v>
      </c>
      <c r="W90" s="19"/>
      <c r="X90" s="19"/>
      <c r="Y90" s="19"/>
      <c r="Z90" s="19"/>
      <c r="AA90" s="19"/>
      <c r="AB90" s="19"/>
      <c r="AC90" s="19"/>
      <c r="AD90" s="19"/>
      <c r="AE90" s="19"/>
      <c r="AF90" s="19"/>
      <c r="AG90" s="19"/>
      <c r="AH90" s="19"/>
      <c r="AI90" s="19"/>
      <c r="AJ90" s="19"/>
      <c r="AK90" s="19"/>
      <c r="AL90" s="19"/>
    </row>
    <row r="91" spans="1:38" ht="13.5" customHeight="1">
      <c r="A91" s="19"/>
      <c r="B91" s="19"/>
      <c r="C91" s="65" t="s">
        <v>952</v>
      </c>
      <c r="D91" s="19"/>
      <c r="E91" s="19"/>
      <c r="F91" s="930"/>
      <c r="G91" s="64">
        <v>1</v>
      </c>
      <c r="H91" s="64">
        <v>1</v>
      </c>
      <c r="I91" s="64">
        <v>0</v>
      </c>
      <c r="J91" s="64">
        <v>0</v>
      </c>
      <c r="K91" s="64">
        <v>0</v>
      </c>
      <c r="L91" s="627">
        <f>'DCF - Assumptions (old)'!L193</f>
        <v>0</v>
      </c>
      <c r="M91" s="627">
        <f>'DCF - Assumptions (old)'!M193</f>
        <v>0</v>
      </c>
      <c r="N91" s="627">
        <f>'DCF - Assumptions (old)'!N193</f>
        <v>0</v>
      </c>
      <c r="O91" s="627">
        <f>'DCF - Assumptions (old)'!O193</f>
        <v>0</v>
      </c>
      <c r="P91" s="627">
        <f>'DCF - Assumptions (old)'!P193</f>
        <v>0</v>
      </c>
      <c r="Q91" s="627">
        <f>'DCF - Assumptions (old)'!Q193</f>
        <v>0</v>
      </c>
      <c r="R91" s="627">
        <f>'DCF - Assumptions (old)'!R193</f>
        <v>0</v>
      </c>
      <c r="S91" s="627">
        <f>'DCF - Assumptions (old)'!S193</f>
        <v>0</v>
      </c>
      <c r="U91" s="93">
        <f t="shared" si="34"/>
        <v>1</v>
      </c>
      <c r="V91" s="24">
        <v>1</v>
      </c>
      <c r="W91" s="19"/>
      <c r="X91" s="19"/>
      <c r="Y91" s="19"/>
      <c r="Z91" s="19"/>
      <c r="AA91" s="19"/>
      <c r="AB91" s="19"/>
      <c r="AC91" s="19"/>
      <c r="AD91" s="19"/>
      <c r="AE91" s="19"/>
      <c r="AF91" s="19"/>
      <c r="AG91" s="19"/>
      <c r="AH91" s="19"/>
      <c r="AI91" s="19"/>
      <c r="AJ91" s="19"/>
      <c r="AK91" s="19"/>
      <c r="AL91" s="19"/>
    </row>
    <row r="92" spans="1:38" ht="13.5" customHeight="1">
      <c r="A92" s="19"/>
      <c r="B92" s="19"/>
      <c r="C92" s="65" t="s">
        <v>953</v>
      </c>
      <c r="D92" s="19"/>
      <c r="E92" s="19"/>
      <c r="F92" s="930"/>
      <c r="G92" s="64">
        <v>50</v>
      </c>
      <c r="H92" s="64">
        <v>54</v>
      </c>
      <c r="I92" s="64">
        <v>49</v>
      </c>
      <c r="J92" s="64">
        <v>18</v>
      </c>
      <c r="K92" s="64">
        <v>29</v>
      </c>
      <c r="L92" s="627">
        <v>0</v>
      </c>
      <c r="M92" s="627">
        <v>0</v>
      </c>
      <c r="N92" s="627">
        <v>0</v>
      </c>
      <c r="O92" s="627">
        <v>0</v>
      </c>
      <c r="P92" s="627">
        <v>0</v>
      </c>
      <c r="Q92" s="627">
        <v>0</v>
      </c>
      <c r="R92" s="627">
        <v>0</v>
      </c>
      <c r="S92" s="627">
        <v>0</v>
      </c>
      <c r="U92" s="93">
        <f t="shared" si="34"/>
        <v>1</v>
      </c>
      <c r="V92" s="24">
        <v>1</v>
      </c>
      <c r="W92" s="19"/>
      <c r="X92" s="19"/>
      <c r="Y92" s="19"/>
      <c r="Z92" s="19"/>
      <c r="AA92" s="19"/>
      <c r="AB92" s="19"/>
      <c r="AC92" s="19"/>
      <c r="AD92" s="19"/>
      <c r="AE92" s="19"/>
      <c r="AF92" s="19"/>
      <c r="AG92" s="19"/>
      <c r="AH92" s="19"/>
      <c r="AI92" s="19"/>
      <c r="AJ92" s="19"/>
      <c r="AK92" s="19"/>
      <c r="AL92" s="19"/>
    </row>
    <row r="93" spans="1:38" ht="13.5" customHeight="1">
      <c r="A93" s="19"/>
      <c r="B93" s="19"/>
      <c r="C93" s="65" t="s">
        <v>954</v>
      </c>
      <c r="D93" s="19"/>
      <c r="E93" s="19"/>
      <c r="F93" s="930"/>
      <c r="G93" s="64">
        <v>0</v>
      </c>
      <c r="H93" s="64">
        <v>0</v>
      </c>
      <c r="I93" s="64">
        <v>0</v>
      </c>
      <c r="J93" s="64">
        <v>-15</v>
      </c>
      <c r="K93" s="64">
        <v>0</v>
      </c>
      <c r="L93" s="627">
        <v>0</v>
      </c>
      <c r="M93" s="627">
        <v>0</v>
      </c>
      <c r="N93" s="627">
        <v>0</v>
      </c>
      <c r="O93" s="627">
        <v>0</v>
      </c>
      <c r="P93" s="627">
        <v>0</v>
      </c>
      <c r="Q93" s="627">
        <v>0</v>
      </c>
      <c r="R93" s="627">
        <v>0</v>
      </c>
      <c r="S93" s="627">
        <v>0</v>
      </c>
      <c r="U93" s="93">
        <f t="shared" si="34"/>
        <v>1</v>
      </c>
      <c r="V93" s="24">
        <v>1</v>
      </c>
      <c r="W93" s="19"/>
      <c r="X93" s="19"/>
      <c r="Y93" s="19"/>
      <c r="Z93" s="19"/>
      <c r="AA93" s="19"/>
      <c r="AB93" s="19"/>
      <c r="AC93" s="19"/>
      <c r="AD93" s="19"/>
      <c r="AE93" s="19"/>
      <c r="AF93" s="19"/>
      <c r="AG93" s="19"/>
      <c r="AH93" s="19"/>
      <c r="AI93" s="19"/>
      <c r="AJ93" s="19"/>
      <c r="AK93" s="19"/>
      <c r="AL93" s="19"/>
    </row>
    <row r="94" spans="1:38" ht="13.5" customHeight="1">
      <c r="A94" s="19"/>
      <c r="B94" s="19"/>
      <c r="C94" s="65" t="s">
        <v>955</v>
      </c>
      <c r="D94" s="19"/>
      <c r="E94" s="19"/>
      <c r="F94" s="930"/>
      <c r="G94" s="64">
        <v>-112</v>
      </c>
      <c r="H94" s="64">
        <v>-111</v>
      </c>
      <c r="I94" s="64">
        <v>-77</v>
      </c>
      <c r="J94" s="64">
        <v>-81</v>
      </c>
      <c r="K94" s="64">
        <v>-97</v>
      </c>
      <c r="L94" s="967">
        <f>K94</f>
        <v>-97</v>
      </c>
      <c r="M94" s="627">
        <f t="shared" ref="M94:S94" si="40">L94</f>
        <v>-97</v>
      </c>
      <c r="N94" s="627">
        <f t="shared" si="40"/>
        <v>-97</v>
      </c>
      <c r="O94" s="627">
        <f t="shared" si="40"/>
        <v>-97</v>
      </c>
      <c r="P94" s="627">
        <f t="shared" si="40"/>
        <v>-97</v>
      </c>
      <c r="Q94" s="627">
        <f t="shared" si="40"/>
        <v>-97</v>
      </c>
      <c r="R94" s="627">
        <f t="shared" si="40"/>
        <v>-97</v>
      </c>
      <c r="S94" s="627">
        <f t="shared" si="40"/>
        <v>-97</v>
      </c>
      <c r="U94" s="93">
        <f t="shared" si="34"/>
        <v>1</v>
      </c>
      <c r="V94" s="24">
        <v>1</v>
      </c>
      <c r="W94" s="19"/>
      <c r="X94" s="19"/>
      <c r="Y94" s="19"/>
      <c r="Z94" s="19"/>
      <c r="AA94" s="19"/>
      <c r="AB94" s="19"/>
      <c r="AC94" s="19"/>
      <c r="AD94" s="19"/>
      <c r="AE94" s="19"/>
      <c r="AF94" s="19"/>
      <c r="AG94" s="19"/>
      <c r="AH94" s="19"/>
      <c r="AI94" s="19"/>
      <c r="AJ94" s="19"/>
      <c r="AK94" s="19"/>
      <c r="AL94" s="19"/>
    </row>
    <row r="95" spans="1:38" ht="13.5" customHeight="1">
      <c r="A95" s="19"/>
      <c r="B95" s="19"/>
      <c r="C95" s="65" t="s">
        <v>956</v>
      </c>
      <c r="D95" s="19"/>
      <c r="E95" s="19"/>
      <c r="F95" s="930"/>
      <c r="G95" s="64">
        <v>2766</v>
      </c>
      <c r="H95" s="64">
        <v>5188</v>
      </c>
      <c r="I95" s="64">
        <v>1031</v>
      </c>
      <c r="J95" s="64">
        <v>2263</v>
      </c>
      <c r="K95" s="64">
        <v>2229</v>
      </c>
      <c r="L95" s="967">
        <f>'DCF - Capital Structure'!L19</f>
        <v>0</v>
      </c>
      <c r="M95" s="627">
        <f>'DCF - Capital Structure'!M19</f>
        <v>0</v>
      </c>
      <c r="N95" s="627">
        <f>'DCF - Capital Structure'!N19</f>
        <v>0</v>
      </c>
      <c r="O95" s="627">
        <f>'DCF - Capital Structure'!O19</f>
        <v>0</v>
      </c>
      <c r="P95" s="627">
        <f>'DCF - Capital Structure'!P19</f>
        <v>0</v>
      </c>
      <c r="Q95" s="627">
        <f>'DCF - Capital Structure'!Q19</f>
        <v>0</v>
      </c>
      <c r="R95" s="627">
        <f>'DCF - Capital Structure'!R19</f>
        <v>0</v>
      </c>
      <c r="S95" s="627">
        <f>'DCF - Capital Structure'!S19</f>
        <v>0</v>
      </c>
      <c r="U95" s="93">
        <f t="shared" si="34"/>
        <v>1</v>
      </c>
      <c r="V95" s="24">
        <v>1</v>
      </c>
      <c r="W95" s="19"/>
      <c r="X95" s="19"/>
      <c r="Y95" s="19"/>
      <c r="Z95" s="19"/>
      <c r="AA95" s="19"/>
      <c r="AB95" s="19"/>
      <c r="AC95" s="19"/>
      <c r="AD95" s="19"/>
      <c r="AE95" s="19"/>
      <c r="AF95" s="19"/>
      <c r="AG95" s="19"/>
      <c r="AH95" s="19"/>
      <c r="AI95" s="19"/>
      <c r="AJ95" s="19"/>
      <c r="AK95" s="19"/>
      <c r="AL95" s="19"/>
    </row>
    <row r="96" spans="1:38" ht="13.5" customHeight="1">
      <c r="A96" s="19"/>
      <c r="B96" s="19"/>
      <c r="C96" s="959" t="s">
        <v>957</v>
      </c>
      <c r="D96" s="19"/>
      <c r="E96" s="19"/>
      <c r="F96" s="930"/>
      <c r="G96" s="64">
        <v>0</v>
      </c>
      <c r="H96" s="64">
        <v>0</v>
      </c>
      <c r="I96" s="64">
        <v>0</v>
      </c>
      <c r="J96" s="64">
        <v>0</v>
      </c>
      <c r="K96" s="64">
        <v>0</v>
      </c>
      <c r="L96" s="627">
        <f>'DCF - Capital Structure'!L85-'DCF - Capital Structure'!K85</f>
        <v>0</v>
      </c>
      <c r="M96" s="627">
        <f>'DCF - Capital Structure'!M85-'DCF - Capital Structure'!L85</f>
        <v>0</v>
      </c>
      <c r="N96" s="627">
        <f>'DCF - Capital Structure'!N85-'DCF - Capital Structure'!M85</f>
        <v>0</v>
      </c>
      <c r="O96" s="627">
        <f>'DCF - Capital Structure'!O85-'DCF - Capital Structure'!N85</f>
        <v>0</v>
      </c>
      <c r="P96" s="627">
        <f>'DCF - Capital Structure'!P85-'DCF - Capital Structure'!O85</f>
        <v>0</v>
      </c>
      <c r="Q96" s="627">
        <f>'DCF - Capital Structure'!Q85-'DCF - Capital Structure'!P85</f>
        <v>0</v>
      </c>
      <c r="R96" s="627">
        <f>'DCF - Capital Structure'!R85-'DCF - Capital Structure'!Q85</f>
        <v>0</v>
      </c>
      <c r="S96" s="627">
        <f>'DCF - Capital Structure'!S85-'DCF - Capital Structure'!R85</f>
        <v>0</v>
      </c>
      <c r="U96" s="93">
        <f t="shared" si="34"/>
        <v>1</v>
      </c>
      <c r="V96" s="24">
        <v>1</v>
      </c>
      <c r="W96" s="19"/>
      <c r="X96" s="19"/>
      <c r="Y96" s="19"/>
      <c r="Z96" s="19"/>
      <c r="AA96" s="19"/>
      <c r="AB96" s="19"/>
      <c r="AC96" s="19"/>
      <c r="AD96" s="19"/>
      <c r="AE96" s="19"/>
      <c r="AF96" s="19"/>
      <c r="AG96" s="19"/>
      <c r="AH96" s="19"/>
      <c r="AI96" s="19"/>
      <c r="AJ96" s="19"/>
      <c r="AK96" s="19"/>
      <c r="AL96" s="19"/>
    </row>
    <row r="97" spans="1:38" ht="13.5" customHeight="1">
      <c r="A97" s="19"/>
      <c r="B97" s="19"/>
      <c r="C97" s="65" t="s">
        <v>958</v>
      </c>
      <c r="D97" s="19"/>
      <c r="E97" s="19"/>
      <c r="F97" s="930"/>
      <c r="G97" s="64">
        <v>-1168</v>
      </c>
      <c r="H97" s="64">
        <v>-820</v>
      </c>
      <c r="I97" s="64">
        <v>-1247</v>
      </c>
      <c r="J97" s="64">
        <v>-1521</v>
      </c>
      <c r="K97" s="64">
        <v>-1340</v>
      </c>
      <c r="L97" s="967">
        <f>'DCF - Capital Structure'!L20</f>
        <v>0</v>
      </c>
      <c r="M97" s="627">
        <f>'DCF - Capital Structure'!M20</f>
        <v>0</v>
      </c>
      <c r="N97" s="627">
        <f>'DCF - Capital Structure'!N20</f>
        <v>0</v>
      </c>
      <c r="O97" s="627">
        <f>'DCF - Capital Structure'!O20</f>
        <v>0</v>
      </c>
      <c r="P97" s="627">
        <f>'DCF - Capital Structure'!P20</f>
        <v>0</v>
      </c>
      <c r="Q97" s="627">
        <f>'DCF - Capital Structure'!Q20</f>
        <v>0</v>
      </c>
      <c r="R97" s="627">
        <f>'DCF - Capital Structure'!R20</f>
        <v>0</v>
      </c>
      <c r="S97" s="627">
        <f>'DCF - Capital Structure'!S20</f>
        <v>0</v>
      </c>
      <c r="U97" s="93">
        <f t="shared" si="34"/>
        <v>1</v>
      </c>
      <c r="V97" s="24">
        <v>1</v>
      </c>
      <c r="W97" s="19"/>
      <c r="X97" s="19"/>
      <c r="Y97" s="19"/>
      <c r="Z97" s="19"/>
      <c r="AA97" s="19"/>
      <c r="AB97" s="19"/>
      <c r="AC97" s="19"/>
      <c r="AD97" s="19"/>
      <c r="AE97" s="19"/>
      <c r="AF97" s="19"/>
      <c r="AG97" s="19"/>
      <c r="AH97" s="19"/>
      <c r="AI97" s="19"/>
      <c r="AJ97" s="19"/>
      <c r="AK97" s="19"/>
      <c r="AL97" s="19"/>
    </row>
    <row r="98" spans="1:38" ht="13.5" customHeight="1">
      <c r="A98" s="19"/>
      <c r="B98" s="19"/>
      <c r="C98" s="65" t="s">
        <v>959</v>
      </c>
      <c r="D98" s="62"/>
      <c r="E98" s="19"/>
      <c r="F98" s="930"/>
      <c r="G98" s="64">
        <v>-784</v>
      </c>
      <c r="H98" s="64">
        <v>-62</v>
      </c>
      <c r="I98" s="64">
        <v>-42</v>
      </c>
      <c r="J98" s="64">
        <v>0</v>
      </c>
      <c r="K98" s="64">
        <v>-146</v>
      </c>
      <c r="L98" s="967" t="e">
        <f>'DCF - Capital Structure'!#REF!</f>
        <v>#REF!</v>
      </c>
      <c r="M98" s="627" t="e">
        <f>'DCF - Capital Structure'!#REF!</f>
        <v>#REF!</v>
      </c>
      <c r="N98" s="627" t="e">
        <f>'DCF - Capital Structure'!#REF!</f>
        <v>#REF!</v>
      </c>
      <c r="O98" s="627" t="e">
        <f>'DCF - Capital Structure'!#REF!</f>
        <v>#REF!</v>
      </c>
      <c r="P98" s="627" t="e">
        <f>'DCF - Capital Structure'!#REF!</f>
        <v>#REF!</v>
      </c>
      <c r="Q98" s="627" t="e">
        <f>'DCF - Capital Structure'!#REF!</f>
        <v>#REF!</v>
      </c>
      <c r="R98" s="627" t="e">
        <f>'DCF - Capital Structure'!#REF!</f>
        <v>#REF!</v>
      </c>
      <c r="S98" s="627" t="e">
        <f>'DCF - Capital Structure'!#REF!</f>
        <v>#REF!</v>
      </c>
      <c r="U98" s="93">
        <f t="shared" si="34"/>
        <v>1</v>
      </c>
      <c r="V98" s="24">
        <v>1</v>
      </c>
      <c r="W98" s="19"/>
      <c r="X98" s="19"/>
      <c r="Y98" s="19"/>
      <c r="Z98" s="19"/>
      <c r="AA98" s="19"/>
      <c r="AB98" s="19"/>
      <c r="AC98" s="19"/>
      <c r="AD98" s="19"/>
      <c r="AE98" s="19"/>
      <c r="AF98" s="19"/>
      <c r="AG98" s="19"/>
      <c r="AH98" s="19"/>
      <c r="AI98" s="19"/>
      <c r="AJ98" s="19"/>
      <c r="AK98" s="19"/>
      <c r="AL98" s="19"/>
    </row>
    <row r="99" spans="1:38" ht="13.5" customHeight="1">
      <c r="A99" s="19"/>
      <c r="B99" s="19"/>
      <c r="C99" s="65" t="s">
        <v>960</v>
      </c>
      <c r="D99" s="62"/>
      <c r="E99" s="19"/>
      <c r="F99" s="930"/>
      <c r="G99" s="64">
        <v>0</v>
      </c>
      <c r="H99" s="64">
        <v>0</v>
      </c>
      <c r="I99" s="64">
        <v>0</v>
      </c>
      <c r="J99" s="64">
        <v>0</v>
      </c>
      <c r="K99" s="64">
        <v>0</v>
      </c>
      <c r="L99" s="967">
        <f>SUM('DCF - Capital Structure'!L31:L32)</f>
        <v>548.21004342526646</v>
      </c>
      <c r="M99" s="627">
        <f>SUM('DCF - Capital Structure'!M31:M32)</f>
        <v>71.932464322977467</v>
      </c>
      <c r="N99" s="627">
        <f>SUM('DCF - Capital Structure'!N31:N32)</f>
        <v>32.608623017061973</v>
      </c>
      <c r="O99" s="627">
        <f>SUM('DCF - Capital Structure'!O31:O32)</f>
        <v>39.060139970198861</v>
      </c>
      <c r="P99" s="627">
        <f>SUM('DCF - Capital Structure'!P31:P32)</f>
        <v>48.293284604165819</v>
      </c>
      <c r="Q99" s="627">
        <f>SUM('DCF - Capital Structure'!Q31:Q32)</f>
        <v>56.970766452697262</v>
      </c>
      <c r="R99" s="627">
        <f>SUM('DCF - Capital Structure'!R31:R32)</f>
        <v>50.366550174032454</v>
      </c>
      <c r="S99" s="627">
        <f>SUM('DCF - Capital Structure'!S31:S32)</f>
        <v>54.084952729149336</v>
      </c>
      <c r="U99" s="93">
        <f t="shared" si="34"/>
        <v>1</v>
      </c>
      <c r="V99" s="24">
        <v>1</v>
      </c>
      <c r="W99" s="19"/>
      <c r="X99" s="19"/>
      <c r="Y99" s="19"/>
      <c r="Z99" s="19"/>
      <c r="AA99" s="19"/>
      <c r="AB99" s="19"/>
      <c r="AC99" s="19"/>
      <c r="AD99" s="19"/>
      <c r="AE99" s="19"/>
      <c r="AF99" s="19"/>
      <c r="AG99" s="19"/>
      <c r="AH99" s="19"/>
      <c r="AI99" s="19"/>
      <c r="AJ99" s="19"/>
      <c r="AK99" s="19"/>
      <c r="AL99" s="19"/>
    </row>
    <row r="100" spans="1:38" ht="13.5" customHeight="1">
      <c r="A100" s="859"/>
      <c r="B100" s="19"/>
      <c r="C100" s="65" t="s">
        <v>961</v>
      </c>
      <c r="D100" s="873"/>
      <c r="E100" s="19"/>
      <c r="F100" s="930"/>
      <c r="G100" s="64">
        <v>721</v>
      </c>
      <c r="H100" s="64">
        <v>-285</v>
      </c>
      <c r="I100" s="64">
        <v>-753</v>
      </c>
      <c r="J100" s="64">
        <f>503-424</f>
        <v>79</v>
      </c>
      <c r="K100" s="64">
        <f>433-374</f>
        <v>59</v>
      </c>
      <c r="L100" s="967">
        <f>SUM('DCF - Capital Structure'!L28:L30)</f>
        <v>0</v>
      </c>
      <c r="M100" s="967">
        <f>SUM('DCF - Capital Structure'!M28:M30)</f>
        <v>0</v>
      </c>
      <c r="N100" s="967">
        <f>SUM('DCF - Capital Structure'!N28:N30)</f>
        <v>0</v>
      </c>
      <c r="O100" s="967">
        <f>SUM('DCF - Capital Structure'!O28:O30)</f>
        <v>0</v>
      </c>
      <c r="P100" s="967">
        <f>SUM('DCF - Capital Structure'!P28:P30)</f>
        <v>0</v>
      </c>
      <c r="Q100" s="967">
        <f>SUM('DCF - Capital Structure'!Q28:Q30)</f>
        <v>0</v>
      </c>
      <c r="R100" s="967">
        <f>SUM('DCF - Capital Structure'!R28:R30)</f>
        <v>0</v>
      </c>
      <c r="S100" s="967">
        <f>SUM('DCF - Capital Structure'!S28:S30)</f>
        <v>0</v>
      </c>
      <c r="U100" s="93">
        <f t="shared" si="34"/>
        <v>1</v>
      </c>
      <c r="V100" s="24">
        <v>1</v>
      </c>
      <c r="W100" s="19"/>
      <c r="X100" s="19"/>
      <c r="Y100" s="19"/>
      <c r="Z100" s="19"/>
      <c r="AA100" s="19"/>
      <c r="AB100" s="19"/>
      <c r="AC100" s="19"/>
      <c r="AD100" s="19"/>
      <c r="AE100" s="19"/>
      <c r="AF100" s="19"/>
      <c r="AG100" s="19"/>
      <c r="AH100" s="19"/>
      <c r="AI100" s="19"/>
      <c r="AJ100" s="19"/>
      <c r="AK100" s="19"/>
      <c r="AL100" s="19"/>
    </row>
    <row r="101" spans="1:38" ht="13.5" customHeight="1">
      <c r="A101" s="19"/>
      <c r="B101" s="19"/>
      <c r="C101" s="945" t="s">
        <v>962</v>
      </c>
      <c r="D101" s="19"/>
      <c r="E101" s="19"/>
      <c r="F101" s="930"/>
      <c r="G101" s="64">
        <v>0</v>
      </c>
      <c r="H101" s="64">
        <v>0</v>
      </c>
      <c r="I101" s="64">
        <v>0</v>
      </c>
      <c r="J101" s="64">
        <v>0</v>
      </c>
      <c r="K101" s="64">
        <v>0</v>
      </c>
      <c r="L101" s="967" t="e">
        <f>L155-K155</f>
        <v>#REF!</v>
      </c>
      <c r="M101" s="627" t="e">
        <f>M155-L155</f>
        <v>#REF!</v>
      </c>
      <c r="N101" s="627" t="e">
        <f t="shared" ref="N101:S101" si="41">N155-M155</f>
        <v>#REF!</v>
      </c>
      <c r="O101" s="627" t="e">
        <f t="shared" si="41"/>
        <v>#REF!</v>
      </c>
      <c r="P101" s="627" t="e">
        <f t="shared" si="41"/>
        <v>#REF!</v>
      </c>
      <c r="Q101" s="627" t="e">
        <f t="shared" si="41"/>
        <v>#REF!</v>
      </c>
      <c r="R101" s="627" t="e">
        <f t="shared" si="41"/>
        <v>#REF!</v>
      </c>
      <c r="S101" s="627" t="e">
        <f t="shared" si="41"/>
        <v>#REF!</v>
      </c>
      <c r="U101" s="93">
        <f t="shared" si="34"/>
        <v>1</v>
      </c>
      <c r="V101" s="24">
        <v>1</v>
      </c>
      <c r="W101" s="19"/>
      <c r="X101" s="19"/>
      <c r="Y101" s="19"/>
      <c r="Z101" s="19"/>
      <c r="AA101" s="19"/>
      <c r="AB101" s="19"/>
      <c r="AC101" s="19"/>
      <c r="AD101" s="19"/>
      <c r="AE101" s="19"/>
      <c r="AF101" s="19"/>
      <c r="AG101" s="19"/>
      <c r="AH101" s="19"/>
      <c r="AI101" s="19"/>
      <c r="AJ101" s="19"/>
      <c r="AK101" s="19"/>
      <c r="AL101" s="19"/>
    </row>
    <row r="102" spans="1:38" ht="13.5" customHeight="1">
      <c r="A102" s="19"/>
      <c r="B102" s="19"/>
      <c r="C102" s="65" t="s">
        <v>963</v>
      </c>
      <c r="D102" s="19"/>
      <c r="E102" s="19"/>
      <c r="F102" s="930"/>
      <c r="G102" s="64">
        <v>-1623</v>
      </c>
      <c r="H102" s="64">
        <v>-1646</v>
      </c>
      <c r="I102" s="64">
        <v>-1646</v>
      </c>
      <c r="J102" s="64">
        <v>-1718</v>
      </c>
      <c r="K102" s="64">
        <v>-1761</v>
      </c>
      <c r="L102" s="627">
        <f>'DCF - Capital Structure'!L135</f>
        <v>0</v>
      </c>
      <c r="M102" s="627">
        <f>'DCF - Capital Structure'!M135</f>
        <v>0</v>
      </c>
      <c r="N102" s="627">
        <f>'DCF - Capital Structure'!N135</f>
        <v>0</v>
      </c>
      <c r="O102" s="627">
        <f>'DCF - Capital Structure'!O135</f>
        <v>0</v>
      </c>
      <c r="P102" s="627">
        <f>'DCF - Capital Structure'!P135</f>
        <v>0</v>
      </c>
      <c r="Q102" s="627">
        <f>'DCF - Capital Structure'!Q135</f>
        <v>0</v>
      </c>
      <c r="R102" s="627">
        <f>'DCF - Capital Structure'!R135</f>
        <v>0</v>
      </c>
      <c r="S102" s="627">
        <f>'DCF - Capital Structure'!S135</f>
        <v>0</v>
      </c>
      <c r="U102" s="93">
        <f t="shared" si="34"/>
        <v>1</v>
      </c>
      <c r="V102" s="24">
        <v>1</v>
      </c>
      <c r="W102" s="19"/>
      <c r="X102" s="19"/>
      <c r="Y102" s="19"/>
      <c r="Z102" s="19"/>
      <c r="AA102" s="19"/>
      <c r="AB102" s="19"/>
      <c r="AC102" s="19"/>
      <c r="AD102" s="19"/>
      <c r="AE102" s="19"/>
      <c r="AF102" s="19"/>
      <c r="AG102" s="19"/>
      <c r="AH102" s="19"/>
      <c r="AI102" s="19"/>
      <c r="AJ102" s="19"/>
      <c r="AK102" s="19"/>
      <c r="AL102" s="19"/>
    </row>
    <row r="103" spans="1:38" s="23" customFormat="1" ht="13.5" customHeight="1">
      <c r="A103" s="66"/>
      <c r="B103" s="66"/>
      <c r="C103" s="63" t="s">
        <v>964</v>
      </c>
      <c r="D103" s="573"/>
      <c r="E103" s="573"/>
      <c r="F103" s="931"/>
      <c r="G103" s="579">
        <f t="shared" ref="G103:S103" si="42">SUM(G90:G102)</f>
        <v>-2924</v>
      </c>
      <c r="H103" s="579">
        <f t="shared" si="42"/>
        <v>1037</v>
      </c>
      <c r="I103" s="579">
        <f t="shared" si="42"/>
        <v>-2794</v>
      </c>
      <c r="J103" s="579">
        <f t="shared" si="42"/>
        <v>-3259</v>
      </c>
      <c r="K103" s="579">
        <f t="shared" si="42"/>
        <v>-2408</v>
      </c>
      <c r="L103" s="868" t="e">
        <f t="shared" si="42"/>
        <v>#REF!</v>
      </c>
      <c r="M103" s="868" t="e">
        <f t="shared" si="42"/>
        <v>#REF!</v>
      </c>
      <c r="N103" s="868" t="e">
        <f t="shared" si="42"/>
        <v>#REF!</v>
      </c>
      <c r="O103" s="868" t="e">
        <f t="shared" si="42"/>
        <v>#REF!</v>
      </c>
      <c r="P103" s="868" t="e">
        <f t="shared" si="42"/>
        <v>#REF!</v>
      </c>
      <c r="Q103" s="868" t="e">
        <f t="shared" si="42"/>
        <v>#REF!</v>
      </c>
      <c r="R103" s="868" t="e">
        <f t="shared" si="42"/>
        <v>#REF!</v>
      </c>
      <c r="S103" s="868" t="e">
        <f t="shared" si="42"/>
        <v>#REF!</v>
      </c>
      <c r="U103" s="93">
        <f t="shared" si="34"/>
        <v>1</v>
      </c>
      <c r="V103" s="569">
        <v>1</v>
      </c>
      <c r="W103" s="66"/>
      <c r="X103" s="66"/>
      <c r="Y103" s="66"/>
      <c r="Z103" s="66"/>
      <c r="AA103" s="66"/>
      <c r="AB103" s="66"/>
      <c r="AC103" s="66"/>
      <c r="AD103" s="66"/>
      <c r="AE103" s="66"/>
      <c r="AF103" s="66"/>
      <c r="AG103" s="66"/>
      <c r="AH103" s="66"/>
      <c r="AI103" s="66"/>
      <c r="AJ103" s="66"/>
      <c r="AK103" s="66"/>
      <c r="AL103" s="66"/>
    </row>
    <row r="104" spans="1:38" ht="13.5" customHeight="1">
      <c r="A104" s="19"/>
      <c r="B104" s="19"/>
      <c r="C104" s="19"/>
      <c r="D104" s="19"/>
      <c r="E104" s="19"/>
      <c r="F104" s="930"/>
      <c r="G104" s="19"/>
      <c r="H104" s="19"/>
      <c r="I104" s="19"/>
      <c r="J104" s="19"/>
      <c r="K104" s="19"/>
      <c r="L104" s="19"/>
      <c r="M104" s="19"/>
      <c r="N104" s="19"/>
      <c r="O104" s="19"/>
      <c r="P104" s="19"/>
      <c r="Q104" s="19"/>
      <c r="R104" s="19"/>
      <c r="S104" s="19"/>
      <c r="U104" s="93">
        <f t="shared" si="34"/>
        <v>0</v>
      </c>
      <c r="V104" s="24">
        <v>0</v>
      </c>
      <c r="W104" s="19"/>
      <c r="X104" s="19"/>
      <c r="Y104" s="19"/>
      <c r="Z104" s="19"/>
      <c r="AA104" s="19"/>
      <c r="AB104" s="19"/>
      <c r="AC104" s="19"/>
      <c r="AD104" s="19"/>
      <c r="AE104" s="19"/>
      <c r="AF104" s="19"/>
      <c r="AG104" s="19"/>
      <c r="AH104" s="19"/>
      <c r="AI104" s="19"/>
      <c r="AJ104" s="19"/>
      <c r="AK104" s="19"/>
      <c r="AL104" s="19"/>
    </row>
    <row r="105" spans="1:38" ht="13.5" customHeight="1">
      <c r="A105" s="19"/>
      <c r="B105" s="19"/>
      <c r="C105" s="19" t="s">
        <v>965</v>
      </c>
      <c r="D105" s="62"/>
      <c r="E105" s="19"/>
      <c r="F105" s="930"/>
      <c r="G105" s="64">
        <v>693</v>
      </c>
      <c r="H105" s="46" t="e">
        <f ca="1">G108</f>
        <v>#NAME?</v>
      </c>
      <c r="I105" s="46" t="e">
        <f t="shared" ref="I105:S105" ca="1" si="43">H108</f>
        <v>#NAME?</v>
      </c>
      <c r="J105" s="46" t="e">
        <f t="shared" ca="1" si="43"/>
        <v>#NAME?</v>
      </c>
      <c r="K105" s="46" t="e">
        <f ca="1">J108</f>
        <v>#NAME?</v>
      </c>
      <c r="L105" s="626" t="e">
        <f ca="1">K108</f>
        <v>#NAME?</v>
      </c>
      <c r="M105" s="626" t="e">
        <f t="shared" ca="1" si="43"/>
        <v>#NAME?</v>
      </c>
      <c r="N105" s="626" t="e">
        <f t="shared" ca="1" si="43"/>
        <v>#NAME?</v>
      </c>
      <c r="O105" s="626" t="e">
        <f t="shared" ca="1" si="43"/>
        <v>#NAME?</v>
      </c>
      <c r="P105" s="626" t="e">
        <f t="shared" ca="1" si="43"/>
        <v>#NAME?</v>
      </c>
      <c r="Q105" s="626" t="e">
        <f t="shared" ca="1" si="43"/>
        <v>#NAME?</v>
      </c>
      <c r="R105" s="626" t="e">
        <f t="shared" ca="1" si="43"/>
        <v>#NAME?</v>
      </c>
      <c r="S105" s="626" t="e">
        <f t="shared" ca="1" si="43"/>
        <v>#NAME?</v>
      </c>
      <c r="U105" s="93">
        <f t="shared" si="34"/>
        <v>1</v>
      </c>
      <c r="V105" s="24">
        <v>1</v>
      </c>
      <c r="W105" s="19"/>
      <c r="X105" s="19"/>
      <c r="Y105" s="19"/>
      <c r="Z105" s="19"/>
      <c r="AA105" s="19"/>
      <c r="AB105" s="19"/>
      <c r="AC105" s="19"/>
      <c r="AD105" s="19"/>
      <c r="AE105" s="19"/>
      <c r="AF105" s="19"/>
      <c r="AG105" s="19"/>
      <c r="AH105" s="19"/>
      <c r="AI105" s="19"/>
      <c r="AJ105" s="19"/>
      <c r="AK105" s="19"/>
      <c r="AL105" s="19"/>
    </row>
    <row r="106" spans="1:38" ht="13.5" customHeight="1">
      <c r="A106" s="19"/>
      <c r="B106" s="19"/>
      <c r="C106" s="19" t="s">
        <v>966</v>
      </c>
      <c r="D106" s="859"/>
      <c r="E106" s="19"/>
      <c r="F106" s="930"/>
      <c r="G106" s="64">
        <v>-26</v>
      </c>
      <c r="H106" s="64">
        <v>-120</v>
      </c>
      <c r="I106" s="64">
        <v>-285</v>
      </c>
      <c r="J106" s="64">
        <v>239</v>
      </c>
      <c r="K106" s="64">
        <v>-227</v>
      </c>
      <c r="L106" s="626">
        <v>0</v>
      </c>
      <c r="M106" s="626">
        <v>0</v>
      </c>
      <c r="N106" s="626">
        <v>0</v>
      </c>
      <c r="O106" s="626">
        <v>0</v>
      </c>
      <c r="P106" s="626">
        <v>0</v>
      </c>
      <c r="Q106" s="626">
        <v>0</v>
      </c>
      <c r="R106" s="626">
        <v>0</v>
      </c>
      <c r="S106" s="626">
        <v>0</v>
      </c>
      <c r="U106" s="93">
        <f t="shared" si="34"/>
        <v>1</v>
      </c>
      <c r="V106" s="24">
        <v>1</v>
      </c>
      <c r="W106" s="19"/>
      <c r="X106" s="19"/>
      <c r="Y106" s="19"/>
      <c r="Z106" s="19"/>
      <c r="AA106" s="19"/>
      <c r="AB106" s="19"/>
      <c r="AC106" s="19"/>
      <c r="AD106" s="19"/>
      <c r="AE106" s="19"/>
      <c r="AF106" s="19"/>
      <c r="AG106" s="19"/>
      <c r="AH106" s="19"/>
      <c r="AI106" s="19"/>
      <c r="AJ106" s="19"/>
      <c r="AK106" s="19"/>
      <c r="AL106" s="19"/>
    </row>
    <row r="107" spans="1:38" ht="13.5" customHeight="1">
      <c r="A107"/>
      <c r="B107" s="19"/>
      <c r="C107" s="1095" t="s">
        <v>967</v>
      </c>
      <c r="D107" s="1095"/>
      <c r="E107" s="1095"/>
      <c r="F107" s="1096"/>
      <c r="G107" s="1097" t="e">
        <f t="shared" ref="G107:S107" ca="1" si="44">G77+G85+G103</f>
        <v>#NAME?</v>
      </c>
      <c r="H107" s="1097" t="e">
        <f t="shared" ca="1" si="44"/>
        <v>#NAME?</v>
      </c>
      <c r="I107" s="1097" t="e">
        <f t="shared" ca="1" si="44"/>
        <v>#NAME?</v>
      </c>
      <c r="J107" s="1097" t="e">
        <f t="shared" ca="1" si="44"/>
        <v>#NAME?</v>
      </c>
      <c r="K107" s="1097" t="e">
        <f t="shared" ca="1" si="44"/>
        <v>#NAME?</v>
      </c>
      <c r="L107" s="1094" t="e">
        <f t="shared" si="44"/>
        <v>#REF!</v>
      </c>
      <c r="M107" s="1094" t="e">
        <f t="shared" si="44"/>
        <v>#REF!</v>
      </c>
      <c r="N107" s="1094" t="e">
        <f t="shared" si="44"/>
        <v>#REF!</v>
      </c>
      <c r="O107" s="1094" t="e">
        <f t="shared" si="44"/>
        <v>#REF!</v>
      </c>
      <c r="P107" s="1094" t="e">
        <f t="shared" si="44"/>
        <v>#REF!</v>
      </c>
      <c r="Q107" s="1094" t="e">
        <f t="shared" si="44"/>
        <v>#REF!</v>
      </c>
      <c r="R107" s="1094" t="e">
        <f t="shared" si="44"/>
        <v>#REF!</v>
      </c>
      <c r="S107" s="1094" t="e">
        <f t="shared" si="44"/>
        <v>#REF!</v>
      </c>
      <c r="U107" s="93">
        <f t="shared" si="34"/>
        <v>1</v>
      </c>
      <c r="V107" s="24">
        <v>1</v>
      </c>
      <c r="W107" s="19"/>
      <c r="X107" s="19"/>
      <c r="Y107" s="19"/>
      <c r="Z107" s="19"/>
      <c r="AA107" s="19"/>
      <c r="AB107" s="19"/>
      <c r="AC107" s="19"/>
      <c r="AD107" s="19"/>
      <c r="AE107" s="19"/>
      <c r="AF107" s="19"/>
      <c r="AG107" s="19"/>
      <c r="AH107" s="19"/>
      <c r="AI107" s="19"/>
      <c r="AJ107" s="19"/>
      <c r="AK107" s="19"/>
      <c r="AL107" s="19"/>
    </row>
    <row r="108" spans="1:38" ht="13.5" customHeight="1">
      <c r="A108" s="19"/>
      <c r="B108" s="19"/>
      <c r="C108" s="3" t="s">
        <v>968</v>
      </c>
      <c r="G108" s="6" t="e">
        <f ca="1">SUM(G105:G107)</f>
        <v>#NAME?</v>
      </c>
      <c r="H108" s="6" t="e">
        <f ca="1">SUM(H105:H107)</f>
        <v>#NAME?</v>
      </c>
      <c r="I108" s="6" t="e">
        <f ca="1">SUM(I105:I107)</f>
        <v>#NAME?</v>
      </c>
      <c r="J108" s="6" t="e">
        <f ca="1">SUM(J105:J107)</f>
        <v>#NAME?</v>
      </c>
      <c r="K108" s="6" t="e">
        <f ca="1">SUM(K105:K107)</f>
        <v>#NAME?</v>
      </c>
      <c r="L108" s="559" t="e">
        <f t="shared" ref="L108:S108" ca="1" si="45">SUM(L105:L107)</f>
        <v>#NAME?</v>
      </c>
      <c r="M108" s="559" t="e">
        <f t="shared" ca="1" si="45"/>
        <v>#NAME?</v>
      </c>
      <c r="N108" s="559" t="e">
        <f t="shared" ca="1" si="45"/>
        <v>#NAME?</v>
      </c>
      <c r="O108" s="559" t="e">
        <f t="shared" ca="1" si="45"/>
        <v>#NAME?</v>
      </c>
      <c r="P108" s="559" t="e">
        <f t="shared" ca="1" si="45"/>
        <v>#NAME?</v>
      </c>
      <c r="Q108" s="559" t="e">
        <f t="shared" ca="1" si="45"/>
        <v>#NAME?</v>
      </c>
      <c r="R108" s="559" t="e">
        <f t="shared" ca="1" si="45"/>
        <v>#NAME?</v>
      </c>
      <c r="S108" s="559" t="e">
        <f t="shared" ca="1" si="45"/>
        <v>#NAME?</v>
      </c>
      <c r="U108" s="93">
        <f t="shared" si="34"/>
        <v>1</v>
      </c>
      <c r="V108" s="24">
        <v>1</v>
      </c>
    </row>
    <row r="109" spans="1:38" ht="13.5" customHeight="1">
      <c r="A109" s="19"/>
      <c r="B109" s="19"/>
      <c r="C109" s="344"/>
      <c r="G109" s="6"/>
      <c r="H109" s="6"/>
      <c r="I109" s="61"/>
      <c r="J109" s="6"/>
      <c r="K109" s="6"/>
      <c r="L109" s="6"/>
      <c r="M109" s="6"/>
      <c r="N109" s="6"/>
      <c r="O109" s="6"/>
      <c r="P109" s="6"/>
      <c r="Q109" s="6"/>
      <c r="R109" s="6"/>
      <c r="S109" s="6"/>
      <c r="U109" s="93">
        <f t="shared" si="34"/>
        <v>0</v>
      </c>
      <c r="V109" s="24">
        <v>0</v>
      </c>
    </row>
    <row r="110" spans="1:38" ht="13.5" customHeight="1">
      <c r="A110" s="19"/>
      <c r="B110" s="19"/>
      <c r="C110" s="3" t="s">
        <v>969</v>
      </c>
      <c r="G110" s="6">
        <f>G129</f>
        <v>932</v>
      </c>
      <c r="H110" s="6">
        <f>H129</f>
        <v>3323</v>
      </c>
      <c r="I110" s="6">
        <f t="shared" ref="I110:K110" si="46">I129</f>
        <v>2749</v>
      </c>
      <c r="J110" s="6">
        <f t="shared" si="46"/>
        <v>2285</v>
      </c>
      <c r="K110" s="6">
        <f t="shared" si="46"/>
        <v>1439</v>
      </c>
      <c r="L110" s="626" t="e">
        <f t="shared" ref="L110:S110" ca="1" si="47">L108-L111</f>
        <v>#NAME?</v>
      </c>
      <c r="M110" s="626" t="e">
        <f t="shared" ca="1" si="47"/>
        <v>#NAME?</v>
      </c>
      <c r="N110" s="626" t="e">
        <f t="shared" ca="1" si="47"/>
        <v>#NAME?</v>
      </c>
      <c r="O110" s="626" t="e">
        <f t="shared" ca="1" si="47"/>
        <v>#NAME?</v>
      </c>
      <c r="P110" s="626" t="e">
        <f t="shared" ca="1" si="47"/>
        <v>#NAME?</v>
      </c>
      <c r="Q110" s="626" t="e">
        <f t="shared" ca="1" si="47"/>
        <v>#NAME?</v>
      </c>
      <c r="R110" s="626" t="e">
        <f t="shared" ca="1" si="47"/>
        <v>#NAME?</v>
      </c>
      <c r="S110" s="626" t="e">
        <f t="shared" ca="1" si="47"/>
        <v>#NAME?</v>
      </c>
      <c r="U110" s="93">
        <f t="shared" si="34"/>
        <v>1</v>
      </c>
      <c r="V110" s="24">
        <v>1</v>
      </c>
    </row>
    <row r="111" spans="1:38" ht="13.5" customHeight="1">
      <c r="A111" s="19"/>
      <c r="B111" s="19"/>
      <c r="C111" s="3" t="s">
        <v>970</v>
      </c>
      <c r="G111" s="6" t="e">
        <f ca="1">G108-G110</f>
        <v>#NAME?</v>
      </c>
      <c r="H111" s="6" t="e">
        <f t="shared" ref="H111:K111" ca="1" si="48">H108-H110</f>
        <v>#NAME?</v>
      </c>
      <c r="I111" s="6" t="e">
        <f t="shared" ca="1" si="48"/>
        <v>#NAME?</v>
      </c>
      <c r="J111" s="6" t="e">
        <f ca="1">J108-J110</f>
        <v>#NAME?</v>
      </c>
      <c r="K111" s="6" t="e">
        <f t="shared" ca="1" si="48"/>
        <v>#NAME?</v>
      </c>
      <c r="L111" s="626">
        <f>-'DCF - Capital Structure'!L76</f>
        <v>0</v>
      </c>
      <c r="M111" s="626">
        <f>-'DCF - Capital Structure'!M76</f>
        <v>0</v>
      </c>
      <c r="N111" s="626">
        <f>-'DCF - Capital Structure'!N76</f>
        <v>0</v>
      </c>
      <c r="O111" s="626">
        <f>-'DCF - Capital Structure'!O76</f>
        <v>0</v>
      </c>
      <c r="P111" s="626">
        <f>-'DCF - Capital Structure'!P76</f>
        <v>0</v>
      </c>
      <c r="Q111" s="626">
        <f>-'DCF - Capital Structure'!Q76</f>
        <v>0</v>
      </c>
      <c r="R111" s="626">
        <f>-'DCF - Capital Structure'!R76</f>
        <v>0</v>
      </c>
      <c r="S111" s="626">
        <f>-'DCF - Capital Structure'!S76</f>
        <v>0</v>
      </c>
      <c r="U111" s="93">
        <f t="shared" si="34"/>
        <v>1</v>
      </c>
      <c r="V111" s="24">
        <v>1</v>
      </c>
    </row>
    <row r="112" spans="1:38" ht="13.5" customHeight="1">
      <c r="A112" s="19"/>
      <c r="B112" s="19"/>
      <c r="C112" s="344"/>
      <c r="G112" s="6"/>
      <c r="H112" s="6"/>
      <c r="I112" s="61"/>
      <c r="J112" s="6"/>
      <c r="K112" s="6"/>
      <c r="L112" s="6"/>
      <c r="M112" s="6"/>
      <c r="N112" s="6"/>
      <c r="O112" s="6"/>
      <c r="P112" s="6"/>
      <c r="Q112" s="6"/>
      <c r="R112" s="6"/>
      <c r="S112" s="6"/>
      <c r="U112" s="93">
        <f t="shared" si="34"/>
        <v>0</v>
      </c>
      <c r="V112" s="24">
        <v>0</v>
      </c>
    </row>
    <row r="113" spans="1:259" ht="13.5" customHeight="1">
      <c r="A113" s="19"/>
      <c r="B113" s="19"/>
      <c r="C113" s="16" t="s">
        <v>971</v>
      </c>
      <c r="D113" s="15"/>
      <c r="E113" s="15" t="s">
        <v>972</v>
      </c>
      <c r="F113" s="934"/>
      <c r="G113" s="60" t="str">
        <f>IF(ABS(G110-G129)&gt;0.1,G129-G110,"OK")</f>
        <v>OK</v>
      </c>
      <c r="H113" s="60" t="str">
        <f t="shared" ref="H113:S113" si="49">IF(ABS(H110-H129)&gt;0.1,H129-H110,"OK")</f>
        <v>OK</v>
      </c>
      <c r="I113" s="60" t="str">
        <f t="shared" si="49"/>
        <v>OK</v>
      </c>
      <c r="J113" s="60" t="str">
        <f t="shared" si="49"/>
        <v>OK</v>
      </c>
      <c r="K113" s="60" t="str">
        <f t="shared" si="49"/>
        <v>OK</v>
      </c>
      <c r="L113" s="60" t="e">
        <f t="shared" ca="1" si="49"/>
        <v>#NAME?</v>
      </c>
      <c r="M113" s="60" t="e">
        <f t="shared" ca="1" si="49"/>
        <v>#NAME?</v>
      </c>
      <c r="N113" s="60" t="e">
        <f t="shared" ca="1" si="49"/>
        <v>#NAME?</v>
      </c>
      <c r="O113" s="60" t="e">
        <f t="shared" ca="1" si="49"/>
        <v>#NAME?</v>
      </c>
      <c r="P113" s="60" t="e">
        <f t="shared" ca="1" si="49"/>
        <v>#NAME?</v>
      </c>
      <c r="Q113" s="60" t="e">
        <f t="shared" ca="1" si="49"/>
        <v>#NAME?</v>
      </c>
      <c r="R113" s="60" t="e">
        <f t="shared" ca="1" si="49"/>
        <v>#NAME?</v>
      </c>
      <c r="S113" s="59" t="e">
        <f t="shared" ca="1" si="49"/>
        <v>#NAME?</v>
      </c>
      <c r="U113" s="93">
        <f t="shared" si="34"/>
        <v>1</v>
      </c>
      <c r="V113" s="24">
        <v>1</v>
      </c>
    </row>
    <row r="114" spans="1:259" ht="13.5" customHeight="1">
      <c r="A114" s="19"/>
      <c r="B114" s="19"/>
      <c r="G114" s="58"/>
      <c r="H114" s="58"/>
      <c r="I114" s="58"/>
      <c r="J114" s="58"/>
      <c r="K114" s="58"/>
      <c r="L114" s="58"/>
      <c r="M114" s="58"/>
      <c r="N114" s="58"/>
      <c r="O114" s="58"/>
      <c r="P114" s="58"/>
      <c r="Q114" s="58"/>
      <c r="R114" s="58"/>
      <c r="S114" s="58"/>
      <c r="U114" s="93">
        <f t="shared" si="34"/>
        <v>0</v>
      </c>
      <c r="V114" s="24">
        <v>0</v>
      </c>
    </row>
    <row r="115" spans="1:259" ht="13.5" customHeight="1">
      <c r="A115" s="19"/>
      <c r="B115" s="19"/>
      <c r="C115" s="200" t="s">
        <v>973</v>
      </c>
      <c r="H115" s="58"/>
      <c r="I115" s="58"/>
      <c r="J115" s="58"/>
      <c r="K115" s="58"/>
      <c r="L115" s="58"/>
      <c r="M115" s="58"/>
      <c r="N115" s="58"/>
      <c r="O115" s="58"/>
      <c r="P115" s="58"/>
      <c r="Q115" s="58"/>
      <c r="R115" s="58"/>
      <c r="S115" s="58"/>
      <c r="U115" s="93">
        <f t="shared" si="34"/>
        <v>1</v>
      </c>
      <c r="V115" s="24">
        <v>1</v>
      </c>
    </row>
    <row r="116" spans="1:259" ht="13.5" customHeight="1">
      <c r="A116" s="19"/>
      <c r="B116" s="19"/>
      <c r="C116" s="3" t="s">
        <v>513</v>
      </c>
      <c r="G116" s="232">
        <f t="shared" ref="G116:S116" si="50">SUM(G80:G84)</f>
        <v>-270</v>
      </c>
      <c r="H116" s="232">
        <f t="shared" si="50"/>
        <v>-805</v>
      </c>
      <c r="I116" s="232">
        <f t="shared" si="50"/>
        <v>-1091</v>
      </c>
      <c r="J116" s="232">
        <f t="shared" si="50"/>
        <v>-1341</v>
      </c>
      <c r="K116" s="232">
        <f t="shared" si="50"/>
        <v>-1197</v>
      </c>
      <c r="L116" s="630">
        <f t="shared" si="50"/>
        <v>0</v>
      </c>
      <c r="M116" s="630">
        <f t="shared" si="50"/>
        <v>0</v>
      </c>
      <c r="N116" s="630">
        <f t="shared" si="50"/>
        <v>0</v>
      </c>
      <c r="O116" s="630">
        <f t="shared" si="50"/>
        <v>0</v>
      </c>
      <c r="P116" s="630">
        <f t="shared" si="50"/>
        <v>0</v>
      </c>
      <c r="Q116" s="630">
        <f t="shared" si="50"/>
        <v>0</v>
      </c>
      <c r="R116" s="630">
        <f t="shared" si="50"/>
        <v>0</v>
      </c>
      <c r="S116" s="630">
        <f t="shared" si="50"/>
        <v>0</v>
      </c>
      <c r="U116" s="93">
        <f t="shared" si="34"/>
        <v>1</v>
      </c>
      <c r="V116" s="24">
        <v>1</v>
      </c>
    </row>
    <row r="117" spans="1:259" ht="13.5" customHeight="1">
      <c r="A117" s="19"/>
      <c r="B117" s="19"/>
      <c r="C117" s="3" t="s">
        <v>974</v>
      </c>
      <c r="G117" s="232">
        <f t="shared" ref="G117:S117" si="51">G75</f>
        <v>-222</v>
      </c>
      <c r="H117" s="232">
        <f t="shared" si="51"/>
        <v>-328</v>
      </c>
      <c r="I117" s="232">
        <f t="shared" si="51"/>
        <v>331</v>
      </c>
      <c r="J117" s="232">
        <f t="shared" si="51"/>
        <v>-179</v>
      </c>
      <c r="K117" s="232">
        <f t="shared" si="51"/>
        <v>-1175</v>
      </c>
      <c r="L117" s="630">
        <f t="shared" si="51"/>
        <v>4962</v>
      </c>
      <c r="M117" s="630">
        <f t="shared" si="51"/>
        <v>0</v>
      </c>
      <c r="N117" s="630">
        <f t="shared" si="51"/>
        <v>0</v>
      </c>
      <c r="O117" s="630">
        <f t="shared" si="51"/>
        <v>0</v>
      </c>
      <c r="P117" s="630">
        <f t="shared" si="51"/>
        <v>0</v>
      </c>
      <c r="Q117" s="630">
        <f t="shared" si="51"/>
        <v>0</v>
      </c>
      <c r="R117" s="630">
        <f t="shared" si="51"/>
        <v>0</v>
      </c>
      <c r="S117" s="630">
        <f t="shared" si="51"/>
        <v>0</v>
      </c>
      <c r="U117" s="93">
        <f t="shared" si="34"/>
        <v>1</v>
      </c>
      <c r="V117" s="24">
        <v>1</v>
      </c>
    </row>
    <row r="118" spans="1:259" ht="13.5" customHeight="1">
      <c r="A118" s="19"/>
      <c r="B118" s="19"/>
      <c r="C118" s="3" t="s">
        <v>975</v>
      </c>
      <c r="G118" s="232">
        <v>0</v>
      </c>
      <c r="H118" s="232">
        <v>0</v>
      </c>
      <c r="I118" s="232">
        <v>0</v>
      </c>
      <c r="J118" s="232">
        <v>0</v>
      </c>
      <c r="K118" s="232">
        <v>0</v>
      </c>
      <c r="L118" s="232">
        <v>0</v>
      </c>
      <c r="M118" s="232">
        <v>0</v>
      </c>
      <c r="N118" s="232">
        <v>0</v>
      </c>
      <c r="O118" s="232">
        <v>0</v>
      </c>
      <c r="P118" s="232">
        <v>0</v>
      </c>
      <c r="Q118" s="232">
        <v>0</v>
      </c>
      <c r="R118" s="232">
        <v>0</v>
      </c>
      <c r="S118" s="232">
        <v>0</v>
      </c>
      <c r="U118" s="93">
        <f t="shared" si="34"/>
        <v>1</v>
      </c>
      <c r="V118" s="24">
        <v>1</v>
      </c>
    </row>
    <row r="119" spans="1:259" ht="13.5" customHeight="1">
      <c r="A119" s="19"/>
      <c r="B119" s="19"/>
      <c r="G119" s="58"/>
      <c r="H119" s="58"/>
      <c r="I119" s="58"/>
      <c r="J119" s="58"/>
      <c r="K119" s="58"/>
      <c r="L119" s="58"/>
      <c r="M119" s="58"/>
      <c r="N119" s="58"/>
      <c r="O119" s="58"/>
      <c r="P119" s="58"/>
      <c r="Q119" s="58"/>
      <c r="R119" s="58"/>
      <c r="S119" s="58"/>
      <c r="U119" s="93">
        <f t="shared" si="34"/>
        <v>0</v>
      </c>
      <c r="V119" s="24">
        <v>0</v>
      </c>
    </row>
    <row r="120" spans="1:259" ht="13.5" customHeight="1">
      <c r="A120" s="19"/>
      <c r="B120" s="19"/>
      <c r="C120" s="807" t="s">
        <v>976</v>
      </c>
      <c r="D120" s="808"/>
      <c r="E120" s="808"/>
      <c r="F120" s="922"/>
      <c r="G120" s="808"/>
      <c r="H120" s="808"/>
      <c r="I120" s="808"/>
      <c r="J120" s="808"/>
      <c r="K120" s="808"/>
      <c r="L120" s="808"/>
      <c r="M120" s="808"/>
      <c r="N120" s="808"/>
      <c r="O120" s="808"/>
      <c r="P120" s="808"/>
      <c r="Q120" s="808"/>
      <c r="R120" s="808"/>
      <c r="S120" s="808"/>
      <c r="U120" s="93">
        <f t="shared" si="34"/>
        <v>1</v>
      </c>
      <c r="V120" s="24">
        <v>1</v>
      </c>
      <c r="W120" s="19"/>
      <c r="X120" s="19"/>
      <c r="Y120" s="19"/>
      <c r="Z120" s="19"/>
      <c r="AA120" s="19"/>
      <c r="AB120" s="19"/>
      <c r="AC120" s="19"/>
      <c r="AD120" s="19"/>
      <c r="AE120" s="19"/>
      <c r="AF120" s="19"/>
      <c r="AG120" s="19"/>
      <c r="AH120" s="19"/>
      <c r="AI120" s="19"/>
      <c r="AJ120" s="19"/>
      <c r="AK120" s="19"/>
      <c r="AL120" s="19"/>
    </row>
    <row r="121" spans="1:259" ht="13.5" customHeight="1">
      <c r="A121" s="19"/>
      <c r="B121" s="19"/>
      <c r="C121" s="856"/>
      <c r="G121" s="40"/>
      <c r="H121" s="40"/>
      <c r="I121" s="40"/>
      <c r="J121" s="39"/>
      <c r="K121" s="39"/>
      <c r="L121" s="1089" t="str">
        <f>'DCF - Assumptions (old)'!$L$6</f>
        <v>Projected Fiscal Years Ending June 31</v>
      </c>
      <c r="M121" s="1089"/>
      <c r="N121" s="1089"/>
      <c r="O121" s="1089"/>
      <c r="P121" s="1089"/>
      <c r="Q121" s="1089"/>
      <c r="R121" s="1089"/>
      <c r="S121" s="1089"/>
      <c r="U121" s="93">
        <f t="shared" si="34"/>
        <v>0</v>
      </c>
      <c r="V121" s="24">
        <v>0</v>
      </c>
    </row>
    <row r="122" spans="1:259" ht="13.5" customHeight="1" thickBot="1">
      <c r="A122" s="19"/>
      <c r="B122" s="19"/>
      <c r="C122" s="57"/>
      <c r="D122" s="57"/>
      <c r="E122" s="57"/>
      <c r="F122" s="929"/>
      <c r="G122" s="56">
        <f t="shared" ref="G122:S122" si="52">G$8</f>
        <v>2019</v>
      </c>
      <c r="H122" s="56">
        <f t="shared" si="52"/>
        <v>2020</v>
      </c>
      <c r="I122" s="56">
        <f t="shared" si="52"/>
        <v>2021</v>
      </c>
      <c r="J122" s="56">
        <f t="shared" si="52"/>
        <v>2022</v>
      </c>
      <c r="K122" s="56">
        <f t="shared" si="52"/>
        <v>2023</v>
      </c>
      <c r="L122" s="56">
        <f t="shared" si="52"/>
        <v>2024</v>
      </c>
      <c r="M122" s="56">
        <f t="shared" si="52"/>
        <v>2025</v>
      </c>
      <c r="N122" s="56">
        <f t="shared" si="52"/>
        <v>2026</v>
      </c>
      <c r="O122" s="56">
        <f t="shared" si="52"/>
        <v>2027</v>
      </c>
      <c r="P122" s="56">
        <f t="shared" si="52"/>
        <v>2028</v>
      </c>
      <c r="Q122" s="56">
        <f t="shared" si="52"/>
        <v>2029</v>
      </c>
      <c r="R122" s="56">
        <f t="shared" si="52"/>
        <v>2030</v>
      </c>
      <c r="S122" s="56">
        <f t="shared" si="52"/>
        <v>2031</v>
      </c>
      <c r="U122" s="93">
        <f t="shared" si="34"/>
        <v>0</v>
      </c>
      <c r="V122" s="24">
        <v>0</v>
      </c>
    </row>
    <row r="123" spans="1:259" ht="13.5" customHeight="1">
      <c r="A123" s="19"/>
      <c r="B123" s="19"/>
      <c r="C123" s="52" t="s">
        <v>977</v>
      </c>
      <c r="D123" s="19"/>
      <c r="E123" s="19"/>
      <c r="F123" s="930"/>
      <c r="G123" s="19"/>
      <c r="H123" s="19"/>
      <c r="I123" s="46"/>
      <c r="J123" s="46"/>
      <c r="K123" s="45"/>
      <c r="U123" s="93">
        <f t="shared" si="34"/>
        <v>1</v>
      </c>
      <c r="V123" s="24">
        <v>1</v>
      </c>
    </row>
    <row r="124" spans="1:259" ht="13.5" customHeight="1">
      <c r="A124" s="19"/>
      <c r="B124" s="19"/>
      <c r="C124" s="55" t="s">
        <v>978</v>
      </c>
      <c r="D124" s="19"/>
      <c r="E124" s="19"/>
      <c r="F124" s="930"/>
      <c r="G124" s="45"/>
      <c r="H124" s="45"/>
      <c r="I124" s="45"/>
      <c r="J124" s="45"/>
      <c r="K124" s="45"/>
      <c r="L124" s="6"/>
      <c r="U124" s="93">
        <f t="shared" si="34"/>
        <v>1</v>
      </c>
      <c r="V124" s="24">
        <v>1</v>
      </c>
      <c r="IY124" s="6"/>
    </row>
    <row r="125" spans="1:259" ht="13.5" customHeight="1">
      <c r="A125" s="19"/>
      <c r="B125" s="19"/>
      <c r="C125" s="51" t="s">
        <v>937</v>
      </c>
      <c r="D125" s="19"/>
      <c r="E125" s="19"/>
      <c r="F125" s="930"/>
      <c r="G125" s="596">
        <v>5472</v>
      </c>
      <c r="H125" s="596">
        <v>5772</v>
      </c>
      <c r="I125" s="596">
        <v>6045</v>
      </c>
      <c r="J125" s="596">
        <v>7094</v>
      </c>
      <c r="K125" s="596">
        <v>7661</v>
      </c>
      <c r="L125" s="626">
        <f>'DCF - Assumptions (old)'!L129</f>
        <v>0</v>
      </c>
      <c r="M125" s="626">
        <f>'DCF - Assumptions (old)'!M129</f>
        <v>0</v>
      </c>
      <c r="N125" s="626">
        <f>'DCF - Assumptions (old)'!N129</f>
        <v>0</v>
      </c>
      <c r="O125" s="626">
        <f>'DCF - Assumptions (old)'!O129</f>
        <v>0</v>
      </c>
      <c r="P125" s="626">
        <f>'DCF - Assumptions (old)'!P129</f>
        <v>0</v>
      </c>
      <c r="Q125" s="626">
        <f>'DCF - Assumptions (old)'!Q129</f>
        <v>0</v>
      </c>
      <c r="R125" s="626">
        <f>'DCF - Assumptions (old)'!R129</f>
        <v>0</v>
      </c>
      <c r="S125" s="626">
        <f>'DCF - Assumptions (old)'!S129</f>
        <v>0</v>
      </c>
      <c r="U125" s="93">
        <f t="shared" si="34"/>
        <v>1</v>
      </c>
      <c r="V125" s="24">
        <v>1</v>
      </c>
      <c r="IY125" s="6"/>
    </row>
    <row r="126" spans="1:259" ht="13.5" customHeight="1">
      <c r="A126" s="19"/>
      <c r="B126" s="19"/>
      <c r="C126" s="51" t="s">
        <v>938</v>
      </c>
      <c r="D126" s="19"/>
      <c r="E126" s="19"/>
      <c r="F126" s="930"/>
      <c r="G126" s="596">
        <v>2694</v>
      </c>
      <c r="H126" s="596">
        <v>2111</v>
      </c>
      <c r="I126" s="596">
        <v>2385</v>
      </c>
      <c r="J126" s="596">
        <v>2933</v>
      </c>
      <c r="K126" s="596">
        <v>2720</v>
      </c>
      <c r="L126" s="626">
        <f>'DCF - Assumptions (old)'!L130</f>
        <v>0</v>
      </c>
      <c r="M126" s="626">
        <f>'DCF - Assumptions (old)'!M130</f>
        <v>0</v>
      </c>
      <c r="N126" s="626">
        <f>'DCF - Assumptions (old)'!N130</f>
        <v>0</v>
      </c>
      <c r="O126" s="626">
        <f>'DCF - Assumptions (old)'!O130</f>
        <v>0</v>
      </c>
      <c r="P126" s="626">
        <f>'DCF - Assumptions (old)'!P130</f>
        <v>0</v>
      </c>
      <c r="Q126" s="626">
        <f>'DCF - Assumptions (old)'!Q130</f>
        <v>0</v>
      </c>
      <c r="R126" s="626">
        <f>'DCF - Assumptions (old)'!R130</f>
        <v>0</v>
      </c>
      <c r="S126" s="626">
        <f>'DCF - Assumptions (old)'!S130</f>
        <v>0</v>
      </c>
      <c r="U126" s="93">
        <f t="shared" si="34"/>
        <v>1</v>
      </c>
      <c r="V126" s="24">
        <v>1</v>
      </c>
      <c r="IY126" s="6"/>
    </row>
    <row r="127" spans="1:259" ht="13.5" customHeight="1">
      <c r="A127" s="19"/>
      <c r="B127"/>
      <c r="C127" s="51" t="s">
        <v>979</v>
      </c>
      <c r="D127" s="19"/>
      <c r="E127" s="19"/>
      <c r="F127" s="930"/>
      <c r="G127" s="596">
        <v>65</v>
      </c>
      <c r="H127" s="596">
        <v>0</v>
      </c>
      <c r="I127" s="596">
        <v>0</v>
      </c>
      <c r="J127" s="596">
        <v>222</v>
      </c>
      <c r="K127" s="596">
        <v>0</v>
      </c>
      <c r="L127" s="626">
        <v>0</v>
      </c>
      <c r="M127" s="626">
        <v>0</v>
      </c>
      <c r="N127" s="626">
        <v>0</v>
      </c>
      <c r="O127" s="626">
        <v>0</v>
      </c>
      <c r="P127" s="626">
        <v>0</v>
      </c>
      <c r="Q127" s="626">
        <v>0</v>
      </c>
      <c r="R127" s="626">
        <v>0</v>
      </c>
      <c r="S127" s="626">
        <v>0</v>
      </c>
      <c r="U127" s="93">
        <f t="shared" si="34"/>
        <v>1</v>
      </c>
      <c r="V127" s="24">
        <v>1</v>
      </c>
      <c r="IY127" s="6"/>
    </row>
    <row r="128" spans="1:259" ht="13.5" customHeight="1">
      <c r="A128" s="19"/>
      <c r="B128"/>
      <c r="C128" s="51" t="s">
        <v>980</v>
      </c>
      <c r="D128" s="19"/>
      <c r="E128" s="19"/>
      <c r="F128" s="930"/>
      <c r="G128" s="596">
        <v>210</v>
      </c>
      <c r="H128" s="596">
        <f>190+75</f>
        <v>265</v>
      </c>
      <c r="I128" s="596">
        <f>145+121</f>
        <v>266</v>
      </c>
      <c r="J128" s="596">
        <f>149+251</f>
        <v>400</v>
      </c>
      <c r="K128" s="596">
        <f>232+347</f>
        <v>579</v>
      </c>
      <c r="L128" s="626">
        <f>K128</f>
        <v>579</v>
      </c>
      <c r="M128" s="626">
        <f t="shared" ref="M128:S128" si="53">L128</f>
        <v>579</v>
      </c>
      <c r="N128" s="626">
        <f t="shared" si="53"/>
        <v>579</v>
      </c>
      <c r="O128" s="626">
        <f t="shared" si="53"/>
        <v>579</v>
      </c>
      <c r="P128" s="626">
        <f t="shared" si="53"/>
        <v>579</v>
      </c>
      <c r="Q128" s="626">
        <f t="shared" si="53"/>
        <v>579</v>
      </c>
      <c r="R128" s="626">
        <f t="shared" si="53"/>
        <v>579</v>
      </c>
      <c r="S128" s="626">
        <f t="shared" si="53"/>
        <v>579</v>
      </c>
      <c r="U128" s="93">
        <f t="shared" si="34"/>
        <v>1</v>
      </c>
      <c r="V128" s="24">
        <v>1</v>
      </c>
      <c r="IY128" s="6"/>
    </row>
    <row r="129" spans="1:260" ht="13.5" customHeight="1">
      <c r="A129" s="19"/>
      <c r="B129" s="19"/>
      <c r="C129" s="51" t="s">
        <v>981</v>
      </c>
      <c r="D129" s="19"/>
      <c r="E129" s="19"/>
      <c r="F129" s="930"/>
      <c r="G129" s="596">
        <v>932</v>
      </c>
      <c r="H129" s="596">
        <v>3323</v>
      </c>
      <c r="I129" s="596">
        <v>2749</v>
      </c>
      <c r="J129" s="596">
        <v>2285</v>
      </c>
      <c r="K129" s="596">
        <v>1439</v>
      </c>
      <c r="L129" s="631" t="e">
        <f t="shared" ref="L129:S129" ca="1" si="54">L110</f>
        <v>#NAME?</v>
      </c>
      <c r="M129" s="631" t="e">
        <f t="shared" ca="1" si="54"/>
        <v>#NAME?</v>
      </c>
      <c r="N129" s="631" t="e">
        <f t="shared" ca="1" si="54"/>
        <v>#NAME?</v>
      </c>
      <c r="O129" s="631" t="e">
        <f t="shared" ca="1" si="54"/>
        <v>#NAME?</v>
      </c>
      <c r="P129" s="631" t="e">
        <f t="shared" ca="1" si="54"/>
        <v>#NAME?</v>
      </c>
      <c r="Q129" s="631" t="e">
        <f t="shared" ca="1" si="54"/>
        <v>#NAME?</v>
      </c>
      <c r="R129" s="631" t="e">
        <f t="shared" ca="1" si="54"/>
        <v>#NAME?</v>
      </c>
      <c r="S129" s="631" t="e">
        <f t="shared" ca="1" si="54"/>
        <v>#NAME?</v>
      </c>
      <c r="U129" s="93">
        <f t="shared" si="34"/>
        <v>1</v>
      </c>
      <c r="V129" s="24">
        <v>1</v>
      </c>
      <c r="IY129" s="6"/>
    </row>
    <row r="130" spans="1:260" ht="13.5" customHeight="1">
      <c r="A130" s="19"/>
      <c r="B130" s="19"/>
      <c r="C130" s="48" t="s">
        <v>25</v>
      </c>
      <c r="D130" s="48"/>
      <c r="E130" s="48"/>
      <c r="F130" s="932"/>
      <c r="G130" s="597">
        <f t="shared" ref="G130:S130" si="55">SUM(G125:G129)</f>
        <v>9373</v>
      </c>
      <c r="H130" s="597">
        <f t="shared" si="55"/>
        <v>11471</v>
      </c>
      <c r="I130" s="597">
        <f t="shared" si="55"/>
        <v>11445</v>
      </c>
      <c r="J130" s="597">
        <f t="shared" si="55"/>
        <v>12934</v>
      </c>
      <c r="K130" s="597">
        <f t="shared" si="55"/>
        <v>12399</v>
      </c>
      <c r="L130" s="632" t="e">
        <f t="shared" ca="1" si="55"/>
        <v>#NAME?</v>
      </c>
      <c r="M130" s="632" t="e">
        <f t="shared" ca="1" si="55"/>
        <v>#NAME?</v>
      </c>
      <c r="N130" s="632" t="e">
        <f t="shared" ca="1" si="55"/>
        <v>#NAME?</v>
      </c>
      <c r="O130" s="632" t="e">
        <f t="shared" ca="1" si="55"/>
        <v>#NAME?</v>
      </c>
      <c r="P130" s="632" t="e">
        <f t="shared" ca="1" si="55"/>
        <v>#NAME?</v>
      </c>
      <c r="Q130" s="632" t="e">
        <f t="shared" ca="1" si="55"/>
        <v>#NAME?</v>
      </c>
      <c r="R130" s="632" t="e">
        <f t="shared" ca="1" si="55"/>
        <v>#NAME?</v>
      </c>
      <c r="S130" s="632" t="e">
        <f t="shared" ca="1" si="55"/>
        <v>#NAME?</v>
      </c>
      <c r="U130" s="93">
        <f t="shared" si="34"/>
        <v>1</v>
      </c>
      <c r="V130" s="24">
        <v>1</v>
      </c>
      <c r="IY130" s="6"/>
    </row>
    <row r="131" spans="1:260" ht="13.5" customHeight="1">
      <c r="A131" s="19"/>
      <c r="B131" s="19"/>
      <c r="C131" s="19"/>
      <c r="D131" s="19"/>
      <c r="E131" s="19"/>
      <c r="F131" s="930"/>
      <c r="G131" s="53"/>
      <c r="H131" s="53"/>
      <c r="I131" s="53"/>
      <c r="J131" s="53"/>
      <c r="K131" s="53"/>
      <c r="L131" s="53"/>
      <c r="M131" s="53"/>
      <c r="N131" s="53"/>
      <c r="O131" s="53"/>
      <c r="P131" s="53"/>
      <c r="Q131" s="53"/>
      <c r="R131" s="53"/>
      <c r="S131" s="53"/>
      <c r="U131" s="93">
        <f t="shared" si="34"/>
        <v>0</v>
      </c>
      <c r="V131" s="24">
        <v>0</v>
      </c>
      <c r="IY131" s="6"/>
    </row>
    <row r="132" spans="1:260" ht="13.5" customHeight="1">
      <c r="A132" s="19"/>
      <c r="B132" s="19"/>
      <c r="C132" s="571" t="s">
        <v>982</v>
      </c>
      <c r="D132" s="19"/>
      <c r="E132" s="19"/>
      <c r="F132" s="930"/>
      <c r="G132" s="572"/>
      <c r="H132" s="53"/>
      <c r="I132" s="53"/>
      <c r="J132" s="53"/>
      <c r="K132" s="53"/>
      <c r="L132" s="53"/>
      <c r="M132" s="53"/>
      <c r="N132" s="53"/>
      <c r="O132" s="53"/>
      <c r="P132" s="53"/>
      <c r="Q132" s="53"/>
      <c r="R132" s="53"/>
      <c r="S132" s="53"/>
      <c r="U132" s="93">
        <f t="shared" si="34"/>
        <v>1</v>
      </c>
      <c r="V132" s="24">
        <v>1</v>
      </c>
      <c r="IY132" s="6"/>
    </row>
    <row r="133" spans="1:260" ht="13.5" customHeight="1">
      <c r="A133" s="19"/>
      <c r="B133" s="19"/>
      <c r="C133" s="19" t="s">
        <v>983</v>
      </c>
      <c r="D133" s="19"/>
      <c r="E133" s="19"/>
      <c r="F133" s="930"/>
      <c r="G133" s="53">
        <v>12557</v>
      </c>
      <c r="H133" s="53">
        <v>11300</v>
      </c>
      <c r="I133" s="53">
        <v>10764</v>
      </c>
      <c r="J133" s="53">
        <v>11902</v>
      </c>
      <c r="K133" s="53">
        <v>11512</v>
      </c>
      <c r="L133" s="623">
        <f>'DCF - Assumptions (old)'!L162</f>
        <v>27.887</v>
      </c>
      <c r="M133" s="623">
        <f>'DCF - Assumptions (old)'!M162</f>
        <v>27.887</v>
      </c>
      <c r="N133" s="623">
        <f>'DCF - Assumptions (old)'!N162</f>
        <v>27.887</v>
      </c>
      <c r="O133" s="623">
        <f>'DCF - Assumptions (old)'!O162</f>
        <v>27.887</v>
      </c>
      <c r="P133" s="623">
        <f>'DCF - Assumptions (old)'!P162</f>
        <v>27.887</v>
      </c>
      <c r="Q133" s="623">
        <f>'DCF - Assumptions (old)'!Q162</f>
        <v>27.887</v>
      </c>
      <c r="R133" s="623">
        <f>'DCF - Assumptions (old)'!R162</f>
        <v>27.887</v>
      </c>
      <c r="S133" s="623">
        <f>'DCF - Assumptions (old)'!S162</f>
        <v>27.887</v>
      </c>
      <c r="U133" s="93">
        <f t="shared" si="34"/>
        <v>1</v>
      </c>
      <c r="V133" s="24">
        <v>1</v>
      </c>
      <c r="IY133" s="6"/>
    </row>
    <row r="134" spans="1:260" ht="13.5" customHeight="1">
      <c r="A134" s="19"/>
      <c r="B134" s="19"/>
      <c r="C134" s="19" t="s">
        <v>984</v>
      </c>
      <c r="D134" s="19"/>
      <c r="E134" s="19"/>
      <c r="F134" s="930"/>
      <c r="G134" s="53">
        <v>4455</v>
      </c>
      <c r="H134" s="53">
        <v>4926</v>
      </c>
      <c r="I134" s="53">
        <v>4849</v>
      </c>
      <c r="J134" s="53">
        <v>5848</v>
      </c>
      <c r="K134" s="53">
        <v>6142</v>
      </c>
      <c r="L134" s="623">
        <f>'DCF - Assumptions (old)'!L144+'DCF - Assumptions (old)'!L153</f>
        <v>27.028999999999996</v>
      </c>
      <c r="M134" s="623">
        <f>'DCF - Assumptions (old)'!M144+'DCF - Assumptions (old)'!M153</f>
        <v>27.028999999999996</v>
      </c>
      <c r="N134" s="623">
        <f>'DCF - Assumptions (old)'!N144+'DCF - Assumptions (old)'!N153</f>
        <v>27.028999999999996</v>
      </c>
      <c r="O134" s="623">
        <f>'DCF - Assumptions (old)'!O144+'DCF - Assumptions (old)'!O153</f>
        <v>27.028999999999996</v>
      </c>
      <c r="P134" s="623">
        <f>'DCF - Assumptions (old)'!P144+'DCF - Assumptions (old)'!P153</f>
        <v>27.028999999999996</v>
      </c>
      <c r="Q134" s="623">
        <f>'DCF - Assumptions (old)'!Q144+'DCF - Assumptions (old)'!Q153</f>
        <v>27.028999999999996</v>
      </c>
      <c r="R134" s="623">
        <f>'DCF - Assumptions (old)'!R144+'DCF - Assumptions (old)'!R153</f>
        <v>27.028999999999996</v>
      </c>
      <c r="S134" s="623">
        <f>'DCF - Assumptions (old)'!S144+'DCF - Assumptions (old)'!S153</f>
        <v>27.028999999999996</v>
      </c>
      <c r="U134" s="93">
        <f t="shared" si="34"/>
        <v>1</v>
      </c>
      <c r="V134" s="24">
        <v>1</v>
      </c>
      <c r="IY134" s="6"/>
    </row>
    <row r="135" spans="1:260" ht="13.5" customHeight="1">
      <c r="A135" s="19"/>
      <c r="B135" s="19"/>
      <c r="C135" s="19" t="s">
        <v>985</v>
      </c>
      <c r="D135" s="19"/>
      <c r="E135" s="19"/>
      <c r="F135" s="930"/>
      <c r="G135" s="53">
        <v>34</v>
      </c>
      <c r="H135" s="53">
        <v>51</v>
      </c>
      <c r="I135" s="53">
        <v>66</v>
      </c>
      <c r="J135" s="53">
        <v>94</v>
      </c>
      <c r="K135" s="53">
        <v>156</v>
      </c>
      <c r="L135" s="623">
        <f>K135</f>
        <v>156</v>
      </c>
      <c r="M135" s="623">
        <f t="shared" ref="M135:S135" si="56">L135</f>
        <v>156</v>
      </c>
      <c r="N135" s="623">
        <f t="shared" si="56"/>
        <v>156</v>
      </c>
      <c r="O135" s="623">
        <f t="shared" si="56"/>
        <v>156</v>
      </c>
      <c r="P135" s="623">
        <f t="shared" si="56"/>
        <v>156</v>
      </c>
      <c r="Q135" s="623">
        <f t="shared" si="56"/>
        <v>156</v>
      </c>
      <c r="R135" s="623">
        <f t="shared" si="56"/>
        <v>156</v>
      </c>
      <c r="S135" s="623">
        <f t="shared" si="56"/>
        <v>156</v>
      </c>
      <c r="U135" s="93">
        <f t="shared" si="34"/>
        <v>1</v>
      </c>
      <c r="V135" s="24">
        <v>1</v>
      </c>
      <c r="IY135" s="6"/>
    </row>
    <row r="136" spans="1:260" ht="13.5" customHeight="1">
      <c r="A136" s="19"/>
      <c r="B136" s="19"/>
      <c r="C136" s="19" t="s">
        <v>986</v>
      </c>
      <c r="D136" s="19"/>
      <c r="E136" s="19"/>
      <c r="F136" s="930"/>
      <c r="G136" s="53">
        <v>3173</v>
      </c>
      <c r="H136" s="53">
        <v>3557</v>
      </c>
      <c r="I136" s="53">
        <v>3308</v>
      </c>
      <c r="J136" s="53">
        <v>3652</v>
      </c>
      <c r="K136" s="53">
        <v>3829</v>
      </c>
      <c r="L136" s="623" t="e">
        <f>#REF!</f>
        <v>#REF!</v>
      </c>
      <c r="M136" s="623" t="e">
        <f>#REF!</f>
        <v>#REF!</v>
      </c>
      <c r="N136" s="623" t="e">
        <f>#REF!</f>
        <v>#REF!</v>
      </c>
      <c r="O136" s="623" t="e">
        <f>#REF!</f>
        <v>#REF!</v>
      </c>
      <c r="P136" s="623" t="e">
        <f>#REF!</f>
        <v>#REF!</v>
      </c>
      <c r="Q136" s="623" t="e">
        <f>#REF!</f>
        <v>#REF!</v>
      </c>
      <c r="R136" s="623" t="e">
        <f>#REF!</f>
        <v>#REF!</v>
      </c>
      <c r="S136" s="623" t="e">
        <f>#REF!</f>
        <v>#REF!</v>
      </c>
      <c r="U136" s="93">
        <f t="shared" si="34"/>
        <v>1</v>
      </c>
      <c r="V136" s="24">
        <v>1</v>
      </c>
      <c r="IY136" s="6"/>
    </row>
    <row r="137" spans="1:260" ht="13.5" customHeight="1">
      <c r="A137" s="19"/>
      <c r="B137" s="19"/>
      <c r="C137" s="19" t="s">
        <v>987</v>
      </c>
      <c r="D137" s="859"/>
      <c r="E137" s="19"/>
      <c r="F137" s="930"/>
      <c r="G137" s="53">
        <v>49</v>
      </c>
      <c r="H137" s="53">
        <v>41</v>
      </c>
      <c r="I137" s="53">
        <v>40</v>
      </c>
      <c r="J137" s="53">
        <v>37</v>
      </c>
      <c r="K137" s="53">
        <v>57</v>
      </c>
      <c r="L137" s="623">
        <f>K137</f>
        <v>57</v>
      </c>
      <c r="M137" s="623">
        <f t="shared" ref="M137:S141" si="57">L137</f>
        <v>57</v>
      </c>
      <c r="N137" s="623">
        <f t="shared" si="57"/>
        <v>57</v>
      </c>
      <c r="O137" s="623">
        <f t="shared" si="57"/>
        <v>57</v>
      </c>
      <c r="P137" s="623">
        <f t="shared" si="57"/>
        <v>57</v>
      </c>
      <c r="Q137" s="623">
        <f t="shared" si="57"/>
        <v>57</v>
      </c>
      <c r="R137" s="623">
        <f t="shared" si="57"/>
        <v>57</v>
      </c>
      <c r="S137" s="623">
        <f t="shared" si="57"/>
        <v>57</v>
      </c>
      <c r="U137" s="93">
        <f t="shared" ref="U137:U200" si="58">IF(NOT(ISBLANK(C137)), 1, 0)</f>
        <v>1</v>
      </c>
      <c r="V137" s="24">
        <v>1</v>
      </c>
      <c r="IY137" s="6"/>
    </row>
    <row r="138" spans="1:260" ht="13.5" customHeight="1">
      <c r="A138" s="19"/>
      <c r="B138" s="19"/>
      <c r="C138" s="19" t="s">
        <v>988</v>
      </c>
      <c r="D138" s="19"/>
      <c r="E138" s="19"/>
      <c r="F138" s="930"/>
      <c r="G138" s="53">
        <v>138</v>
      </c>
      <c r="H138" s="53">
        <v>46</v>
      </c>
      <c r="I138" s="53">
        <v>36</v>
      </c>
      <c r="J138" s="53">
        <v>37</v>
      </c>
      <c r="K138" s="53">
        <v>31</v>
      </c>
      <c r="L138" s="623">
        <f>K138</f>
        <v>31</v>
      </c>
      <c r="M138" s="623">
        <f t="shared" si="57"/>
        <v>31</v>
      </c>
      <c r="N138" s="623">
        <f t="shared" si="57"/>
        <v>31</v>
      </c>
      <c r="O138" s="623">
        <f t="shared" si="57"/>
        <v>31</v>
      </c>
      <c r="P138" s="623">
        <f t="shared" si="57"/>
        <v>31</v>
      </c>
      <c r="Q138" s="623">
        <f t="shared" si="57"/>
        <v>31</v>
      </c>
      <c r="R138" s="623">
        <f t="shared" si="57"/>
        <v>31</v>
      </c>
      <c r="S138" s="623">
        <f t="shared" si="57"/>
        <v>31</v>
      </c>
      <c r="U138" s="93">
        <f t="shared" si="58"/>
        <v>1</v>
      </c>
      <c r="V138" s="24">
        <v>1</v>
      </c>
      <c r="IY138" s="6"/>
    </row>
    <row r="139" spans="1:260" ht="13.5" customHeight="1">
      <c r="A139" s="19"/>
      <c r="B139" s="19"/>
      <c r="C139" s="19" t="s">
        <v>980</v>
      </c>
      <c r="D139" s="19"/>
      <c r="E139" s="19"/>
      <c r="F139" s="930"/>
      <c r="G139" s="53">
        <v>1060</v>
      </c>
      <c r="H139" s="53">
        <v>686</v>
      </c>
      <c r="I139" s="53">
        <v>327</v>
      </c>
      <c r="J139" s="53">
        <v>345</v>
      </c>
      <c r="K139" s="53">
        <v>394</v>
      </c>
      <c r="L139" s="623">
        <f>K139</f>
        <v>394</v>
      </c>
      <c r="M139" s="623">
        <f t="shared" si="57"/>
        <v>394</v>
      </c>
      <c r="N139" s="623">
        <f t="shared" si="57"/>
        <v>394</v>
      </c>
      <c r="O139" s="623">
        <f t="shared" si="57"/>
        <v>394</v>
      </c>
      <c r="P139" s="623">
        <f t="shared" si="57"/>
        <v>394</v>
      </c>
      <c r="Q139" s="623">
        <f t="shared" si="57"/>
        <v>394</v>
      </c>
      <c r="R139" s="623">
        <f t="shared" si="57"/>
        <v>394</v>
      </c>
      <c r="S139" s="623">
        <f t="shared" si="57"/>
        <v>394</v>
      </c>
      <c r="U139" s="93">
        <f t="shared" si="58"/>
        <v>1</v>
      </c>
      <c r="V139" s="24">
        <v>1</v>
      </c>
      <c r="IY139" s="6"/>
    </row>
    <row r="140" spans="1:260" ht="13.5" customHeight="1">
      <c r="A140" s="19"/>
      <c r="B140" s="19"/>
      <c r="C140" s="19" t="s">
        <v>989</v>
      </c>
      <c r="D140" s="19"/>
      <c r="E140" s="19"/>
      <c r="F140" s="930"/>
      <c r="G140" s="53">
        <v>404</v>
      </c>
      <c r="H140" s="53">
        <v>119</v>
      </c>
      <c r="I140" s="53">
        <v>100</v>
      </c>
      <c r="J140" s="53">
        <v>114</v>
      </c>
      <c r="K140" s="53">
        <v>141</v>
      </c>
      <c r="L140" s="623">
        <f>K140</f>
        <v>141</v>
      </c>
      <c r="M140" s="623">
        <f t="shared" si="57"/>
        <v>141</v>
      </c>
      <c r="N140" s="623">
        <f t="shared" si="57"/>
        <v>141</v>
      </c>
      <c r="O140" s="623">
        <f t="shared" si="57"/>
        <v>141</v>
      </c>
      <c r="P140" s="623">
        <f t="shared" si="57"/>
        <v>141</v>
      </c>
      <c r="Q140" s="623">
        <f t="shared" si="57"/>
        <v>141</v>
      </c>
      <c r="R140" s="623">
        <f t="shared" si="57"/>
        <v>141</v>
      </c>
      <c r="S140" s="623">
        <f t="shared" si="57"/>
        <v>141</v>
      </c>
      <c r="U140" s="93">
        <f t="shared" si="58"/>
        <v>1</v>
      </c>
      <c r="V140" s="24">
        <v>1</v>
      </c>
      <c r="IY140" s="6"/>
    </row>
    <row r="141" spans="1:260" ht="13.5" customHeight="1">
      <c r="A141" s="19"/>
      <c r="B141" s="19"/>
      <c r="C141" s="19" t="s">
        <v>990</v>
      </c>
      <c r="D141" s="19"/>
      <c r="E141" s="19"/>
      <c r="F141" s="930"/>
      <c r="G141" s="53">
        <v>53</v>
      </c>
      <c r="H141" s="53">
        <v>1111</v>
      </c>
      <c r="I141" s="53">
        <v>1018</v>
      </c>
      <c r="J141" s="53">
        <v>1553</v>
      </c>
      <c r="K141" s="53">
        <v>960</v>
      </c>
      <c r="L141" s="623">
        <f>K141</f>
        <v>960</v>
      </c>
      <c r="M141" s="623">
        <f t="shared" si="57"/>
        <v>960</v>
      </c>
      <c r="N141" s="623">
        <f t="shared" si="57"/>
        <v>960</v>
      </c>
      <c r="O141" s="623">
        <f t="shared" si="57"/>
        <v>960</v>
      </c>
      <c r="P141" s="623">
        <f t="shared" si="57"/>
        <v>960</v>
      </c>
      <c r="Q141" s="623">
        <f t="shared" si="57"/>
        <v>960</v>
      </c>
      <c r="R141" s="623">
        <f t="shared" si="57"/>
        <v>960</v>
      </c>
      <c r="S141" s="623">
        <f t="shared" si="57"/>
        <v>960</v>
      </c>
      <c r="U141" s="93">
        <f t="shared" si="58"/>
        <v>1</v>
      </c>
      <c r="V141" s="24">
        <v>1</v>
      </c>
      <c r="IY141" s="6"/>
    </row>
    <row r="142" spans="1:260" ht="13.5" customHeight="1">
      <c r="A142" s="19"/>
      <c r="B142" s="19"/>
      <c r="C142" s="573" t="s">
        <v>44</v>
      </c>
      <c r="D142" s="48"/>
      <c r="E142" s="48"/>
      <c r="F142" s="932"/>
      <c r="G142" s="854">
        <f t="shared" ref="G142:J142" si="59">SUM(G130,G133:G141)</f>
        <v>31296</v>
      </c>
      <c r="H142" s="854">
        <f t="shared" si="59"/>
        <v>33308</v>
      </c>
      <c r="I142" s="854">
        <f t="shared" si="59"/>
        <v>31953</v>
      </c>
      <c r="J142" s="854">
        <f t="shared" si="59"/>
        <v>36516</v>
      </c>
      <c r="K142" s="854">
        <f>SUM(K130,K133:K141)</f>
        <v>35621</v>
      </c>
      <c r="L142" s="855" t="e">
        <f t="shared" ref="L142:S142" ca="1" si="60">SUM(L130,L133:L141)</f>
        <v>#NAME?</v>
      </c>
      <c r="M142" s="855" t="e">
        <f t="shared" ca="1" si="60"/>
        <v>#NAME?</v>
      </c>
      <c r="N142" s="855" t="e">
        <f t="shared" ca="1" si="60"/>
        <v>#NAME?</v>
      </c>
      <c r="O142" s="855" t="e">
        <f t="shared" ca="1" si="60"/>
        <v>#NAME?</v>
      </c>
      <c r="P142" s="855" t="e">
        <f t="shared" ca="1" si="60"/>
        <v>#NAME?</v>
      </c>
      <c r="Q142" s="855" t="e">
        <f t="shared" ca="1" si="60"/>
        <v>#NAME?</v>
      </c>
      <c r="R142" s="855" t="e">
        <f t="shared" ca="1" si="60"/>
        <v>#NAME?</v>
      </c>
      <c r="S142" s="855" t="e">
        <f t="shared" ca="1" si="60"/>
        <v>#NAME?</v>
      </c>
      <c r="U142" s="93">
        <f t="shared" si="58"/>
        <v>1</v>
      </c>
      <c r="V142" s="24">
        <v>1</v>
      </c>
      <c r="IY142" s="6"/>
      <c r="IZ142" s="6"/>
    </row>
    <row r="143" spans="1:260" ht="13.5" customHeight="1">
      <c r="A143" s="19"/>
      <c r="B143" s="19"/>
      <c r="C143" s="19"/>
      <c r="D143" s="19"/>
      <c r="E143" s="19"/>
      <c r="F143" s="930"/>
      <c r="G143" s="874"/>
      <c r="H143" s="53"/>
      <c r="I143" s="53"/>
      <c r="J143" s="53"/>
      <c r="K143" s="53"/>
      <c r="L143" s="53"/>
      <c r="M143" s="53"/>
      <c r="N143" s="53"/>
      <c r="O143" s="53"/>
      <c r="P143" s="53"/>
      <c r="Q143" s="53"/>
      <c r="R143" s="53"/>
      <c r="S143" s="53"/>
      <c r="U143" s="93">
        <f t="shared" si="58"/>
        <v>0</v>
      </c>
      <c r="V143" s="24">
        <v>0</v>
      </c>
      <c r="IY143" s="6"/>
    </row>
    <row r="144" spans="1:260" ht="13.5" customHeight="1">
      <c r="A144" s="19"/>
      <c r="B144" s="19"/>
      <c r="C144" s="52" t="s">
        <v>991</v>
      </c>
      <c r="D144" s="19"/>
      <c r="E144" s="19"/>
      <c r="F144" s="930"/>
      <c r="G144" s="874"/>
      <c r="H144" s="46"/>
      <c r="I144" s="46"/>
      <c r="J144" s="46"/>
      <c r="K144" s="46"/>
      <c r="L144" s="874"/>
      <c r="M144" s="46"/>
      <c r="N144" s="46"/>
      <c r="O144" s="46"/>
      <c r="P144" s="46"/>
      <c r="Q144" s="46"/>
      <c r="R144" s="46"/>
      <c r="S144" s="46"/>
      <c r="U144" s="93">
        <f t="shared" si="58"/>
        <v>1</v>
      </c>
      <c r="V144" s="24">
        <v>1</v>
      </c>
      <c r="IY144" s="6"/>
    </row>
    <row r="145" spans="1:259" ht="13.5" customHeight="1">
      <c r="A145" s="19"/>
      <c r="B145" s="19"/>
      <c r="C145" s="51" t="s">
        <v>992</v>
      </c>
      <c r="D145"/>
      <c r="E145" s="19"/>
      <c r="F145" s="930"/>
      <c r="G145" s="596">
        <v>1959</v>
      </c>
      <c r="H145" s="596">
        <v>1995</v>
      </c>
      <c r="I145" s="596">
        <v>1862</v>
      </c>
      <c r="J145" s="596">
        <v>1522</v>
      </c>
      <c r="K145" s="596">
        <v>1701</v>
      </c>
      <c r="L145" s="626">
        <f>'DCF - Capital Structure'!L70</f>
        <v>5.75</v>
      </c>
      <c r="M145" s="626">
        <f>'DCF - Capital Structure'!M70</f>
        <v>5.75</v>
      </c>
      <c r="N145" s="626">
        <f>'DCF - Capital Structure'!N70</f>
        <v>5.75</v>
      </c>
      <c r="O145" s="626">
        <f>'DCF - Capital Structure'!O70</f>
        <v>5.75</v>
      </c>
      <c r="P145" s="626">
        <f>'DCF - Capital Structure'!P70</f>
        <v>5.75</v>
      </c>
      <c r="Q145" s="626">
        <f>'DCF - Capital Structure'!Q70</f>
        <v>5.75</v>
      </c>
      <c r="R145" s="626">
        <f>'DCF - Capital Structure'!R70</f>
        <v>5.75</v>
      </c>
      <c r="S145" s="626">
        <f>'DCF - Capital Structure'!S70</f>
        <v>5.75</v>
      </c>
      <c r="U145" s="93">
        <f t="shared" si="58"/>
        <v>1</v>
      </c>
      <c r="V145" s="24">
        <v>1</v>
      </c>
      <c r="IY145" s="6"/>
    </row>
    <row r="146" spans="1:259" ht="13.5" customHeight="1">
      <c r="A146" s="19"/>
      <c r="B146" s="19"/>
      <c r="C146" s="51" t="s">
        <v>993</v>
      </c>
      <c r="D146" s="19"/>
      <c r="E146" s="19"/>
      <c r="F146" s="930"/>
      <c r="G146" s="596">
        <v>333</v>
      </c>
      <c r="H146" s="596">
        <v>389</v>
      </c>
      <c r="I146" s="596">
        <v>257</v>
      </c>
      <c r="J146" s="596">
        <v>444</v>
      </c>
      <c r="K146" s="596">
        <v>359</v>
      </c>
      <c r="L146" s="626">
        <f>K146</f>
        <v>359</v>
      </c>
      <c r="M146" s="626">
        <f t="shared" ref="M146:S146" si="61">L146</f>
        <v>359</v>
      </c>
      <c r="N146" s="626">
        <f t="shared" si="61"/>
        <v>359</v>
      </c>
      <c r="O146" s="626">
        <f t="shared" si="61"/>
        <v>359</v>
      </c>
      <c r="P146" s="626">
        <f t="shared" si="61"/>
        <v>359</v>
      </c>
      <c r="Q146" s="626">
        <f t="shared" si="61"/>
        <v>359</v>
      </c>
      <c r="R146" s="626">
        <f t="shared" si="61"/>
        <v>359</v>
      </c>
      <c r="S146" s="626">
        <f t="shared" si="61"/>
        <v>359</v>
      </c>
      <c r="U146" s="93">
        <f t="shared" si="58"/>
        <v>1</v>
      </c>
      <c r="V146" s="24">
        <v>1</v>
      </c>
      <c r="IY146" s="6"/>
    </row>
    <row r="147" spans="1:259" ht="13.5" customHeight="1">
      <c r="A147" s="19"/>
      <c r="B147" s="19"/>
      <c r="C147" s="51" t="s">
        <v>994</v>
      </c>
      <c r="D147" s="19"/>
      <c r="E147" s="19"/>
      <c r="F147" s="930"/>
      <c r="G147" s="596">
        <v>0</v>
      </c>
      <c r="H147" s="596">
        <v>0</v>
      </c>
      <c r="I147" s="596">
        <v>91</v>
      </c>
      <c r="J147" s="596">
        <v>117</v>
      </c>
      <c r="K147" s="596">
        <v>0</v>
      </c>
      <c r="L147" s="626">
        <v>0</v>
      </c>
      <c r="M147" s="626">
        <v>0</v>
      </c>
      <c r="N147" s="626">
        <v>0</v>
      </c>
      <c r="O147" s="626">
        <v>0</v>
      </c>
      <c r="P147" s="626">
        <v>0</v>
      </c>
      <c r="Q147" s="626">
        <v>0</v>
      </c>
      <c r="R147" s="626">
        <v>0</v>
      </c>
      <c r="S147" s="626">
        <v>0</v>
      </c>
      <c r="U147" s="93">
        <f t="shared" si="58"/>
        <v>1</v>
      </c>
      <c r="V147" s="24">
        <v>1</v>
      </c>
      <c r="IY147" s="6"/>
    </row>
    <row r="148" spans="1:259" ht="13.5" customHeight="1">
      <c r="A148" s="19"/>
      <c r="B148" s="19"/>
      <c r="C148" s="51" t="s">
        <v>995</v>
      </c>
      <c r="D148" s="19"/>
      <c r="E148" s="19"/>
      <c r="F148" s="930"/>
      <c r="G148" s="596">
        <v>4202</v>
      </c>
      <c r="H148" s="596">
        <v>3683</v>
      </c>
      <c r="I148" s="596">
        <v>4648</v>
      </c>
      <c r="J148" s="596">
        <v>5887</v>
      </c>
      <c r="K148" s="596">
        <v>5300</v>
      </c>
      <c r="L148" s="626">
        <f>'DCF - Assumptions (old)'!L131</f>
        <v>0</v>
      </c>
      <c r="M148" s="626">
        <f>'DCF - Assumptions (old)'!M131</f>
        <v>0</v>
      </c>
      <c r="N148" s="626">
        <f>'DCF - Assumptions (old)'!N131</f>
        <v>0</v>
      </c>
      <c r="O148" s="626">
        <f>'DCF - Assumptions (old)'!O131</f>
        <v>0</v>
      </c>
      <c r="P148" s="626">
        <f>'DCF - Assumptions (old)'!P131</f>
        <v>0</v>
      </c>
      <c r="Q148" s="626">
        <f>'DCF - Assumptions (old)'!Q131</f>
        <v>0</v>
      </c>
      <c r="R148" s="626">
        <f>'DCF - Assumptions (old)'!R131</f>
        <v>0</v>
      </c>
      <c r="S148" s="626">
        <f>'DCF - Assumptions (old)'!S131</f>
        <v>0</v>
      </c>
      <c r="U148" s="93">
        <f t="shared" si="58"/>
        <v>1</v>
      </c>
      <c r="V148" s="24">
        <v>1</v>
      </c>
      <c r="IY148" s="6"/>
    </row>
    <row r="149" spans="1:259" ht="13.5" customHeight="1">
      <c r="A149" s="19"/>
      <c r="B149" s="19"/>
      <c r="C149" s="51" t="s">
        <v>996</v>
      </c>
      <c r="D149" s="19"/>
      <c r="E149" s="19"/>
      <c r="F149" s="930"/>
      <c r="G149" s="596">
        <v>32</v>
      </c>
      <c r="H149" s="596">
        <v>0</v>
      </c>
      <c r="I149" s="596">
        <v>0</v>
      </c>
      <c r="J149" s="596">
        <v>61</v>
      </c>
      <c r="K149" s="596">
        <v>0</v>
      </c>
      <c r="L149" s="626">
        <v>0</v>
      </c>
      <c r="M149" s="626">
        <v>0</v>
      </c>
      <c r="N149" s="626">
        <v>0</v>
      </c>
      <c r="O149" s="626">
        <v>0</v>
      </c>
      <c r="P149" s="626">
        <v>0</v>
      </c>
      <c r="Q149" s="626">
        <v>0</v>
      </c>
      <c r="R149" s="626">
        <v>0</v>
      </c>
      <c r="S149" s="626">
        <v>0</v>
      </c>
      <c r="U149" s="93">
        <f t="shared" si="58"/>
        <v>1</v>
      </c>
      <c r="V149" s="24">
        <v>1</v>
      </c>
      <c r="IY149" s="6"/>
    </row>
    <row r="150" spans="1:259" ht="13.5" customHeight="1">
      <c r="A150" s="19"/>
      <c r="B150" s="19"/>
      <c r="C150" s="51" t="s">
        <v>997</v>
      </c>
      <c r="D150" s="859"/>
      <c r="E150" s="19"/>
      <c r="F150" s="930"/>
      <c r="G150" s="596">
        <v>378</v>
      </c>
      <c r="H150" s="596">
        <v>246</v>
      </c>
      <c r="I150" s="596">
        <v>146</v>
      </c>
      <c r="J150" s="596">
        <v>252</v>
      </c>
      <c r="K150" s="596">
        <v>135</v>
      </c>
      <c r="L150" s="626">
        <f>K150</f>
        <v>135</v>
      </c>
      <c r="M150" s="626">
        <f t="shared" ref="M150:S150" si="62">L150</f>
        <v>135</v>
      </c>
      <c r="N150" s="626">
        <f t="shared" si="62"/>
        <v>135</v>
      </c>
      <c r="O150" s="626">
        <f t="shared" si="62"/>
        <v>135</v>
      </c>
      <c r="P150" s="626">
        <f t="shared" si="62"/>
        <v>135</v>
      </c>
      <c r="Q150" s="626">
        <f t="shared" si="62"/>
        <v>135</v>
      </c>
      <c r="R150" s="626">
        <f t="shared" si="62"/>
        <v>135</v>
      </c>
      <c r="S150" s="626">
        <f t="shared" si="62"/>
        <v>135</v>
      </c>
      <c r="U150" s="93">
        <f t="shared" si="58"/>
        <v>1</v>
      </c>
      <c r="V150" s="24">
        <v>1</v>
      </c>
      <c r="IY150" s="6"/>
    </row>
    <row r="151" spans="1:259" ht="13.5" customHeight="1">
      <c r="A151" s="19"/>
      <c r="B151" s="19"/>
      <c r="C151" s="51" t="s">
        <v>998</v>
      </c>
      <c r="D151" s="859"/>
      <c r="E151" s="19"/>
      <c r="F151" s="930"/>
      <c r="G151" s="596">
        <v>99</v>
      </c>
      <c r="H151" s="596">
        <v>183</v>
      </c>
      <c r="I151" s="596">
        <v>138</v>
      </c>
      <c r="J151" s="596">
        <v>159</v>
      </c>
      <c r="K151" s="596">
        <v>119</v>
      </c>
      <c r="L151" s="626">
        <f>'DCF - Assumptions (old)'!L132</f>
        <v>0</v>
      </c>
      <c r="M151" s="626">
        <f>'DCF - Assumptions (old)'!M132</f>
        <v>0</v>
      </c>
      <c r="N151" s="626">
        <f>'DCF - Assumptions (old)'!N132</f>
        <v>0</v>
      </c>
      <c r="O151" s="626">
        <f>'DCF - Assumptions (old)'!O132</f>
        <v>0</v>
      </c>
      <c r="P151" s="626">
        <f>'DCF - Assumptions (old)'!P132</f>
        <v>0</v>
      </c>
      <c r="Q151" s="626">
        <f>'DCF - Assumptions (old)'!Q132</f>
        <v>0</v>
      </c>
      <c r="R151" s="626">
        <f>'DCF - Assumptions (old)'!R132</f>
        <v>0</v>
      </c>
      <c r="S151" s="626">
        <f>'DCF - Assumptions (old)'!S132</f>
        <v>0</v>
      </c>
      <c r="U151" s="93">
        <f t="shared" si="58"/>
        <v>1</v>
      </c>
      <c r="V151" s="24">
        <v>1</v>
      </c>
      <c r="IY151" s="6"/>
    </row>
    <row r="152" spans="1:259" ht="13.5" customHeight="1">
      <c r="A152" s="19"/>
      <c r="B152" s="19"/>
      <c r="C152" s="48" t="s">
        <v>55</v>
      </c>
      <c r="D152" s="48"/>
      <c r="E152" s="48"/>
      <c r="F152" s="932"/>
      <c r="G152" s="597">
        <f t="shared" ref="G152:J152" si="63">SUM(G145:G151)</f>
        <v>7003</v>
      </c>
      <c r="H152" s="597">
        <f t="shared" si="63"/>
        <v>6496</v>
      </c>
      <c r="I152" s="597">
        <f t="shared" si="63"/>
        <v>7142</v>
      </c>
      <c r="J152" s="597">
        <f t="shared" si="63"/>
        <v>8442</v>
      </c>
      <c r="K152" s="597">
        <f>SUM(K145:K151)</f>
        <v>7614</v>
      </c>
      <c r="L152" s="632">
        <f t="shared" ref="L152:S152" si="64">SUM(L145:L151)</f>
        <v>499.75</v>
      </c>
      <c r="M152" s="632">
        <f t="shared" si="64"/>
        <v>499.75</v>
      </c>
      <c r="N152" s="632">
        <f t="shared" si="64"/>
        <v>499.75</v>
      </c>
      <c r="O152" s="632">
        <f t="shared" si="64"/>
        <v>499.75</v>
      </c>
      <c r="P152" s="632">
        <f t="shared" si="64"/>
        <v>499.75</v>
      </c>
      <c r="Q152" s="632">
        <f t="shared" si="64"/>
        <v>499.75</v>
      </c>
      <c r="R152" s="632">
        <f t="shared" si="64"/>
        <v>499.75</v>
      </c>
      <c r="S152" s="632">
        <f t="shared" si="64"/>
        <v>499.75</v>
      </c>
      <c r="U152" s="93">
        <f t="shared" si="58"/>
        <v>1</v>
      </c>
      <c r="V152" s="24">
        <v>1</v>
      </c>
      <c r="IY152" s="6"/>
    </row>
    <row r="153" spans="1:259" s="2" customFormat="1" ht="13.5" customHeight="1">
      <c r="A153" s="19"/>
      <c r="B153" s="19"/>
      <c r="F153" s="935"/>
      <c r="G153" s="50"/>
      <c r="H153" s="50"/>
      <c r="I153" s="50"/>
      <c r="J153" s="50"/>
      <c r="K153" s="50"/>
      <c r="L153" s="50"/>
      <c r="M153" s="50"/>
      <c r="N153" s="50"/>
      <c r="O153" s="50"/>
      <c r="P153" s="50"/>
      <c r="Q153" s="50"/>
      <c r="R153" s="50"/>
      <c r="S153" s="50"/>
      <c r="T153" s="3"/>
      <c r="U153" s="93">
        <f t="shared" si="58"/>
        <v>0</v>
      </c>
      <c r="V153" s="24">
        <v>0</v>
      </c>
      <c r="IY153" s="6"/>
    </row>
    <row r="154" spans="1:259" ht="13.5" customHeight="1">
      <c r="A154" s="19"/>
      <c r="B154" s="19"/>
      <c r="C154" s="19" t="s">
        <v>999</v>
      </c>
      <c r="D154"/>
      <c r="E154" s="19"/>
      <c r="F154" s="930"/>
      <c r="G154" s="49">
        <v>10596</v>
      </c>
      <c r="H154" s="49">
        <v>14790</v>
      </c>
      <c r="I154" s="49">
        <v>12865</v>
      </c>
      <c r="J154" s="49">
        <v>14498</v>
      </c>
      <c r="K154" s="49">
        <v>14801</v>
      </c>
      <c r="L154" s="626">
        <f>'DCF - Capital Structure'!L15</f>
        <v>1163.3860434252665</v>
      </c>
      <c r="M154" s="626">
        <f>'DCF - Capital Structure'!M15</f>
        <v>1235.318507748244</v>
      </c>
      <c r="N154" s="626">
        <f>'DCF - Capital Structure'!N15</f>
        <v>1267.9271307653059</v>
      </c>
      <c r="O154" s="626">
        <f>'DCF - Capital Structure'!O15</f>
        <v>1306.9872707355048</v>
      </c>
      <c r="P154" s="626">
        <f>'DCF - Capital Structure'!P15</f>
        <v>1355.2805553396706</v>
      </c>
      <c r="Q154" s="626">
        <f>'DCF - Capital Structure'!Q15</f>
        <v>1412.2513217923679</v>
      </c>
      <c r="R154" s="626">
        <f>'DCF - Capital Structure'!R15</f>
        <v>1462.6178719664003</v>
      </c>
      <c r="S154" s="626">
        <f>'DCF - Capital Structure'!S15</f>
        <v>1516.7028246955497</v>
      </c>
      <c r="U154" s="93">
        <f t="shared" si="58"/>
        <v>1</v>
      </c>
      <c r="V154" s="24">
        <v>1</v>
      </c>
      <c r="IY154" s="6"/>
    </row>
    <row r="155" spans="1:259" ht="13.5" customHeight="1">
      <c r="A155" s="19"/>
      <c r="B155" s="19"/>
      <c r="C155" s="51" t="s">
        <v>1000</v>
      </c>
      <c r="D155" s="19"/>
      <c r="E155" s="19"/>
      <c r="F155" s="930"/>
      <c r="G155" s="49">
        <v>222</v>
      </c>
      <c r="H155" s="49">
        <v>393</v>
      </c>
      <c r="I155" s="49">
        <v>384</v>
      </c>
      <c r="J155" s="49">
        <v>380</v>
      </c>
      <c r="K155" s="49">
        <v>747</v>
      </c>
      <c r="L155" s="631" t="e">
        <f>'DCF - Capital Structure'!#REF!</f>
        <v>#REF!</v>
      </c>
      <c r="M155" s="631" t="e">
        <f>'DCF - Capital Structure'!#REF!</f>
        <v>#REF!</v>
      </c>
      <c r="N155" s="631" t="e">
        <f>'DCF - Capital Structure'!#REF!</f>
        <v>#REF!</v>
      </c>
      <c r="O155" s="631" t="e">
        <f>'DCF - Capital Structure'!#REF!</f>
        <v>#REF!</v>
      </c>
      <c r="P155" s="631" t="e">
        <f>'DCF - Capital Structure'!#REF!</f>
        <v>#REF!</v>
      </c>
      <c r="Q155" s="631" t="e">
        <f>'DCF - Capital Structure'!#REF!</f>
        <v>#REF!</v>
      </c>
      <c r="R155" s="631" t="e">
        <f>'DCF - Capital Structure'!#REF!</f>
        <v>#REF!</v>
      </c>
      <c r="S155" s="631" t="e">
        <f>'DCF - Capital Structure'!#REF!</f>
        <v>#REF!</v>
      </c>
      <c r="U155" s="93">
        <f t="shared" si="58"/>
        <v>1</v>
      </c>
      <c r="V155" s="24">
        <v>1</v>
      </c>
      <c r="IY155" s="6"/>
    </row>
    <row r="156" spans="1:259" ht="13.5" customHeight="1">
      <c r="A156" s="19"/>
      <c r="B156" s="19"/>
      <c r="C156" s="51" t="s">
        <v>1001</v>
      </c>
      <c r="D156" s="19"/>
      <c r="E156" s="19"/>
      <c r="F156" s="930"/>
      <c r="G156" s="49">
        <v>2032</v>
      </c>
      <c r="H156" s="49">
        <v>175</v>
      </c>
      <c r="I156" s="49">
        <v>338</v>
      </c>
      <c r="J156" s="596">
        <v>2319</v>
      </c>
      <c r="K156" s="49">
        <v>368</v>
      </c>
      <c r="L156" s="631">
        <f>K156</f>
        <v>368</v>
      </c>
      <c r="M156" s="631">
        <f t="shared" ref="M156:S159" si="65">L156</f>
        <v>368</v>
      </c>
      <c r="N156" s="631">
        <f t="shared" si="65"/>
        <v>368</v>
      </c>
      <c r="O156" s="631">
        <f t="shared" si="65"/>
        <v>368</v>
      </c>
      <c r="P156" s="631">
        <f t="shared" si="65"/>
        <v>368</v>
      </c>
      <c r="Q156" s="631">
        <f t="shared" si="65"/>
        <v>368</v>
      </c>
      <c r="R156" s="631">
        <f t="shared" si="65"/>
        <v>368</v>
      </c>
      <c r="S156" s="631">
        <f t="shared" si="65"/>
        <v>368</v>
      </c>
      <c r="U156" s="93">
        <f t="shared" si="58"/>
        <v>1</v>
      </c>
      <c r="V156" s="24">
        <v>1</v>
      </c>
      <c r="IY156" s="6"/>
    </row>
    <row r="157" spans="1:259" ht="13.5" customHeight="1">
      <c r="A157" s="19"/>
      <c r="B157" s="19"/>
      <c r="C157" s="51" t="s">
        <v>1002</v>
      </c>
      <c r="D157" s="19"/>
      <c r="E157" s="19"/>
      <c r="F157" s="930"/>
      <c r="G157" s="596">
        <v>846</v>
      </c>
      <c r="H157" s="596">
        <v>293</v>
      </c>
      <c r="I157" s="49">
        <v>274</v>
      </c>
      <c r="J157" s="596">
        <v>258</v>
      </c>
      <c r="K157" s="596">
        <v>243</v>
      </c>
      <c r="L157" s="626">
        <f>K157</f>
        <v>243</v>
      </c>
      <c r="M157" s="626">
        <f t="shared" si="65"/>
        <v>243</v>
      </c>
      <c r="N157" s="626">
        <f t="shared" si="65"/>
        <v>243</v>
      </c>
      <c r="O157" s="626">
        <f t="shared" si="65"/>
        <v>243</v>
      </c>
      <c r="P157" s="626">
        <f t="shared" si="65"/>
        <v>243</v>
      </c>
      <c r="Q157" s="626">
        <f t="shared" si="65"/>
        <v>243</v>
      </c>
      <c r="R157" s="626">
        <f t="shared" si="65"/>
        <v>243</v>
      </c>
      <c r="S157" s="626">
        <f t="shared" si="65"/>
        <v>243</v>
      </c>
      <c r="U157" s="93">
        <f t="shared" si="58"/>
        <v>1</v>
      </c>
      <c r="V157" s="24">
        <v>1</v>
      </c>
      <c r="IY157" s="6"/>
    </row>
    <row r="158" spans="1:259" ht="13.5" customHeight="1">
      <c r="A158" s="19"/>
      <c r="B158" s="19"/>
      <c r="C158" s="51" t="s">
        <v>1003</v>
      </c>
      <c r="D158" s="19"/>
      <c r="E158" s="19"/>
      <c r="F158" s="930"/>
      <c r="G158" s="596">
        <v>124</v>
      </c>
      <c r="H158" s="596">
        <v>1972</v>
      </c>
      <c r="I158" s="596">
        <v>1945</v>
      </c>
      <c r="J158" s="596">
        <v>703</v>
      </c>
      <c r="K158" s="596">
        <v>2183</v>
      </c>
      <c r="L158" s="626">
        <f>K158</f>
        <v>2183</v>
      </c>
      <c r="M158" s="626">
        <f t="shared" si="65"/>
        <v>2183</v>
      </c>
      <c r="N158" s="626">
        <f t="shared" si="65"/>
        <v>2183</v>
      </c>
      <c r="O158" s="626">
        <f t="shared" si="65"/>
        <v>2183</v>
      </c>
      <c r="P158" s="626">
        <f t="shared" si="65"/>
        <v>2183</v>
      </c>
      <c r="Q158" s="626">
        <f t="shared" si="65"/>
        <v>2183</v>
      </c>
      <c r="R158" s="626">
        <f t="shared" si="65"/>
        <v>2183</v>
      </c>
      <c r="S158" s="626">
        <f t="shared" si="65"/>
        <v>2183</v>
      </c>
      <c r="U158" s="93">
        <f t="shared" si="58"/>
        <v>1</v>
      </c>
      <c r="V158" s="24">
        <v>1</v>
      </c>
      <c r="IY158" s="6"/>
    </row>
    <row r="159" spans="1:259" ht="13.5" customHeight="1">
      <c r="A159" s="19"/>
      <c r="B159" s="19"/>
      <c r="C159" s="19" t="s">
        <v>1004</v>
      </c>
      <c r="D159" s="19"/>
      <c r="E159" s="19"/>
      <c r="F159" s="930"/>
      <c r="G159" s="596">
        <v>317</v>
      </c>
      <c r="H159" s="596">
        <v>749</v>
      </c>
      <c r="I159" s="596">
        <v>574</v>
      </c>
      <c r="J159" s="596">
        <v>402</v>
      </c>
      <c r="K159" s="596">
        <v>373</v>
      </c>
      <c r="L159" s="626">
        <f>K159</f>
        <v>373</v>
      </c>
      <c r="M159" s="626">
        <f t="shared" si="65"/>
        <v>373</v>
      </c>
      <c r="N159" s="626">
        <f t="shared" si="65"/>
        <v>373</v>
      </c>
      <c r="O159" s="626">
        <f t="shared" si="65"/>
        <v>373</v>
      </c>
      <c r="P159" s="626">
        <f t="shared" si="65"/>
        <v>373</v>
      </c>
      <c r="Q159" s="626">
        <f t="shared" si="65"/>
        <v>373</v>
      </c>
      <c r="R159" s="626">
        <f t="shared" si="65"/>
        <v>373</v>
      </c>
      <c r="S159" s="626">
        <f t="shared" si="65"/>
        <v>373</v>
      </c>
      <c r="U159" s="93">
        <f t="shared" si="58"/>
        <v>1</v>
      </c>
      <c r="V159" s="24">
        <v>1</v>
      </c>
      <c r="IY159" s="6"/>
    </row>
    <row r="160" spans="1:259" ht="13.5" customHeight="1">
      <c r="A160" s="19"/>
      <c r="B160" s="19"/>
      <c r="C160" s="573" t="s">
        <v>1005</v>
      </c>
      <c r="D160" s="573"/>
      <c r="E160" s="573"/>
      <c r="F160" s="931"/>
      <c r="G160" s="579">
        <f t="shared" ref="G160:J160" si="66">SUM(G154:G159,G152)</f>
        <v>21140</v>
      </c>
      <c r="H160" s="579">
        <f t="shared" si="66"/>
        <v>24868</v>
      </c>
      <c r="I160" s="579">
        <f t="shared" si="66"/>
        <v>23522</v>
      </c>
      <c r="J160" s="579">
        <f t="shared" si="66"/>
        <v>27002</v>
      </c>
      <c r="K160" s="579">
        <f>SUM(K154:K159,K152)</f>
        <v>26329</v>
      </c>
      <c r="L160" s="625" t="e">
        <f t="shared" ref="L160:S160" si="67">SUM(L154:L159,L152)</f>
        <v>#REF!</v>
      </c>
      <c r="M160" s="625" t="e">
        <f t="shared" si="67"/>
        <v>#REF!</v>
      </c>
      <c r="N160" s="625" t="e">
        <f t="shared" si="67"/>
        <v>#REF!</v>
      </c>
      <c r="O160" s="625" t="e">
        <f t="shared" si="67"/>
        <v>#REF!</v>
      </c>
      <c r="P160" s="625" t="e">
        <f t="shared" si="67"/>
        <v>#REF!</v>
      </c>
      <c r="Q160" s="625" t="e">
        <f t="shared" si="67"/>
        <v>#REF!</v>
      </c>
      <c r="R160" s="625" t="e">
        <f t="shared" si="67"/>
        <v>#REF!</v>
      </c>
      <c r="S160" s="625" t="e">
        <f t="shared" si="67"/>
        <v>#REF!</v>
      </c>
      <c r="T160" s="6"/>
      <c r="U160" s="93">
        <f t="shared" si="58"/>
        <v>1</v>
      </c>
      <c r="V160" s="24">
        <v>1</v>
      </c>
      <c r="IY160" s="6"/>
    </row>
    <row r="161" spans="1:260" ht="13.5" customHeight="1">
      <c r="A161" s="19"/>
      <c r="B161" s="19"/>
      <c r="C161" s="19"/>
      <c r="D161" s="19"/>
      <c r="E161" s="19"/>
      <c r="F161" s="930"/>
      <c r="G161" s="46"/>
      <c r="H161" s="46"/>
      <c r="I161" s="46"/>
      <c r="J161" s="46"/>
      <c r="K161" s="46"/>
      <c r="L161" s="46"/>
      <c r="M161" s="46"/>
      <c r="N161" s="46"/>
      <c r="O161" s="46"/>
      <c r="P161" s="46"/>
      <c r="Q161" s="46"/>
      <c r="R161" s="46"/>
      <c r="S161" s="46"/>
      <c r="U161" s="93">
        <f t="shared" si="58"/>
        <v>0</v>
      </c>
      <c r="V161" s="24">
        <v>0</v>
      </c>
      <c r="IY161" s="2"/>
    </row>
    <row r="162" spans="1:260" ht="13.5" customHeight="1">
      <c r="C162" s="19" t="s">
        <v>1006</v>
      </c>
      <c r="D162" s="19"/>
      <c r="E162" s="19"/>
      <c r="F162" s="930"/>
      <c r="G162" s="45">
        <v>753</v>
      </c>
      <c r="H162" s="45">
        <v>742</v>
      </c>
      <c r="I162" s="45">
        <v>741</v>
      </c>
      <c r="J162" s="45">
        <v>723</v>
      </c>
      <c r="K162" s="45">
        <v>712</v>
      </c>
      <c r="L162" s="559">
        <f>'DCF - Capital Structure'!L171</f>
        <v>1847.5173747012748</v>
      </c>
      <c r="M162" s="559">
        <f>'DCF - Capital Structure'!M171</f>
        <v>1939.2583092108644</v>
      </c>
      <c r="N162" s="559">
        <f>'DCF - Capital Structure'!N171</f>
        <v>2051.884345453343</v>
      </c>
      <c r="O162" s="559">
        <f>'DCF - Capital Structure'!O171</f>
        <v>2191.8894519387491</v>
      </c>
      <c r="P162" s="559">
        <f>'DCF - Capital Structure'!P171</f>
        <v>2366.9325086114977</v>
      </c>
      <c r="Q162" s="559">
        <f>'DCF - Capital Structure'!Q171</f>
        <v>2587.2053608157289</v>
      </c>
      <c r="R162" s="559">
        <f>'DCF - Capital Structure'!R171</f>
        <v>2867.6978761018286</v>
      </c>
      <c r="S162" s="559">
        <f>'DCF - Capital Structure'!S171</f>
        <v>3223.9429405171254</v>
      </c>
      <c r="U162" s="93">
        <f t="shared" si="58"/>
        <v>1</v>
      </c>
      <c r="V162" s="24">
        <v>1</v>
      </c>
      <c r="IY162" s="6"/>
    </row>
    <row r="163" spans="1:260" ht="13.5" customHeight="1">
      <c r="C163" s="19" t="s">
        <v>1007</v>
      </c>
      <c r="D163" s="19"/>
      <c r="E163" s="19"/>
      <c r="F163" s="930"/>
      <c r="G163" s="45">
        <v>1350</v>
      </c>
      <c r="H163" s="45">
        <v>1351</v>
      </c>
      <c r="I163" s="45">
        <v>1351</v>
      </c>
      <c r="J163" s="45">
        <v>1351</v>
      </c>
      <c r="K163" s="45">
        <v>1351</v>
      </c>
      <c r="L163" s="559">
        <f>K163</f>
        <v>1351</v>
      </c>
      <c r="M163" s="559">
        <f t="shared" ref="M163:S164" si="68">L163</f>
        <v>1351</v>
      </c>
      <c r="N163" s="559">
        <f t="shared" si="68"/>
        <v>1351</v>
      </c>
      <c r="O163" s="559">
        <f t="shared" si="68"/>
        <v>1351</v>
      </c>
      <c r="P163" s="559">
        <f t="shared" si="68"/>
        <v>1351</v>
      </c>
      <c r="Q163" s="559">
        <f t="shared" si="68"/>
        <v>1351</v>
      </c>
      <c r="R163" s="559">
        <f t="shared" si="68"/>
        <v>1351</v>
      </c>
      <c r="S163" s="559">
        <f t="shared" si="68"/>
        <v>1351</v>
      </c>
      <c r="U163" s="93">
        <f t="shared" si="58"/>
        <v>1</v>
      </c>
      <c r="V163" s="24">
        <v>1</v>
      </c>
      <c r="IY163" s="6"/>
    </row>
    <row r="164" spans="1:260" ht="13.5" customHeight="1">
      <c r="C164" s="19" t="s">
        <v>1008</v>
      </c>
      <c r="D164" s="19"/>
      <c r="E164" s="19"/>
      <c r="F164" s="930"/>
      <c r="G164" s="45">
        <v>2372</v>
      </c>
      <c r="H164" s="45">
        <v>2272</v>
      </c>
      <c r="I164" s="45">
        <v>1621</v>
      </c>
      <c r="J164" s="45">
        <v>2174</v>
      </c>
      <c r="K164" s="45">
        <v>1861</v>
      </c>
      <c r="L164" s="559">
        <f>K164</f>
        <v>1861</v>
      </c>
      <c r="M164" s="559">
        <f t="shared" si="68"/>
        <v>1861</v>
      </c>
      <c r="N164" s="559">
        <f t="shared" si="68"/>
        <v>1861</v>
      </c>
      <c r="O164" s="559">
        <f t="shared" si="68"/>
        <v>1861</v>
      </c>
      <c r="P164" s="559">
        <f t="shared" si="68"/>
        <v>1861</v>
      </c>
      <c r="Q164" s="559">
        <f t="shared" si="68"/>
        <v>1861</v>
      </c>
      <c r="R164" s="559">
        <f t="shared" si="68"/>
        <v>1861</v>
      </c>
      <c r="S164" s="559">
        <f t="shared" si="68"/>
        <v>1861</v>
      </c>
      <c r="U164" s="93">
        <f t="shared" si="58"/>
        <v>1</v>
      </c>
      <c r="V164" s="24">
        <v>1</v>
      </c>
      <c r="IY164" s="6"/>
    </row>
    <row r="165" spans="1:260" ht="13.5" customHeight="1">
      <c r="C165" s="19" t="s">
        <v>1009</v>
      </c>
      <c r="D165" s="19"/>
      <c r="E165" s="19"/>
      <c r="F165" s="930"/>
      <c r="G165" s="45">
        <v>3886</v>
      </c>
      <c r="H165" s="45">
        <v>2407</v>
      </c>
      <c r="I165" s="45">
        <v>3184</v>
      </c>
      <c r="J165" s="45">
        <v>3550</v>
      </c>
      <c r="K165" s="45">
        <v>3898</v>
      </c>
      <c r="L165" s="559">
        <f>'DCF - Capital Structure'!L179</f>
        <v>-294.55484202939942</v>
      </c>
      <c r="M165" s="559">
        <f>'DCF - Capital Structure'!M179</f>
        <v>-508.65615341311332</v>
      </c>
      <c r="N165" s="559">
        <f>'DCF - Capital Structure'!N179</f>
        <v>-765.22873585803927</v>
      </c>
      <c r="O165" s="559">
        <f>'DCF - Capital Structure'!O179</f>
        <v>-1022.7810838261496</v>
      </c>
      <c r="P165" s="559">
        <f>'DCF - Capital Structure'!P179</f>
        <v>-1323.4933206913429</v>
      </c>
      <c r="Q165" s="559">
        <f>'DCF - Capital Structure'!Q179</f>
        <v>-1729.7758655420598</v>
      </c>
      <c r="R165" s="559">
        <f>'DCF - Capital Structure'!R179</f>
        <v>-2243.9078736731294</v>
      </c>
      <c r="S165" s="559">
        <f>'DCF - Capital Structure'!S179</f>
        <v>-2865.9851952924328</v>
      </c>
      <c r="U165" s="93">
        <f t="shared" si="58"/>
        <v>1</v>
      </c>
      <c r="V165" s="24">
        <v>1</v>
      </c>
      <c r="IY165" s="6"/>
      <c r="IZ165" s="6"/>
    </row>
    <row r="166" spans="1:260" ht="13.5" customHeight="1">
      <c r="C166" s="48" t="s">
        <v>1010</v>
      </c>
      <c r="D166" s="48"/>
      <c r="E166" s="48"/>
      <c r="F166" s="932"/>
      <c r="G166" s="47">
        <f t="shared" ref="G166:J166" si="69">SUM(G162:G165)</f>
        <v>8361</v>
      </c>
      <c r="H166" s="47">
        <f t="shared" si="69"/>
        <v>6772</v>
      </c>
      <c r="I166" s="47">
        <f t="shared" si="69"/>
        <v>6897</v>
      </c>
      <c r="J166" s="47">
        <f t="shared" si="69"/>
        <v>7798</v>
      </c>
      <c r="K166" s="47">
        <f>SUM(K162:K165)</f>
        <v>7822</v>
      </c>
      <c r="L166" s="628">
        <f>SUM(L162:L165)</f>
        <v>4764.962532671876</v>
      </c>
      <c r="M166" s="628">
        <f t="shared" ref="M166:S166" si="70">SUM(M162:M165)</f>
        <v>4642.602155797751</v>
      </c>
      <c r="N166" s="628">
        <f t="shared" si="70"/>
        <v>4498.6556095953038</v>
      </c>
      <c r="O166" s="628">
        <f t="shared" si="70"/>
        <v>4381.1083681125992</v>
      </c>
      <c r="P166" s="628">
        <f t="shared" si="70"/>
        <v>4255.4391879201548</v>
      </c>
      <c r="Q166" s="628">
        <f t="shared" si="70"/>
        <v>4069.4294952736695</v>
      </c>
      <c r="R166" s="628">
        <f t="shared" si="70"/>
        <v>3835.7900024286996</v>
      </c>
      <c r="S166" s="628">
        <f t="shared" si="70"/>
        <v>3569.9577452246922</v>
      </c>
      <c r="U166" s="93">
        <f t="shared" si="58"/>
        <v>1</v>
      </c>
      <c r="V166" s="24">
        <v>1</v>
      </c>
      <c r="IY166" s="6"/>
    </row>
    <row r="167" spans="1:260" ht="13.5" customHeight="1">
      <c r="C167" s="1095" t="s">
        <v>916</v>
      </c>
      <c r="D167" s="1095"/>
      <c r="E167" s="1095"/>
      <c r="F167" s="1096"/>
      <c r="G167" s="1098">
        <v>1795</v>
      </c>
      <c r="H167" s="1098">
        <v>1668</v>
      </c>
      <c r="I167" s="1098">
        <v>1534</v>
      </c>
      <c r="J167" s="1098">
        <v>1716</v>
      </c>
      <c r="K167" s="1098">
        <v>1470</v>
      </c>
      <c r="L167" s="1099" t="e">
        <f>'DCF - Capital Structure'!#REF!</f>
        <v>#REF!</v>
      </c>
      <c r="M167" s="1099" t="e">
        <f>'DCF - Capital Structure'!#REF!</f>
        <v>#REF!</v>
      </c>
      <c r="N167" s="1099" t="e">
        <f>'DCF - Capital Structure'!#REF!</f>
        <v>#REF!</v>
      </c>
      <c r="O167" s="1099" t="e">
        <f>'DCF - Capital Structure'!#REF!</f>
        <v>#REF!</v>
      </c>
      <c r="P167" s="1099" t="e">
        <f>'DCF - Capital Structure'!#REF!</f>
        <v>#REF!</v>
      </c>
      <c r="Q167" s="1099" t="e">
        <f>'DCF - Capital Structure'!#REF!</f>
        <v>#REF!</v>
      </c>
      <c r="R167" s="1099" t="e">
        <f>'DCF - Capital Structure'!#REF!</f>
        <v>#REF!</v>
      </c>
      <c r="S167" s="1099" t="e">
        <f>'DCF - Capital Structure'!#REF!</f>
        <v>#REF!</v>
      </c>
      <c r="U167" s="93">
        <f t="shared" si="58"/>
        <v>1</v>
      </c>
      <c r="V167" s="24">
        <v>1</v>
      </c>
      <c r="IY167" s="6"/>
    </row>
    <row r="168" spans="1:260" ht="13.5" customHeight="1">
      <c r="C168" s="848" t="s">
        <v>1011</v>
      </c>
      <c r="D168" s="848"/>
      <c r="E168" s="848"/>
      <c r="F168" s="936"/>
      <c r="G168" s="849">
        <f t="shared" ref="G168:I168" si="71">SUM(G166:G167)</f>
        <v>10156</v>
      </c>
      <c r="H168" s="849">
        <f t="shared" si="71"/>
        <v>8440</v>
      </c>
      <c r="I168" s="849">
        <f t="shared" si="71"/>
        <v>8431</v>
      </c>
      <c r="J168" s="849">
        <f>SUM(J166:J167)</f>
        <v>9514</v>
      </c>
      <c r="K168" s="849">
        <f t="shared" ref="K168:S168" si="72">SUM(K166:K167)</f>
        <v>9292</v>
      </c>
      <c r="L168" s="850" t="e">
        <f t="shared" si="72"/>
        <v>#REF!</v>
      </c>
      <c r="M168" s="850" t="e">
        <f t="shared" si="72"/>
        <v>#REF!</v>
      </c>
      <c r="N168" s="850" t="e">
        <f t="shared" si="72"/>
        <v>#REF!</v>
      </c>
      <c r="O168" s="850" t="e">
        <f t="shared" si="72"/>
        <v>#REF!</v>
      </c>
      <c r="P168" s="850" t="e">
        <f t="shared" si="72"/>
        <v>#REF!</v>
      </c>
      <c r="Q168" s="850" t="e">
        <f t="shared" si="72"/>
        <v>#REF!</v>
      </c>
      <c r="R168" s="850" t="e">
        <f t="shared" si="72"/>
        <v>#REF!</v>
      </c>
      <c r="S168" s="850" t="e">
        <f t="shared" si="72"/>
        <v>#REF!</v>
      </c>
      <c r="U168" s="93">
        <f t="shared" si="58"/>
        <v>1</v>
      </c>
      <c r="V168" s="24">
        <v>1</v>
      </c>
      <c r="IY168" s="6"/>
    </row>
    <row r="169" spans="1:260" ht="13.5" customHeight="1">
      <c r="C169" s="44"/>
      <c r="D169" s="44"/>
      <c r="E169" s="44"/>
      <c r="F169" s="937"/>
      <c r="G169" s="43"/>
      <c r="H169" s="43"/>
      <c r="I169" s="43"/>
      <c r="J169" s="43"/>
      <c r="K169" s="43"/>
      <c r="L169" s="43"/>
      <c r="M169" s="43"/>
      <c r="N169" s="43"/>
      <c r="O169" s="43"/>
      <c r="P169" s="43"/>
      <c r="Q169" s="43"/>
      <c r="R169" s="43"/>
      <c r="S169" s="43"/>
      <c r="U169" s="93">
        <f t="shared" si="58"/>
        <v>0</v>
      </c>
      <c r="V169" s="24">
        <v>0</v>
      </c>
      <c r="IY169" s="6"/>
    </row>
    <row r="170" spans="1:260" ht="13.5" customHeight="1">
      <c r="C170" s="848" t="s">
        <v>1012</v>
      </c>
      <c r="D170" s="848"/>
      <c r="E170" s="848"/>
      <c r="F170" s="936"/>
      <c r="G170" s="849">
        <f t="shared" ref="G170:S170" si="73">G168+G160</f>
        <v>31296</v>
      </c>
      <c r="H170" s="849">
        <f t="shared" si="73"/>
        <v>33308</v>
      </c>
      <c r="I170" s="849">
        <f t="shared" si="73"/>
        <v>31953</v>
      </c>
      <c r="J170" s="849">
        <f t="shared" si="73"/>
        <v>36516</v>
      </c>
      <c r="K170" s="849">
        <f t="shared" si="73"/>
        <v>35621</v>
      </c>
      <c r="L170" s="850" t="e">
        <f t="shared" si="73"/>
        <v>#REF!</v>
      </c>
      <c r="M170" s="850" t="e">
        <f t="shared" si="73"/>
        <v>#REF!</v>
      </c>
      <c r="N170" s="850" t="e">
        <f t="shared" si="73"/>
        <v>#REF!</v>
      </c>
      <c r="O170" s="850" t="e">
        <f t="shared" si="73"/>
        <v>#REF!</v>
      </c>
      <c r="P170" s="850" t="e">
        <f t="shared" si="73"/>
        <v>#REF!</v>
      </c>
      <c r="Q170" s="850" t="e">
        <f t="shared" si="73"/>
        <v>#REF!</v>
      </c>
      <c r="R170" s="850" t="e">
        <f t="shared" si="73"/>
        <v>#REF!</v>
      </c>
      <c r="S170" s="850" t="e">
        <f t="shared" si="73"/>
        <v>#REF!</v>
      </c>
      <c r="U170" s="93">
        <f t="shared" si="58"/>
        <v>1</v>
      </c>
      <c r="V170" s="24">
        <v>1</v>
      </c>
      <c r="IY170" s="6"/>
    </row>
    <row r="171" spans="1:260" ht="13.5" customHeight="1">
      <c r="C171" s="19"/>
      <c r="D171" s="19"/>
      <c r="E171" s="19"/>
      <c r="F171" s="930"/>
      <c r="G171" s="46"/>
      <c r="H171" s="46"/>
      <c r="I171" s="46"/>
      <c r="J171" s="46"/>
      <c r="K171" s="46"/>
      <c r="L171" s="46"/>
      <c r="M171" s="46"/>
      <c r="N171" s="46"/>
      <c r="O171" s="46"/>
      <c r="P171" s="46"/>
      <c r="Q171" s="46"/>
      <c r="R171" s="46"/>
      <c r="S171" s="46"/>
      <c r="U171" s="93">
        <f t="shared" si="58"/>
        <v>0</v>
      </c>
      <c r="V171" s="24">
        <v>0</v>
      </c>
      <c r="IY171" s="6"/>
    </row>
    <row r="172" spans="1:260" ht="13.5" customHeight="1">
      <c r="A172" s="19"/>
      <c r="B172" s="19"/>
      <c r="C172" s="16" t="s">
        <v>1013</v>
      </c>
      <c r="D172" s="15"/>
      <c r="E172" s="15"/>
      <c r="F172" s="934"/>
      <c r="G172" s="60" t="str">
        <f t="shared" ref="G172:S172" si="74">IF(ABS(G142-G170)&gt;1,G142-G170,"OK")</f>
        <v>OK</v>
      </c>
      <c r="H172" s="60" t="str">
        <f t="shared" si="74"/>
        <v>OK</v>
      </c>
      <c r="I172" s="60" t="str">
        <f t="shared" si="74"/>
        <v>OK</v>
      </c>
      <c r="J172" s="60" t="str">
        <f t="shared" si="74"/>
        <v>OK</v>
      </c>
      <c r="K172" s="60" t="str">
        <f t="shared" si="74"/>
        <v>OK</v>
      </c>
      <c r="L172" s="60" t="e">
        <f t="shared" ca="1" si="74"/>
        <v>#NAME?</v>
      </c>
      <c r="M172" s="60" t="e">
        <f t="shared" ca="1" si="74"/>
        <v>#NAME?</v>
      </c>
      <c r="N172" s="60" t="e">
        <f t="shared" ca="1" si="74"/>
        <v>#NAME?</v>
      </c>
      <c r="O172" s="60" t="e">
        <f t="shared" ca="1" si="74"/>
        <v>#NAME?</v>
      </c>
      <c r="P172" s="60" t="e">
        <f t="shared" ca="1" si="74"/>
        <v>#NAME?</v>
      </c>
      <c r="Q172" s="60" t="e">
        <f t="shared" ca="1" si="74"/>
        <v>#NAME?</v>
      </c>
      <c r="R172" s="60" t="e">
        <f t="shared" ca="1" si="74"/>
        <v>#NAME?</v>
      </c>
      <c r="S172" s="59" t="e">
        <f t="shared" ca="1" si="74"/>
        <v>#NAME?</v>
      </c>
      <c r="U172" s="93">
        <f t="shared" si="58"/>
        <v>1</v>
      </c>
      <c r="V172" s="24">
        <v>1</v>
      </c>
    </row>
    <row r="173" spans="1:260" s="2" customFormat="1" ht="13.2">
      <c r="F173" s="935"/>
      <c r="U173" s="93">
        <f t="shared" si="58"/>
        <v>0</v>
      </c>
      <c r="V173" s="24">
        <v>0</v>
      </c>
    </row>
    <row r="174" spans="1:260" s="2" customFormat="1" ht="13.2" hidden="1">
      <c r="F174" s="935"/>
      <c r="U174" s="93">
        <f t="shared" si="58"/>
        <v>0</v>
      </c>
      <c r="V174" s="24">
        <v>0</v>
      </c>
    </row>
    <row r="175" spans="1:260" s="2" customFormat="1" ht="13.2" hidden="1">
      <c r="F175" s="935"/>
      <c r="U175" s="93">
        <f t="shared" si="58"/>
        <v>0</v>
      </c>
      <c r="V175" s="24">
        <v>0</v>
      </c>
    </row>
    <row r="176" spans="1:260" s="2" customFormat="1" ht="13.2" hidden="1">
      <c r="F176" s="935"/>
      <c r="U176" s="93">
        <f t="shared" si="58"/>
        <v>0</v>
      </c>
      <c r="V176" s="24">
        <v>0</v>
      </c>
    </row>
    <row r="177" spans="6:22" s="2" customFormat="1" ht="13.2" hidden="1">
      <c r="F177" s="935"/>
      <c r="U177" s="93">
        <f t="shared" si="58"/>
        <v>0</v>
      </c>
      <c r="V177" s="24">
        <v>0</v>
      </c>
    </row>
    <row r="178" spans="6:22" s="2" customFormat="1" ht="13.2" hidden="1">
      <c r="F178" s="935"/>
      <c r="U178" s="93">
        <f t="shared" si="58"/>
        <v>0</v>
      </c>
      <c r="V178" s="24">
        <v>0</v>
      </c>
    </row>
    <row r="179" spans="6:22" s="2" customFormat="1" ht="13.2" hidden="1">
      <c r="F179" s="935"/>
      <c r="U179" s="93">
        <f t="shared" si="58"/>
        <v>0</v>
      </c>
      <c r="V179" s="24">
        <v>0</v>
      </c>
    </row>
    <row r="180" spans="6:22" s="2" customFormat="1" ht="13.2" hidden="1">
      <c r="F180" s="935"/>
      <c r="U180" s="93">
        <f t="shared" si="58"/>
        <v>0</v>
      </c>
      <c r="V180" s="24">
        <v>0</v>
      </c>
    </row>
    <row r="181" spans="6:22" s="2" customFormat="1" ht="13.2" hidden="1">
      <c r="F181" s="935"/>
      <c r="U181" s="93">
        <f t="shared" si="58"/>
        <v>0</v>
      </c>
      <c r="V181" s="24">
        <v>0</v>
      </c>
    </row>
    <row r="182" spans="6:22" hidden="1">
      <c r="U182" s="93">
        <f t="shared" si="58"/>
        <v>0</v>
      </c>
      <c r="V182" s="24">
        <v>0</v>
      </c>
    </row>
    <row r="183" spans="6:22" hidden="1">
      <c r="U183" s="93">
        <f t="shared" si="58"/>
        <v>0</v>
      </c>
      <c r="V183" s="24">
        <v>0</v>
      </c>
    </row>
    <row r="184" spans="6:22" hidden="1">
      <c r="U184" s="93">
        <f t="shared" si="58"/>
        <v>0</v>
      </c>
      <c r="V184" s="24">
        <v>0</v>
      </c>
    </row>
    <row r="185" spans="6:22" hidden="1">
      <c r="U185" s="93">
        <f t="shared" si="58"/>
        <v>0</v>
      </c>
      <c r="V185" s="24">
        <v>0</v>
      </c>
    </row>
    <row r="186" spans="6:22" hidden="1">
      <c r="U186" s="93">
        <f t="shared" si="58"/>
        <v>0</v>
      </c>
      <c r="V186" s="24">
        <v>0</v>
      </c>
    </row>
    <row r="187" spans="6:22" hidden="1">
      <c r="U187" s="93">
        <f t="shared" si="58"/>
        <v>0</v>
      </c>
      <c r="V187" s="24">
        <v>0</v>
      </c>
    </row>
    <row r="188" spans="6:22" hidden="1">
      <c r="U188" s="93">
        <f t="shared" si="58"/>
        <v>0</v>
      </c>
      <c r="V188" s="24">
        <v>0</v>
      </c>
    </row>
    <row r="189" spans="6:22" hidden="1">
      <c r="U189" s="93">
        <f t="shared" si="58"/>
        <v>0</v>
      </c>
      <c r="V189" s="24">
        <v>0</v>
      </c>
    </row>
    <row r="190" spans="6:22" hidden="1">
      <c r="U190" s="93">
        <f t="shared" si="58"/>
        <v>0</v>
      </c>
      <c r="V190" s="24">
        <v>0</v>
      </c>
    </row>
    <row r="191" spans="6:22" hidden="1">
      <c r="U191" s="93">
        <f t="shared" si="58"/>
        <v>0</v>
      </c>
      <c r="V191" s="24">
        <v>0</v>
      </c>
    </row>
    <row r="192" spans="6:22" hidden="1">
      <c r="U192" s="93">
        <f t="shared" si="58"/>
        <v>0</v>
      </c>
      <c r="V192" s="24">
        <v>0</v>
      </c>
    </row>
    <row r="193" spans="3:22" ht="13.2" hidden="1">
      <c r="C193" s="41"/>
      <c r="U193" s="93">
        <f t="shared" si="58"/>
        <v>0</v>
      </c>
      <c r="V193" s="24">
        <v>0</v>
      </c>
    </row>
    <row r="194" spans="3:22" hidden="1">
      <c r="G194" s="40"/>
      <c r="H194" s="40"/>
      <c r="I194" s="40"/>
      <c r="J194" s="39"/>
      <c r="K194" s="39"/>
      <c r="L194" s="38"/>
      <c r="M194" s="38"/>
      <c r="N194" s="38"/>
      <c r="O194" s="38"/>
      <c r="P194" s="38"/>
      <c r="Q194" s="38"/>
      <c r="R194" s="38"/>
      <c r="S194" s="38"/>
      <c r="U194" s="93">
        <f t="shared" si="58"/>
        <v>0</v>
      </c>
      <c r="V194" s="24">
        <v>0</v>
      </c>
    </row>
    <row r="195" spans="3:22" hidden="1">
      <c r="G195" s="37"/>
      <c r="H195" s="37"/>
      <c r="I195" s="37"/>
      <c r="J195" s="23"/>
      <c r="K195" s="23"/>
      <c r="L195" s="23"/>
      <c r="M195" s="23"/>
      <c r="N195" s="23"/>
      <c r="O195" s="23"/>
      <c r="P195" s="23"/>
      <c r="Q195" s="23"/>
      <c r="R195" s="23"/>
      <c r="S195" s="23"/>
      <c r="U195" s="93">
        <f t="shared" si="58"/>
        <v>0</v>
      </c>
      <c r="V195" s="24">
        <v>0</v>
      </c>
    </row>
    <row r="196" spans="3:22" hidden="1">
      <c r="U196" s="93">
        <f t="shared" si="58"/>
        <v>0</v>
      </c>
      <c r="V196" s="24">
        <v>0</v>
      </c>
    </row>
    <row r="197" spans="3:22" hidden="1">
      <c r="U197" s="93">
        <f t="shared" si="58"/>
        <v>0</v>
      </c>
      <c r="V197" s="24">
        <v>0</v>
      </c>
    </row>
    <row r="198" spans="3:22" hidden="1">
      <c r="U198" s="93">
        <f t="shared" si="58"/>
        <v>0</v>
      </c>
      <c r="V198" s="24">
        <v>0</v>
      </c>
    </row>
    <row r="199" spans="3:22"/>
    <row r="200" spans="3:22" hidden="1">
      <c r="U200" s="93">
        <f t="shared" si="58"/>
        <v>0</v>
      </c>
      <c r="V200" s="3">
        <v>0</v>
      </c>
    </row>
    <row r="201" spans="3:22" hidden="1">
      <c r="U201" s="93">
        <f t="shared" ref="U201:U264" si="75">IF(NOT(ISBLANK(C201)), 1, 0)</f>
        <v>0</v>
      </c>
      <c r="V201" s="3">
        <v>0</v>
      </c>
    </row>
    <row r="202" spans="3:22" hidden="1">
      <c r="U202" s="93">
        <f t="shared" si="75"/>
        <v>0</v>
      </c>
      <c r="V202" s="3">
        <v>0</v>
      </c>
    </row>
    <row r="203" spans="3:22" hidden="1">
      <c r="U203" s="93">
        <f t="shared" si="75"/>
        <v>0</v>
      </c>
      <c r="V203" s="3">
        <v>0</v>
      </c>
    </row>
    <row r="204" spans="3:22" hidden="1">
      <c r="U204" s="93">
        <f t="shared" si="75"/>
        <v>0</v>
      </c>
      <c r="V204" s="3">
        <v>0</v>
      </c>
    </row>
    <row r="205" spans="3:22" hidden="1">
      <c r="U205" s="93">
        <f t="shared" si="75"/>
        <v>0</v>
      </c>
      <c r="V205" s="3">
        <v>0</v>
      </c>
    </row>
    <row r="206" spans="3:22" hidden="1">
      <c r="U206" s="93">
        <f t="shared" si="75"/>
        <v>0</v>
      </c>
      <c r="V206" s="3">
        <v>0</v>
      </c>
    </row>
    <row r="207" spans="3:22" hidden="1">
      <c r="U207" s="93">
        <f t="shared" si="75"/>
        <v>0</v>
      </c>
      <c r="V207" s="3">
        <v>0</v>
      </c>
    </row>
    <row r="208" spans="3:22" hidden="1">
      <c r="U208" s="93">
        <f t="shared" si="75"/>
        <v>0</v>
      </c>
      <c r="V208" s="3">
        <v>0</v>
      </c>
    </row>
    <row r="209" spans="21:22" hidden="1">
      <c r="U209" s="93">
        <f t="shared" si="75"/>
        <v>0</v>
      </c>
      <c r="V209" s="3">
        <v>0</v>
      </c>
    </row>
    <row r="210" spans="21:22" hidden="1">
      <c r="U210" s="93">
        <f t="shared" si="75"/>
        <v>0</v>
      </c>
      <c r="V210" s="3">
        <v>0</v>
      </c>
    </row>
    <row r="211" spans="21:22" hidden="1">
      <c r="U211" s="93">
        <f t="shared" si="75"/>
        <v>0</v>
      </c>
      <c r="V211" s="3">
        <v>0</v>
      </c>
    </row>
    <row r="212" spans="21:22" hidden="1">
      <c r="U212" s="93">
        <f t="shared" si="75"/>
        <v>0</v>
      </c>
      <c r="V212" s="3">
        <v>0</v>
      </c>
    </row>
    <row r="213" spans="21:22" hidden="1">
      <c r="U213" s="93">
        <f t="shared" si="75"/>
        <v>0</v>
      </c>
      <c r="V213" s="3">
        <v>0</v>
      </c>
    </row>
    <row r="214" spans="21:22" hidden="1">
      <c r="U214" s="93">
        <f t="shared" si="75"/>
        <v>0</v>
      </c>
      <c r="V214" s="3">
        <v>0</v>
      </c>
    </row>
    <row r="215" spans="21:22" hidden="1">
      <c r="U215" s="93">
        <f t="shared" si="75"/>
        <v>0</v>
      </c>
      <c r="V215" s="3">
        <v>0</v>
      </c>
    </row>
    <row r="216" spans="21:22" hidden="1">
      <c r="U216" s="93">
        <f t="shared" si="75"/>
        <v>0</v>
      </c>
      <c r="V216" s="3">
        <v>0</v>
      </c>
    </row>
    <row r="217" spans="21:22" hidden="1">
      <c r="U217" s="93">
        <f t="shared" si="75"/>
        <v>0</v>
      </c>
      <c r="V217" s="3">
        <v>0</v>
      </c>
    </row>
    <row r="218" spans="21:22" hidden="1">
      <c r="U218" s="93">
        <f t="shared" si="75"/>
        <v>0</v>
      </c>
      <c r="V218" s="3">
        <v>0</v>
      </c>
    </row>
    <row r="219" spans="21:22" hidden="1">
      <c r="U219" s="93">
        <f t="shared" si="75"/>
        <v>0</v>
      </c>
      <c r="V219" s="3">
        <v>0</v>
      </c>
    </row>
    <row r="220" spans="21:22" hidden="1">
      <c r="U220" s="93">
        <f t="shared" si="75"/>
        <v>0</v>
      </c>
      <c r="V220" s="3">
        <v>0</v>
      </c>
    </row>
    <row r="221" spans="21:22" hidden="1">
      <c r="U221" s="93">
        <f t="shared" si="75"/>
        <v>0</v>
      </c>
      <c r="V221" s="3">
        <v>0</v>
      </c>
    </row>
    <row r="222" spans="21:22" hidden="1">
      <c r="U222" s="93">
        <f t="shared" si="75"/>
        <v>0</v>
      </c>
      <c r="V222" s="3">
        <v>0</v>
      </c>
    </row>
    <row r="223" spans="21:22" hidden="1">
      <c r="U223" s="93">
        <f t="shared" si="75"/>
        <v>0</v>
      </c>
      <c r="V223" s="3">
        <v>0</v>
      </c>
    </row>
    <row r="224" spans="21:22" hidden="1">
      <c r="U224" s="93">
        <f t="shared" si="75"/>
        <v>0</v>
      </c>
      <c r="V224" s="3">
        <v>0</v>
      </c>
    </row>
    <row r="225" spans="21:22" hidden="1">
      <c r="U225" s="93">
        <f t="shared" si="75"/>
        <v>0</v>
      </c>
      <c r="V225" s="3">
        <v>0</v>
      </c>
    </row>
    <row r="226" spans="21:22" hidden="1">
      <c r="U226" s="93">
        <f t="shared" si="75"/>
        <v>0</v>
      </c>
      <c r="V226" s="3">
        <v>0</v>
      </c>
    </row>
    <row r="227" spans="21:22" hidden="1">
      <c r="U227" s="93">
        <f t="shared" si="75"/>
        <v>0</v>
      </c>
      <c r="V227" s="3">
        <v>0</v>
      </c>
    </row>
    <row r="228" spans="21:22" hidden="1">
      <c r="U228" s="93">
        <f t="shared" si="75"/>
        <v>0</v>
      </c>
      <c r="V228" s="3">
        <v>0</v>
      </c>
    </row>
    <row r="229" spans="21:22" hidden="1">
      <c r="U229" s="93">
        <f t="shared" si="75"/>
        <v>0</v>
      </c>
      <c r="V229" s="3">
        <v>0</v>
      </c>
    </row>
    <row r="230" spans="21:22" hidden="1">
      <c r="U230" s="93">
        <f t="shared" si="75"/>
        <v>0</v>
      </c>
      <c r="V230" s="3">
        <v>0</v>
      </c>
    </row>
    <row r="231" spans="21:22" hidden="1">
      <c r="U231" s="93">
        <f t="shared" si="75"/>
        <v>0</v>
      </c>
      <c r="V231" s="3">
        <v>0</v>
      </c>
    </row>
    <row r="232" spans="21:22" hidden="1">
      <c r="U232" s="93">
        <f t="shared" si="75"/>
        <v>0</v>
      </c>
      <c r="V232" s="3">
        <v>0</v>
      </c>
    </row>
    <row r="233" spans="21:22" hidden="1">
      <c r="U233" s="93">
        <f t="shared" si="75"/>
        <v>0</v>
      </c>
      <c r="V233" s="3">
        <v>0</v>
      </c>
    </row>
    <row r="234" spans="21:22" hidden="1">
      <c r="U234" s="93">
        <f t="shared" si="75"/>
        <v>0</v>
      </c>
      <c r="V234" s="3">
        <v>0</v>
      </c>
    </row>
    <row r="235" spans="21:22" hidden="1">
      <c r="U235" s="93">
        <f t="shared" si="75"/>
        <v>0</v>
      </c>
      <c r="V235" s="3">
        <v>0</v>
      </c>
    </row>
    <row r="236" spans="21:22" hidden="1">
      <c r="U236" s="93">
        <f t="shared" si="75"/>
        <v>0</v>
      </c>
      <c r="V236" s="3">
        <v>0</v>
      </c>
    </row>
    <row r="237" spans="21:22" hidden="1">
      <c r="U237" s="93">
        <f t="shared" si="75"/>
        <v>0</v>
      </c>
      <c r="V237" s="3">
        <v>0</v>
      </c>
    </row>
    <row r="238" spans="21:22" hidden="1">
      <c r="U238" s="93">
        <f t="shared" si="75"/>
        <v>0</v>
      </c>
      <c r="V238" s="3">
        <v>0</v>
      </c>
    </row>
    <row r="239" spans="21:22" hidden="1">
      <c r="U239" s="93">
        <f t="shared" si="75"/>
        <v>0</v>
      </c>
      <c r="V239" s="3">
        <v>0</v>
      </c>
    </row>
    <row r="240" spans="21:22" hidden="1">
      <c r="U240" s="93">
        <f t="shared" si="75"/>
        <v>0</v>
      </c>
      <c r="V240" s="3">
        <v>0</v>
      </c>
    </row>
    <row r="241" spans="21:22" hidden="1">
      <c r="U241" s="93">
        <f t="shared" si="75"/>
        <v>0</v>
      </c>
      <c r="V241" s="3">
        <v>0</v>
      </c>
    </row>
    <row r="242" spans="21:22" hidden="1">
      <c r="U242" s="93">
        <f t="shared" si="75"/>
        <v>0</v>
      </c>
      <c r="V242" s="3">
        <v>0</v>
      </c>
    </row>
    <row r="243" spans="21:22" hidden="1">
      <c r="U243" s="93">
        <f t="shared" si="75"/>
        <v>0</v>
      </c>
      <c r="V243" s="3">
        <v>0</v>
      </c>
    </row>
    <row r="244" spans="21:22" hidden="1">
      <c r="U244" s="93">
        <f t="shared" si="75"/>
        <v>0</v>
      </c>
      <c r="V244" s="3">
        <v>0</v>
      </c>
    </row>
    <row r="245" spans="21:22" hidden="1">
      <c r="U245" s="93">
        <f t="shared" si="75"/>
        <v>0</v>
      </c>
      <c r="V245" s="3">
        <v>0</v>
      </c>
    </row>
    <row r="246" spans="21:22" hidden="1">
      <c r="U246" s="93">
        <f t="shared" si="75"/>
        <v>0</v>
      </c>
      <c r="V246" s="3">
        <v>0</v>
      </c>
    </row>
    <row r="247" spans="21:22" hidden="1">
      <c r="U247" s="93">
        <f t="shared" si="75"/>
        <v>0</v>
      </c>
      <c r="V247" s="3">
        <v>0</v>
      </c>
    </row>
    <row r="248" spans="21:22" hidden="1">
      <c r="U248" s="93">
        <f t="shared" si="75"/>
        <v>0</v>
      </c>
      <c r="V248" s="3">
        <v>0</v>
      </c>
    </row>
    <row r="249" spans="21:22" hidden="1">
      <c r="U249" s="93">
        <f t="shared" si="75"/>
        <v>0</v>
      </c>
      <c r="V249" s="3">
        <v>0</v>
      </c>
    </row>
    <row r="250" spans="21:22" hidden="1">
      <c r="U250" s="93">
        <f t="shared" si="75"/>
        <v>0</v>
      </c>
      <c r="V250" s="3">
        <v>0</v>
      </c>
    </row>
    <row r="251" spans="21:22" hidden="1">
      <c r="U251" s="93">
        <f t="shared" si="75"/>
        <v>0</v>
      </c>
      <c r="V251" s="3">
        <v>0</v>
      </c>
    </row>
    <row r="252" spans="21:22" hidden="1">
      <c r="U252" s="93">
        <f t="shared" si="75"/>
        <v>0</v>
      </c>
      <c r="V252" s="3">
        <v>0</v>
      </c>
    </row>
    <row r="253" spans="21:22" hidden="1">
      <c r="U253" s="93">
        <f t="shared" si="75"/>
        <v>0</v>
      </c>
      <c r="V253" s="3">
        <v>0</v>
      </c>
    </row>
    <row r="254" spans="21:22" hidden="1">
      <c r="U254" s="93">
        <f t="shared" si="75"/>
        <v>0</v>
      </c>
      <c r="V254" s="3">
        <v>0</v>
      </c>
    </row>
    <row r="255" spans="21:22" hidden="1">
      <c r="U255" s="93">
        <f t="shared" si="75"/>
        <v>0</v>
      </c>
      <c r="V255" s="3">
        <v>0</v>
      </c>
    </row>
    <row r="256" spans="21:22" hidden="1">
      <c r="U256" s="93">
        <f t="shared" si="75"/>
        <v>0</v>
      </c>
      <c r="V256" s="3">
        <v>0</v>
      </c>
    </row>
    <row r="257" spans="21:22" hidden="1">
      <c r="U257" s="93">
        <f t="shared" si="75"/>
        <v>0</v>
      </c>
      <c r="V257" s="3">
        <v>0</v>
      </c>
    </row>
    <row r="258" spans="21:22" hidden="1">
      <c r="U258" s="93">
        <f t="shared" si="75"/>
        <v>0</v>
      </c>
      <c r="V258" s="3">
        <v>0</v>
      </c>
    </row>
    <row r="259" spans="21:22" hidden="1">
      <c r="U259" s="93">
        <f t="shared" si="75"/>
        <v>0</v>
      </c>
      <c r="V259" s="3">
        <v>0</v>
      </c>
    </row>
    <row r="260" spans="21:22" hidden="1">
      <c r="U260" s="93">
        <f t="shared" si="75"/>
        <v>0</v>
      </c>
      <c r="V260" s="3">
        <v>0</v>
      </c>
    </row>
    <row r="261" spans="21:22" hidden="1">
      <c r="U261" s="93">
        <f t="shared" si="75"/>
        <v>0</v>
      </c>
      <c r="V261" s="3">
        <v>0</v>
      </c>
    </row>
    <row r="262" spans="21:22" hidden="1">
      <c r="U262" s="93">
        <f t="shared" si="75"/>
        <v>0</v>
      </c>
      <c r="V262" s="3">
        <v>0</v>
      </c>
    </row>
    <row r="263" spans="21:22" hidden="1">
      <c r="U263" s="93">
        <f t="shared" si="75"/>
        <v>0</v>
      </c>
      <c r="V263" s="3">
        <v>0</v>
      </c>
    </row>
    <row r="264" spans="21:22" hidden="1">
      <c r="U264" s="93">
        <f t="shared" si="75"/>
        <v>0</v>
      </c>
      <c r="V264" s="3">
        <v>0</v>
      </c>
    </row>
    <row r="265" spans="21:22" hidden="1">
      <c r="U265" s="93">
        <f t="shared" ref="U265:U328" si="76">IF(NOT(ISBLANK(C265)), 1, 0)</f>
        <v>0</v>
      </c>
      <c r="V265" s="3">
        <v>0</v>
      </c>
    </row>
    <row r="266" spans="21:22" hidden="1">
      <c r="U266" s="93">
        <f t="shared" si="76"/>
        <v>0</v>
      </c>
      <c r="V266" s="3">
        <v>0</v>
      </c>
    </row>
    <row r="267" spans="21:22" hidden="1">
      <c r="U267" s="93">
        <f t="shared" si="76"/>
        <v>0</v>
      </c>
      <c r="V267" s="3">
        <v>0</v>
      </c>
    </row>
    <row r="268" spans="21:22" hidden="1">
      <c r="U268" s="93">
        <f t="shared" si="76"/>
        <v>0</v>
      </c>
      <c r="V268" s="3">
        <v>0</v>
      </c>
    </row>
    <row r="269" spans="21:22" hidden="1">
      <c r="U269" s="93">
        <f t="shared" si="76"/>
        <v>0</v>
      </c>
      <c r="V269" s="3">
        <v>0</v>
      </c>
    </row>
    <row r="270" spans="21:22" hidden="1">
      <c r="U270" s="93">
        <f t="shared" si="76"/>
        <v>0</v>
      </c>
      <c r="V270" s="3">
        <v>0</v>
      </c>
    </row>
    <row r="271" spans="21:22" hidden="1">
      <c r="U271" s="93">
        <f t="shared" si="76"/>
        <v>0</v>
      </c>
      <c r="V271" s="3">
        <v>0</v>
      </c>
    </row>
    <row r="272" spans="21:22" hidden="1">
      <c r="U272" s="93">
        <f t="shared" si="76"/>
        <v>0</v>
      </c>
      <c r="V272" s="3">
        <v>0</v>
      </c>
    </row>
    <row r="273" spans="21:22" hidden="1">
      <c r="U273" s="93">
        <f t="shared" si="76"/>
        <v>0</v>
      </c>
      <c r="V273" s="3">
        <v>0</v>
      </c>
    </row>
    <row r="274" spans="21:22" hidden="1">
      <c r="U274" s="93">
        <f t="shared" si="76"/>
        <v>0</v>
      </c>
      <c r="V274" s="3">
        <v>0</v>
      </c>
    </row>
    <row r="275" spans="21:22" hidden="1">
      <c r="U275" s="93">
        <f t="shared" si="76"/>
        <v>0</v>
      </c>
      <c r="V275" s="3">
        <v>0</v>
      </c>
    </row>
    <row r="276" spans="21:22" hidden="1">
      <c r="U276" s="93">
        <f t="shared" si="76"/>
        <v>0</v>
      </c>
      <c r="V276" s="3">
        <v>0</v>
      </c>
    </row>
    <row r="277" spans="21:22" hidden="1">
      <c r="U277" s="93">
        <f t="shared" si="76"/>
        <v>0</v>
      </c>
      <c r="V277" s="3">
        <v>0</v>
      </c>
    </row>
    <row r="278" spans="21:22" hidden="1">
      <c r="U278" s="93">
        <f t="shared" si="76"/>
        <v>0</v>
      </c>
      <c r="V278" s="3">
        <v>0</v>
      </c>
    </row>
    <row r="279" spans="21:22" hidden="1">
      <c r="U279" s="93">
        <f t="shared" si="76"/>
        <v>0</v>
      </c>
      <c r="V279" s="3">
        <v>0</v>
      </c>
    </row>
    <row r="280" spans="21:22" hidden="1">
      <c r="U280" s="93">
        <f t="shared" si="76"/>
        <v>0</v>
      </c>
      <c r="V280" s="3">
        <v>0</v>
      </c>
    </row>
    <row r="281" spans="21:22" hidden="1">
      <c r="U281" s="93">
        <f t="shared" si="76"/>
        <v>0</v>
      </c>
      <c r="V281" s="3">
        <v>0</v>
      </c>
    </row>
    <row r="282" spans="21:22" hidden="1">
      <c r="U282" s="93">
        <f t="shared" si="76"/>
        <v>0</v>
      </c>
      <c r="V282" s="3">
        <v>0</v>
      </c>
    </row>
    <row r="283" spans="21:22" hidden="1">
      <c r="U283" s="93">
        <f t="shared" si="76"/>
        <v>0</v>
      </c>
      <c r="V283" s="3">
        <v>0</v>
      </c>
    </row>
    <row r="284" spans="21:22" hidden="1">
      <c r="U284" s="93">
        <f t="shared" si="76"/>
        <v>0</v>
      </c>
      <c r="V284" s="3">
        <v>0</v>
      </c>
    </row>
    <row r="285" spans="21:22" hidden="1">
      <c r="U285" s="93">
        <f t="shared" si="76"/>
        <v>0</v>
      </c>
      <c r="V285" s="3">
        <v>0</v>
      </c>
    </row>
    <row r="286" spans="21:22" hidden="1">
      <c r="U286" s="93">
        <f t="shared" si="76"/>
        <v>0</v>
      </c>
      <c r="V286" s="3">
        <v>0</v>
      </c>
    </row>
    <row r="287" spans="21:22" hidden="1">
      <c r="U287" s="93">
        <f t="shared" si="76"/>
        <v>0</v>
      </c>
      <c r="V287" s="3">
        <v>0</v>
      </c>
    </row>
    <row r="288" spans="21:22" hidden="1">
      <c r="U288" s="93">
        <f t="shared" si="76"/>
        <v>0</v>
      </c>
      <c r="V288" s="3">
        <v>0</v>
      </c>
    </row>
    <row r="289" spans="21:22" hidden="1">
      <c r="U289" s="93">
        <f t="shared" si="76"/>
        <v>0</v>
      </c>
      <c r="V289" s="3">
        <v>0</v>
      </c>
    </row>
    <row r="290" spans="21:22" hidden="1">
      <c r="U290" s="93">
        <f t="shared" si="76"/>
        <v>0</v>
      </c>
      <c r="V290" s="3">
        <v>0</v>
      </c>
    </row>
    <row r="291" spans="21:22" hidden="1">
      <c r="U291" s="93">
        <f t="shared" si="76"/>
        <v>0</v>
      </c>
      <c r="V291" s="3">
        <v>0</v>
      </c>
    </row>
    <row r="292" spans="21:22" hidden="1">
      <c r="U292" s="93">
        <f t="shared" si="76"/>
        <v>0</v>
      </c>
      <c r="V292" s="3">
        <v>0</v>
      </c>
    </row>
    <row r="293" spans="21:22" hidden="1">
      <c r="U293" s="93">
        <f t="shared" si="76"/>
        <v>0</v>
      </c>
      <c r="V293" s="3">
        <v>0</v>
      </c>
    </row>
    <row r="294" spans="21:22" hidden="1">
      <c r="U294" s="93">
        <f t="shared" si="76"/>
        <v>0</v>
      </c>
      <c r="V294" s="3">
        <v>0</v>
      </c>
    </row>
    <row r="295" spans="21:22" hidden="1">
      <c r="U295" s="93">
        <f t="shared" si="76"/>
        <v>0</v>
      </c>
      <c r="V295" s="3">
        <v>0</v>
      </c>
    </row>
    <row r="296" spans="21:22" hidden="1">
      <c r="U296" s="93">
        <f t="shared" si="76"/>
        <v>0</v>
      </c>
      <c r="V296" s="3">
        <v>0</v>
      </c>
    </row>
    <row r="297" spans="21:22" hidden="1">
      <c r="U297" s="93">
        <f t="shared" si="76"/>
        <v>0</v>
      </c>
      <c r="V297" s="3">
        <v>0</v>
      </c>
    </row>
    <row r="298" spans="21:22" hidden="1">
      <c r="U298" s="93">
        <f t="shared" si="76"/>
        <v>0</v>
      </c>
      <c r="V298" s="3">
        <v>0</v>
      </c>
    </row>
    <row r="299" spans="21:22" hidden="1">
      <c r="U299" s="93">
        <f t="shared" si="76"/>
        <v>0</v>
      </c>
      <c r="V299" s="3">
        <v>0</v>
      </c>
    </row>
    <row r="300" spans="21:22" hidden="1">
      <c r="U300" s="93">
        <f t="shared" si="76"/>
        <v>0</v>
      </c>
      <c r="V300" s="3">
        <v>0</v>
      </c>
    </row>
    <row r="301" spans="21:22" hidden="1">
      <c r="U301" s="93">
        <f t="shared" si="76"/>
        <v>0</v>
      </c>
      <c r="V301" s="3">
        <v>0</v>
      </c>
    </row>
    <row r="302" spans="21:22" hidden="1">
      <c r="U302" s="93">
        <f t="shared" si="76"/>
        <v>0</v>
      </c>
      <c r="V302" s="3">
        <v>0</v>
      </c>
    </row>
    <row r="303" spans="21:22" hidden="1">
      <c r="U303" s="93">
        <f t="shared" si="76"/>
        <v>0</v>
      </c>
      <c r="V303" s="3">
        <v>0</v>
      </c>
    </row>
    <row r="304" spans="21:22" hidden="1">
      <c r="U304" s="93">
        <f t="shared" si="76"/>
        <v>0</v>
      </c>
      <c r="V304" s="3">
        <v>0</v>
      </c>
    </row>
    <row r="305" spans="21:22" hidden="1">
      <c r="U305" s="93">
        <f t="shared" si="76"/>
        <v>0</v>
      </c>
      <c r="V305" s="3">
        <v>0</v>
      </c>
    </row>
    <row r="306" spans="21:22" hidden="1">
      <c r="U306" s="93">
        <f t="shared" si="76"/>
        <v>0</v>
      </c>
      <c r="V306" s="3">
        <v>0</v>
      </c>
    </row>
    <row r="307" spans="21:22" hidden="1">
      <c r="U307" s="93">
        <f t="shared" si="76"/>
        <v>0</v>
      </c>
      <c r="V307" s="3">
        <v>0</v>
      </c>
    </row>
    <row r="308" spans="21:22" hidden="1">
      <c r="U308" s="93">
        <f t="shared" si="76"/>
        <v>0</v>
      </c>
      <c r="V308" s="3">
        <v>0</v>
      </c>
    </row>
    <row r="309" spans="21:22" hidden="1">
      <c r="U309" s="93">
        <f t="shared" si="76"/>
        <v>0</v>
      </c>
      <c r="V309" s="3">
        <v>0</v>
      </c>
    </row>
    <row r="310" spans="21:22" hidden="1">
      <c r="U310" s="93">
        <f t="shared" si="76"/>
        <v>0</v>
      </c>
      <c r="V310" s="3">
        <v>0</v>
      </c>
    </row>
    <row r="311" spans="21:22" hidden="1">
      <c r="U311" s="93">
        <f t="shared" si="76"/>
        <v>0</v>
      </c>
      <c r="V311" s="3">
        <v>0</v>
      </c>
    </row>
    <row r="312" spans="21:22" hidden="1">
      <c r="U312" s="93">
        <f t="shared" si="76"/>
        <v>0</v>
      </c>
      <c r="V312" s="3">
        <v>0</v>
      </c>
    </row>
    <row r="313" spans="21:22" hidden="1">
      <c r="U313" s="93">
        <f t="shared" si="76"/>
        <v>0</v>
      </c>
      <c r="V313" s="3">
        <v>0</v>
      </c>
    </row>
    <row r="314" spans="21:22" hidden="1">
      <c r="U314" s="93">
        <f t="shared" si="76"/>
        <v>0</v>
      </c>
      <c r="V314" s="3">
        <v>0</v>
      </c>
    </row>
    <row r="315" spans="21:22" hidden="1">
      <c r="U315" s="93">
        <f t="shared" si="76"/>
        <v>0</v>
      </c>
      <c r="V315" s="3">
        <v>0</v>
      </c>
    </row>
    <row r="316" spans="21:22" hidden="1">
      <c r="U316" s="93">
        <f t="shared" si="76"/>
        <v>0</v>
      </c>
      <c r="V316" s="3">
        <v>0</v>
      </c>
    </row>
    <row r="317" spans="21:22" hidden="1">
      <c r="U317" s="93">
        <f t="shared" si="76"/>
        <v>0</v>
      </c>
      <c r="V317" s="3">
        <v>0</v>
      </c>
    </row>
    <row r="318" spans="21:22" hidden="1">
      <c r="U318" s="93">
        <f t="shared" si="76"/>
        <v>0</v>
      </c>
      <c r="V318" s="3">
        <v>0</v>
      </c>
    </row>
    <row r="319" spans="21:22" hidden="1">
      <c r="U319" s="93">
        <f t="shared" si="76"/>
        <v>0</v>
      </c>
      <c r="V319" s="3">
        <v>0</v>
      </c>
    </row>
    <row r="320" spans="21:22" hidden="1">
      <c r="U320" s="93">
        <f t="shared" si="76"/>
        <v>0</v>
      </c>
      <c r="V320" s="3">
        <v>0</v>
      </c>
    </row>
    <row r="321" spans="21:22" hidden="1">
      <c r="U321" s="93">
        <f t="shared" si="76"/>
        <v>0</v>
      </c>
      <c r="V321" s="3">
        <v>0</v>
      </c>
    </row>
    <row r="322" spans="21:22" hidden="1">
      <c r="U322" s="93">
        <f t="shared" si="76"/>
        <v>0</v>
      </c>
      <c r="V322" s="3">
        <v>0</v>
      </c>
    </row>
    <row r="323" spans="21:22" hidden="1">
      <c r="U323" s="93">
        <f t="shared" si="76"/>
        <v>0</v>
      </c>
      <c r="V323" s="3">
        <v>0</v>
      </c>
    </row>
    <row r="324" spans="21:22" hidden="1">
      <c r="U324" s="93">
        <f t="shared" si="76"/>
        <v>0</v>
      </c>
      <c r="V324" s="3">
        <v>0</v>
      </c>
    </row>
    <row r="325" spans="21:22" hidden="1">
      <c r="U325" s="93">
        <f t="shared" si="76"/>
        <v>0</v>
      </c>
      <c r="V325" s="3">
        <v>0</v>
      </c>
    </row>
    <row r="326" spans="21:22" hidden="1">
      <c r="U326" s="93">
        <f t="shared" si="76"/>
        <v>0</v>
      </c>
      <c r="V326" s="3">
        <v>0</v>
      </c>
    </row>
    <row r="327" spans="21:22" hidden="1">
      <c r="U327" s="93">
        <f t="shared" si="76"/>
        <v>0</v>
      </c>
      <c r="V327" s="3">
        <v>0</v>
      </c>
    </row>
    <row r="328" spans="21:22" hidden="1">
      <c r="U328" s="93">
        <f t="shared" si="76"/>
        <v>0</v>
      </c>
      <c r="V328" s="3">
        <v>0</v>
      </c>
    </row>
    <row r="329" spans="21:22" hidden="1">
      <c r="U329" s="93">
        <f t="shared" ref="U329:U392" si="77">IF(NOT(ISBLANK(C329)), 1, 0)</f>
        <v>0</v>
      </c>
      <c r="V329" s="3">
        <v>0</v>
      </c>
    </row>
    <row r="330" spans="21:22" hidden="1">
      <c r="U330" s="93">
        <f t="shared" si="77"/>
        <v>0</v>
      </c>
      <c r="V330" s="3">
        <v>0</v>
      </c>
    </row>
    <row r="331" spans="21:22" hidden="1">
      <c r="U331" s="93">
        <f t="shared" si="77"/>
        <v>0</v>
      </c>
      <c r="V331" s="3">
        <v>0</v>
      </c>
    </row>
    <row r="332" spans="21:22" hidden="1">
      <c r="U332" s="93">
        <f t="shared" si="77"/>
        <v>0</v>
      </c>
      <c r="V332" s="3">
        <v>0</v>
      </c>
    </row>
    <row r="333" spans="21:22" hidden="1">
      <c r="U333" s="93">
        <f t="shared" si="77"/>
        <v>0</v>
      </c>
      <c r="V333" s="3">
        <v>0</v>
      </c>
    </row>
    <row r="334" spans="21:22" hidden="1">
      <c r="U334" s="93">
        <f t="shared" si="77"/>
        <v>0</v>
      </c>
      <c r="V334" s="3">
        <v>0</v>
      </c>
    </row>
    <row r="335" spans="21:22" hidden="1">
      <c r="U335" s="93">
        <f t="shared" si="77"/>
        <v>0</v>
      </c>
      <c r="V335" s="3">
        <v>0</v>
      </c>
    </row>
    <row r="336" spans="21:22" hidden="1">
      <c r="U336" s="93">
        <f t="shared" si="77"/>
        <v>0</v>
      </c>
      <c r="V336" s="3">
        <v>0</v>
      </c>
    </row>
    <row r="337" spans="21:22" hidden="1">
      <c r="U337" s="93">
        <f t="shared" si="77"/>
        <v>0</v>
      </c>
      <c r="V337" s="3">
        <v>0</v>
      </c>
    </row>
    <row r="338" spans="21:22" hidden="1">
      <c r="U338" s="93">
        <f t="shared" si="77"/>
        <v>0</v>
      </c>
      <c r="V338" s="3">
        <v>0</v>
      </c>
    </row>
    <row r="339" spans="21:22" hidden="1">
      <c r="U339" s="93">
        <f t="shared" si="77"/>
        <v>0</v>
      </c>
      <c r="V339" s="3">
        <v>0</v>
      </c>
    </row>
    <row r="340" spans="21:22" hidden="1">
      <c r="U340" s="93">
        <f t="shared" si="77"/>
        <v>0</v>
      </c>
      <c r="V340" s="3">
        <v>0</v>
      </c>
    </row>
    <row r="341" spans="21:22" hidden="1">
      <c r="U341" s="93">
        <f t="shared" si="77"/>
        <v>0</v>
      </c>
      <c r="V341" s="3">
        <v>0</v>
      </c>
    </row>
    <row r="342" spans="21:22" hidden="1">
      <c r="U342" s="93">
        <f t="shared" si="77"/>
        <v>0</v>
      </c>
      <c r="V342" s="3">
        <v>0</v>
      </c>
    </row>
    <row r="343" spans="21:22" hidden="1">
      <c r="U343" s="93">
        <f t="shared" si="77"/>
        <v>0</v>
      </c>
      <c r="V343" s="3">
        <v>0</v>
      </c>
    </row>
    <row r="344" spans="21:22" hidden="1">
      <c r="U344" s="93">
        <f t="shared" si="77"/>
        <v>0</v>
      </c>
      <c r="V344" s="3">
        <v>0</v>
      </c>
    </row>
    <row r="345" spans="21:22" hidden="1">
      <c r="U345" s="93">
        <f t="shared" si="77"/>
        <v>0</v>
      </c>
      <c r="V345" s="3">
        <v>0</v>
      </c>
    </row>
    <row r="346" spans="21:22" hidden="1">
      <c r="U346" s="93">
        <f t="shared" si="77"/>
        <v>0</v>
      </c>
      <c r="V346" s="3">
        <v>0</v>
      </c>
    </row>
    <row r="347" spans="21:22" hidden="1">
      <c r="U347" s="93">
        <f t="shared" si="77"/>
        <v>0</v>
      </c>
      <c r="V347" s="3">
        <v>0</v>
      </c>
    </row>
    <row r="348" spans="21:22" hidden="1">
      <c r="U348" s="93">
        <f t="shared" si="77"/>
        <v>0</v>
      </c>
      <c r="V348" s="3">
        <v>0</v>
      </c>
    </row>
    <row r="349" spans="21:22" hidden="1">
      <c r="U349" s="93">
        <f t="shared" si="77"/>
        <v>0</v>
      </c>
      <c r="V349" s="3">
        <v>0</v>
      </c>
    </row>
    <row r="350" spans="21:22" hidden="1">
      <c r="U350" s="93">
        <f t="shared" si="77"/>
        <v>0</v>
      </c>
      <c r="V350" s="3">
        <v>0</v>
      </c>
    </row>
    <row r="351" spans="21:22" hidden="1">
      <c r="U351" s="93">
        <f t="shared" si="77"/>
        <v>0</v>
      </c>
      <c r="V351" s="3">
        <v>0</v>
      </c>
    </row>
    <row r="352" spans="21:22" hidden="1">
      <c r="U352" s="93">
        <f t="shared" si="77"/>
        <v>0</v>
      </c>
      <c r="V352" s="3">
        <v>0</v>
      </c>
    </row>
    <row r="353" spans="21:22" hidden="1">
      <c r="U353" s="93">
        <f t="shared" si="77"/>
        <v>0</v>
      </c>
      <c r="V353" s="3">
        <v>0</v>
      </c>
    </row>
    <row r="354" spans="21:22" hidden="1">
      <c r="U354" s="93">
        <f t="shared" si="77"/>
        <v>0</v>
      </c>
      <c r="V354" s="3">
        <v>0</v>
      </c>
    </row>
    <row r="355" spans="21:22" hidden="1">
      <c r="U355" s="93">
        <f t="shared" si="77"/>
        <v>0</v>
      </c>
      <c r="V355" s="3">
        <v>0</v>
      </c>
    </row>
    <row r="356" spans="21:22" hidden="1">
      <c r="U356" s="93">
        <f t="shared" si="77"/>
        <v>0</v>
      </c>
      <c r="V356" s="3">
        <v>0</v>
      </c>
    </row>
    <row r="357" spans="21:22" hidden="1">
      <c r="U357" s="93">
        <f t="shared" si="77"/>
        <v>0</v>
      </c>
      <c r="V357" s="3">
        <v>0</v>
      </c>
    </row>
    <row r="358" spans="21:22" hidden="1">
      <c r="U358" s="93">
        <f t="shared" si="77"/>
        <v>0</v>
      </c>
      <c r="V358" s="3">
        <v>0</v>
      </c>
    </row>
    <row r="359" spans="21:22" hidden="1">
      <c r="U359" s="93">
        <f t="shared" si="77"/>
        <v>0</v>
      </c>
      <c r="V359" s="3">
        <v>0</v>
      </c>
    </row>
    <row r="360" spans="21:22" hidden="1">
      <c r="U360" s="93">
        <f t="shared" si="77"/>
        <v>0</v>
      </c>
      <c r="V360" s="3">
        <v>0</v>
      </c>
    </row>
    <row r="361" spans="21:22" hidden="1">
      <c r="U361" s="93">
        <f t="shared" si="77"/>
        <v>0</v>
      </c>
      <c r="V361" s="3">
        <v>0</v>
      </c>
    </row>
    <row r="362" spans="21:22" hidden="1">
      <c r="U362" s="93">
        <f t="shared" si="77"/>
        <v>0</v>
      </c>
      <c r="V362" s="3">
        <v>0</v>
      </c>
    </row>
    <row r="363" spans="21:22" hidden="1">
      <c r="U363" s="93">
        <f t="shared" si="77"/>
        <v>0</v>
      </c>
      <c r="V363" s="3">
        <v>0</v>
      </c>
    </row>
    <row r="364" spans="21:22" hidden="1">
      <c r="U364" s="93">
        <f t="shared" si="77"/>
        <v>0</v>
      </c>
      <c r="V364" s="3">
        <v>0</v>
      </c>
    </row>
    <row r="365" spans="21:22" hidden="1">
      <c r="U365" s="93">
        <f t="shared" si="77"/>
        <v>0</v>
      </c>
      <c r="V365" s="3">
        <v>0</v>
      </c>
    </row>
    <row r="366" spans="21:22" hidden="1">
      <c r="U366" s="93">
        <f t="shared" si="77"/>
        <v>0</v>
      </c>
      <c r="V366" s="3">
        <v>0</v>
      </c>
    </row>
    <row r="367" spans="21:22" hidden="1">
      <c r="U367" s="93">
        <f t="shared" si="77"/>
        <v>0</v>
      </c>
      <c r="V367" s="3">
        <v>0</v>
      </c>
    </row>
    <row r="368" spans="21:22" hidden="1">
      <c r="U368" s="93">
        <f t="shared" si="77"/>
        <v>0</v>
      </c>
      <c r="V368" s="3">
        <v>0</v>
      </c>
    </row>
    <row r="369" spans="21:22" hidden="1">
      <c r="U369" s="93">
        <f t="shared" si="77"/>
        <v>0</v>
      </c>
      <c r="V369" s="3">
        <v>0</v>
      </c>
    </row>
    <row r="370" spans="21:22" hidden="1">
      <c r="U370" s="93">
        <f t="shared" si="77"/>
        <v>0</v>
      </c>
      <c r="V370" s="3">
        <v>0</v>
      </c>
    </row>
    <row r="371" spans="21:22" hidden="1">
      <c r="U371" s="93">
        <f t="shared" si="77"/>
        <v>0</v>
      </c>
      <c r="V371" s="3">
        <v>0</v>
      </c>
    </row>
    <row r="372" spans="21:22" hidden="1">
      <c r="U372" s="93">
        <f t="shared" si="77"/>
        <v>0</v>
      </c>
      <c r="V372" s="3">
        <v>0</v>
      </c>
    </row>
    <row r="373" spans="21:22" hidden="1">
      <c r="U373" s="93">
        <f t="shared" si="77"/>
        <v>0</v>
      </c>
      <c r="V373" s="3">
        <v>0</v>
      </c>
    </row>
    <row r="374" spans="21:22" hidden="1">
      <c r="U374" s="93">
        <f t="shared" si="77"/>
        <v>0</v>
      </c>
      <c r="V374" s="3">
        <v>0</v>
      </c>
    </row>
    <row r="375" spans="21:22" hidden="1">
      <c r="U375" s="93">
        <f t="shared" si="77"/>
        <v>0</v>
      </c>
      <c r="V375" s="3">
        <v>0</v>
      </c>
    </row>
    <row r="376" spans="21:22" hidden="1">
      <c r="U376" s="93">
        <f t="shared" si="77"/>
        <v>0</v>
      </c>
      <c r="V376" s="3">
        <v>0</v>
      </c>
    </row>
    <row r="377" spans="21:22" hidden="1">
      <c r="U377" s="93">
        <f t="shared" si="77"/>
        <v>0</v>
      </c>
      <c r="V377" s="3">
        <v>0</v>
      </c>
    </row>
    <row r="378" spans="21:22" hidden="1">
      <c r="U378" s="93">
        <f t="shared" si="77"/>
        <v>0</v>
      </c>
      <c r="V378" s="3">
        <v>0</v>
      </c>
    </row>
    <row r="379" spans="21:22" hidden="1">
      <c r="U379" s="93">
        <f t="shared" si="77"/>
        <v>0</v>
      </c>
      <c r="V379" s="3">
        <v>0</v>
      </c>
    </row>
    <row r="380" spans="21:22" hidden="1">
      <c r="U380" s="93">
        <f t="shared" si="77"/>
        <v>0</v>
      </c>
      <c r="V380" s="3">
        <v>0</v>
      </c>
    </row>
    <row r="381" spans="21:22" hidden="1">
      <c r="U381" s="93">
        <f t="shared" si="77"/>
        <v>0</v>
      </c>
      <c r="V381" s="3">
        <v>0</v>
      </c>
    </row>
    <row r="382" spans="21:22" hidden="1">
      <c r="U382" s="93">
        <f t="shared" si="77"/>
        <v>0</v>
      </c>
      <c r="V382" s="3">
        <v>0</v>
      </c>
    </row>
    <row r="383" spans="21:22" hidden="1">
      <c r="U383" s="93">
        <f t="shared" si="77"/>
        <v>0</v>
      </c>
      <c r="V383" s="3">
        <v>0</v>
      </c>
    </row>
    <row r="384" spans="21:22" hidden="1">
      <c r="U384" s="93">
        <f t="shared" si="77"/>
        <v>0</v>
      </c>
      <c r="V384" s="3">
        <v>0</v>
      </c>
    </row>
    <row r="385" spans="21:22" hidden="1">
      <c r="U385" s="93">
        <f t="shared" si="77"/>
        <v>0</v>
      </c>
      <c r="V385" s="3">
        <v>0</v>
      </c>
    </row>
    <row r="386" spans="21:22" hidden="1">
      <c r="U386" s="93">
        <f t="shared" si="77"/>
        <v>0</v>
      </c>
      <c r="V386" s="3">
        <v>0</v>
      </c>
    </row>
    <row r="387" spans="21:22" hidden="1">
      <c r="U387" s="93">
        <f t="shared" si="77"/>
        <v>0</v>
      </c>
      <c r="V387" s="3">
        <v>0</v>
      </c>
    </row>
    <row r="388" spans="21:22" hidden="1">
      <c r="U388" s="93">
        <f t="shared" si="77"/>
        <v>0</v>
      </c>
      <c r="V388" s="3">
        <v>0</v>
      </c>
    </row>
    <row r="389" spans="21:22" hidden="1">
      <c r="U389" s="93">
        <f t="shared" si="77"/>
        <v>0</v>
      </c>
      <c r="V389" s="3">
        <v>0</v>
      </c>
    </row>
    <row r="390" spans="21:22" hidden="1">
      <c r="U390" s="93">
        <f t="shared" si="77"/>
        <v>0</v>
      </c>
      <c r="V390" s="3">
        <v>0</v>
      </c>
    </row>
    <row r="391" spans="21:22" hidden="1">
      <c r="U391" s="93">
        <f t="shared" si="77"/>
        <v>0</v>
      </c>
      <c r="V391" s="3">
        <v>0</v>
      </c>
    </row>
    <row r="392" spans="21:22" hidden="1">
      <c r="U392" s="93">
        <f t="shared" si="77"/>
        <v>0</v>
      </c>
      <c r="V392" s="3">
        <v>0</v>
      </c>
    </row>
    <row r="393" spans="21:22" hidden="1">
      <c r="U393" s="93">
        <f t="shared" ref="U393:U456" si="78">IF(NOT(ISBLANK(C393)), 1, 0)</f>
        <v>0</v>
      </c>
      <c r="V393" s="3">
        <v>0</v>
      </c>
    </row>
    <row r="394" spans="21:22" hidden="1">
      <c r="U394" s="93">
        <f t="shared" si="78"/>
        <v>0</v>
      </c>
      <c r="V394" s="3">
        <v>0</v>
      </c>
    </row>
    <row r="395" spans="21:22" hidden="1">
      <c r="U395" s="93">
        <f t="shared" si="78"/>
        <v>0</v>
      </c>
      <c r="V395" s="3">
        <v>0</v>
      </c>
    </row>
    <row r="396" spans="21:22" hidden="1">
      <c r="U396" s="93">
        <f t="shared" si="78"/>
        <v>0</v>
      </c>
      <c r="V396" s="3">
        <v>0</v>
      </c>
    </row>
    <row r="397" spans="21:22" hidden="1">
      <c r="U397" s="93">
        <f t="shared" si="78"/>
        <v>0</v>
      </c>
      <c r="V397" s="3">
        <v>0</v>
      </c>
    </row>
    <row r="398" spans="21:22" hidden="1">
      <c r="U398" s="93">
        <f t="shared" si="78"/>
        <v>0</v>
      </c>
      <c r="V398" s="3">
        <v>0</v>
      </c>
    </row>
    <row r="399" spans="21:22" hidden="1">
      <c r="U399" s="93">
        <f t="shared" si="78"/>
        <v>0</v>
      </c>
      <c r="V399" s="3">
        <v>0</v>
      </c>
    </row>
    <row r="400" spans="21:22" hidden="1">
      <c r="U400" s="93">
        <f t="shared" si="78"/>
        <v>0</v>
      </c>
      <c r="V400" s="3">
        <v>0</v>
      </c>
    </row>
    <row r="401" spans="21:22" hidden="1">
      <c r="U401" s="93">
        <f t="shared" si="78"/>
        <v>0</v>
      </c>
      <c r="V401" s="3">
        <v>0</v>
      </c>
    </row>
    <row r="402" spans="21:22" hidden="1">
      <c r="U402" s="93">
        <f t="shared" si="78"/>
        <v>0</v>
      </c>
      <c r="V402" s="3">
        <v>0</v>
      </c>
    </row>
    <row r="403" spans="21:22" hidden="1">
      <c r="U403" s="93">
        <f t="shared" si="78"/>
        <v>0</v>
      </c>
      <c r="V403" s="3">
        <v>0</v>
      </c>
    </row>
    <row r="404" spans="21:22" hidden="1">
      <c r="U404" s="93">
        <f t="shared" si="78"/>
        <v>0</v>
      </c>
      <c r="V404" s="3">
        <v>0</v>
      </c>
    </row>
    <row r="405" spans="21:22" hidden="1">
      <c r="U405" s="93">
        <f t="shared" si="78"/>
        <v>0</v>
      </c>
      <c r="V405" s="3">
        <v>0</v>
      </c>
    </row>
    <row r="406" spans="21:22" hidden="1">
      <c r="U406" s="93">
        <f t="shared" si="78"/>
        <v>0</v>
      </c>
      <c r="V406" s="3">
        <v>0</v>
      </c>
    </row>
    <row r="407" spans="21:22" hidden="1">
      <c r="U407" s="93">
        <f t="shared" si="78"/>
        <v>0</v>
      </c>
      <c r="V407" s="3">
        <v>0</v>
      </c>
    </row>
    <row r="408" spans="21:22" hidden="1">
      <c r="U408" s="93">
        <f t="shared" si="78"/>
        <v>0</v>
      </c>
      <c r="V408" s="3">
        <v>0</v>
      </c>
    </row>
    <row r="409" spans="21:22" hidden="1">
      <c r="U409" s="93">
        <f t="shared" si="78"/>
        <v>0</v>
      </c>
      <c r="V409" s="3">
        <v>0</v>
      </c>
    </row>
    <row r="410" spans="21:22" hidden="1">
      <c r="U410" s="93">
        <f t="shared" si="78"/>
        <v>0</v>
      </c>
      <c r="V410" s="3">
        <v>0</v>
      </c>
    </row>
    <row r="411" spans="21:22" hidden="1">
      <c r="U411" s="93">
        <f t="shared" si="78"/>
        <v>0</v>
      </c>
      <c r="V411" s="3">
        <v>0</v>
      </c>
    </row>
    <row r="412" spans="21:22" hidden="1">
      <c r="U412" s="93">
        <f t="shared" si="78"/>
        <v>0</v>
      </c>
      <c r="V412" s="3">
        <v>0</v>
      </c>
    </row>
    <row r="413" spans="21:22" hidden="1">
      <c r="U413" s="93">
        <f t="shared" si="78"/>
        <v>0</v>
      </c>
      <c r="V413" s="3">
        <v>0</v>
      </c>
    </row>
    <row r="414" spans="21:22" hidden="1">
      <c r="U414" s="93">
        <f t="shared" si="78"/>
        <v>0</v>
      </c>
      <c r="V414" s="3">
        <v>0</v>
      </c>
    </row>
    <row r="415" spans="21:22" hidden="1">
      <c r="U415" s="93">
        <f t="shared" si="78"/>
        <v>0</v>
      </c>
      <c r="V415" s="3">
        <v>0</v>
      </c>
    </row>
    <row r="416" spans="21:22" hidden="1">
      <c r="U416" s="93">
        <f t="shared" si="78"/>
        <v>0</v>
      </c>
      <c r="V416" s="3">
        <v>0</v>
      </c>
    </row>
    <row r="417" spans="21:22" hidden="1">
      <c r="U417" s="93">
        <f t="shared" si="78"/>
        <v>0</v>
      </c>
      <c r="V417" s="3">
        <v>0</v>
      </c>
    </row>
    <row r="418" spans="21:22" hidden="1">
      <c r="U418" s="93">
        <f t="shared" si="78"/>
        <v>0</v>
      </c>
      <c r="V418" s="3">
        <v>0</v>
      </c>
    </row>
    <row r="419" spans="21:22" hidden="1">
      <c r="U419" s="93">
        <f t="shared" si="78"/>
        <v>0</v>
      </c>
      <c r="V419" s="3">
        <v>0</v>
      </c>
    </row>
    <row r="420" spans="21:22" hidden="1">
      <c r="U420" s="93">
        <f t="shared" si="78"/>
        <v>0</v>
      </c>
      <c r="V420" s="3">
        <v>0</v>
      </c>
    </row>
    <row r="421" spans="21:22" hidden="1">
      <c r="U421" s="93">
        <f t="shared" si="78"/>
        <v>0</v>
      </c>
      <c r="V421" s="3">
        <v>0</v>
      </c>
    </row>
    <row r="422" spans="21:22" hidden="1">
      <c r="U422" s="93">
        <f t="shared" si="78"/>
        <v>0</v>
      </c>
      <c r="V422" s="3">
        <v>0</v>
      </c>
    </row>
    <row r="423" spans="21:22" hidden="1">
      <c r="U423" s="93">
        <f t="shared" si="78"/>
        <v>0</v>
      </c>
      <c r="V423" s="3">
        <v>0</v>
      </c>
    </row>
    <row r="424" spans="21:22" hidden="1">
      <c r="U424" s="93">
        <f t="shared" si="78"/>
        <v>0</v>
      </c>
      <c r="V424" s="3">
        <v>0</v>
      </c>
    </row>
    <row r="425" spans="21:22" hidden="1">
      <c r="U425" s="93">
        <f t="shared" si="78"/>
        <v>0</v>
      </c>
      <c r="V425" s="3">
        <v>0</v>
      </c>
    </row>
    <row r="426" spans="21:22" hidden="1">
      <c r="U426" s="93">
        <f t="shared" si="78"/>
        <v>0</v>
      </c>
      <c r="V426" s="3">
        <v>0</v>
      </c>
    </row>
    <row r="427" spans="21:22" hidden="1">
      <c r="U427" s="93">
        <f t="shared" si="78"/>
        <v>0</v>
      </c>
      <c r="V427" s="3">
        <v>0</v>
      </c>
    </row>
    <row r="428" spans="21:22" hidden="1">
      <c r="U428" s="93">
        <f t="shared" si="78"/>
        <v>0</v>
      </c>
      <c r="V428" s="3">
        <v>0</v>
      </c>
    </row>
    <row r="429" spans="21:22" hidden="1">
      <c r="U429" s="93">
        <f t="shared" si="78"/>
        <v>0</v>
      </c>
      <c r="V429" s="3">
        <v>0</v>
      </c>
    </row>
    <row r="430" spans="21:22" hidden="1">
      <c r="U430" s="93">
        <f t="shared" si="78"/>
        <v>0</v>
      </c>
      <c r="V430" s="3">
        <v>0</v>
      </c>
    </row>
    <row r="431" spans="21:22" ht="7.5" hidden="1" customHeight="1">
      <c r="U431" s="93">
        <f t="shared" si="78"/>
        <v>0</v>
      </c>
      <c r="V431" s="3">
        <v>0</v>
      </c>
    </row>
    <row r="432" spans="21:22" ht="13.5" hidden="1" customHeight="1">
      <c r="U432" s="93">
        <f t="shared" si="78"/>
        <v>0</v>
      </c>
      <c r="V432" s="3">
        <v>0</v>
      </c>
    </row>
    <row r="433" spans="21:22" hidden="1">
      <c r="U433" s="93">
        <f t="shared" si="78"/>
        <v>0</v>
      </c>
      <c r="V433" s="3">
        <v>0</v>
      </c>
    </row>
    <row r="434" spans="21:22" hidden="1">
      <c r="U434" s="93">
        <f t="shared" si="78"/>
        <v>0</v>
      </c>
      <c r="V434" s="3">
        <v>0</v>
      </c>
    </row>
    <row r="435" spans="21:22" hidden="1">
      <c r="U435" s="93">
        <f t="shared" si="78"/>
        <v>0</v>
      </c>
      <c r="V435" s="3">
        <v>0</v>
      </c>
    </row>
    <row r="436" spans="21:22" hidden="1">
      <c r="U436" s="93">
        <f t="shared" si="78"/>
        <v>0</v>
      </c>
      <c r="V436" s="3">
        <v>0</v>
      </c>
    </row>
    <row r="437" spans="21:22" hidden="1">
      <c r="U437" s="93">
        <f t="shared" si="78"/>
        <v>0</v>
      </c>
      <c r="V437" s="3">
        <v>0</v>
      </c>
    </row>
    <row r="438" spans="21:22" hidden="1">
      <c r="U438" s="93">
        <f t="shared" si="78"/>
        <v>0</v>
      </c>
      <c r="V438" s="3">
        <v>0</v>
      </c>
    </row>
    <row r="439" spans="21:22" hidden="1">
      <c r="U439" s="93">
        <f t="shared" si="78"/>
        <v>0</v>
      </c>
      <c r="V439" s="3">
        <v>0</v>
      </c>
    </row>
    <row r="440" spans="21:22" hidden="1">
      <c r="U440" s="93">
        <f t="shared" si="78"/>
        <v>0</v>
      </c>
      <c r="V440" s="3">
        <v>0</v>
      </c>
    </row>
    <row r="441" spans="21:22" hidden="1">
      <c r="U441" s="93">
        <f t="shared" si="78"/>
        <v>0</v>
      </c>
      <c r="V441" s="3">
        <v>0</v>
      </c>
    </row>
    <row r="442" spans="21:22" hidden="1">
      <c r="U442" s="93">
        <f t="shared" si="78"/>
        <v>0</v>
      </c>
      <c r="V442" s="3">
        <v>0</v>
      </c>
    </row>
    <row r="443" spans="21:22" hidden="1">
      <c r="U443" s="93">
        <f t="shared" si="78"/>
        <v>0</v>
      </c>
      <c r="V443" s="3">
        <v>0</v>
      </c>
    </row>
    <row r="444" spans="21:22" hidden="1">
      <c r="U444" s="93">
        <f t="shared" si="78"/>
        <v>0</v>
      </c>
      <c r="V444" s="3">
        <v>0</v>
      </c>
    </row>
    <row r="445" spans="21:22" hidden="1">
      <c r="U445" s="93">
        <f t="shared" si="78"/>
        <v>0</v>
      </c>
      <c r="V445" s="3">
        <v>0</v>
      </c>
    </row>
    <row r="446" spans="21:22" hidden="1">
      <c r="U446" s="93">
        <f t="shared" si="78"/>
        <v>0</v>
      </c>
      <c r="V446" s="3">
        <v>0</v>
      </c>
    </row>
    <row r="447" spans="21:22" hidden="1">
      <c r="U447" s="93">
        <f t="shared" si="78"/>
        <v>0</v>
      </c>
      <c r="V447" s="3">
        <v>0</v>
      </c>
    </row>
    <row r="448" spans="21:22" hidden="1">
      <c r="U448" s="93">
        <f t="shared" si="78"/>
        <v>0</v>
      </c>
      <c r="V448" s="3">
        <v>0</v>
      </c>
    </row>
    <row r="449" spans="21:22" hidden="1">
      <c r="U449" s="93">
        <f t="shared" si="78"/>
        <v>0</v>
      </c>
      <c r="V449" s="3">
        <v>0</v>
      </c>
    </row>
    <row r="450" spans="21:22" hidden="1">
      <c r="U450" s="93">
        <f t="shared" si="78"/>
        <v>0</v>
      </c>
      <c r="V450" s="3">
        <v>0</v>
      </c>
    </row>
    <row r="451" spans="21:22" hidden="1">
      <c r="U451" s="93">
        <f t="shared" si="78"/>
        <v>0</v>
      </c>
      <c r="V451" s="3">
        <v>0</v>
      </c>
    </row>
    <row r="452" spans="21:22" hidden="1">
      <c r="U452" s="93">
        <f t="shared" si="78"/>
        <v>0</v>
      </c>
      <c r="V452" s="3">
        <v>0</v>
      </c>
    </row>
    <row r="453" spans="21:22" hidden="1">
      <c r="U453" s="93">
        <f t="shared" si="78"/>
        <v>0</v>
      </c>
      <c r="V453" s="3">
        <v>0</v>
      </c>
    </row>
    <row r="454" spans="21:22" hidden="1">
      <c r="U454" s="93">
        <f t="shared" si="78"/>
        <v>0</v>
      </c>
      <c r="V454" s="3">
        <v>0</v>
      </c>
    </row>
    <row r="455" spans="21:22" hidden="1">
      <c r="U455" s="93">
        <f t="shared" si="78"/>
        <v>0</v>
      </c>
      <c r="V455" s="3">
        <v>0</v>
      </c>
    </row>
    <row r="456" spans="21:22" hidden="1">
      <c r="U456" s="93">
        <f t="shared" si="78"/>
        <v>0</v>
      </c>
      <c r="V456" s="3">
        <v>0</v>
      </c>
    </row>
    <row r="457" spans="21:22" hidden="1">
      <c r="U457" s="93">
        <f t="shared" ref="U457:U470" si="79">IF(NOT(ISBLANK(C457)), 1, 0)</f>
        <v>0</v>
      </c>
      <c r="V457" s="3">
        <v>0</v>
      </c>
    </row>
    <row r="458" spans="21:22" hidden="1">
      <c r="U458" s="93">
        <f t="shared" si="79"/>
        <v>0</v>
      </c>
      <c r="V458" s="3">
        <v>0</v>
      </c>
    </row>
    <row r="459" spans="21:22" hidden="1">
      <c r="U459" s="93">
        <f t="shared" si="79"/>
        <v>0</v>
      </c>
      <c r="V459" s="3">
        <v>0</v>
      </c>
    </row>
    <row r="460" spans="21:22" hidden="1">
      <c r="U460" s="93">
        <f t="shared" si="79"/>
        <v>0</v>
      </c>
      <c r="V460" s="3">
        <v>0</v>
      </c>
    </row>
    <row r="461" spans="21:22" hidden="1">
      <c r="U461" s="93">
        <f t="shared" si="79"/>
        <v>0</v>
      </c>
      <c r="V461" s="3">
        <v>0</v>
      </c>
    </row>
    <row r="462" spans="21:22" hidden="1">
      <c r="U462" s="93">
        <f t="shared" si="79"/>
        <v>0</v>
      </c>
      <c r="V462" s="3">
        <v>0</v>
      </c>
    </row>
    <row r="463" spans="21:22" hidden="1">
      <c r="U463" s="93">
        <f t="shared" si="79"/>
        <v>0</v>
      </c>
      <c r="V463" s="3">
        <v>0</v>
      </c>
    </row>
    <row r="464" spans="21:22" hidden="1">
      <c r="U464" s="93">
        <f t="shared" si="79"/>
        <v>0</v>
      </c>
      <c r="V464" s="3">
        <v>0</v>
      </c>
    </row>
    <row r="465" spans="21:22" hidden="1">
      <c r="U465" s="93">
        <f t="shared" si="79"/>
        <v>0</v>
      </c>
      <c r="V465" s="3">
        <v>0</v>
      </c>
    </row>
    <row r="466" spans="21:22" hidden="1">
      <c r="U466" s="93">
        <f t="shared" si="79"/>
        <v>0</v>
      </c>
      <c r="V466" s="3">
        <v>0</v>
      </c>
    </row>
    <row r="467" spans="21:22" hidden="1">
      <c r="U467" s="93">
        <f t="shared" si="79"/>
        <v>0</v>
      </c>
      <c r="V467" s="3">
        <v>0</v>
      </c>
    </row>
    <row r="468" spans="21:22" hidden="1">
      <c r="U468" s="93">
        <f t="shared" si="79"/>
        <v>0</v>
      </c>
      <c r="V468" s="3">
        <v>0</v>
      </c>
    </row>
    <row r="469" spans="21:22" hidden="1">
      <c r="U469" s="93">
        <f t="shared" si="79"/>
        <v>0</v>
      </c>
      <c r="V469" s="3">
        <v>0</v>
      </c>
    </row>
    <row r="470" spans="21:22" hidden="1">
      <c r="U470" s="93">
        <f t="shared" si="79"/>
        <v>0</v>
      </c>
      <c r="V470" s="3">
        <v>0</v>
      </c>
    </row>
  </sheetData>
  <conditionalFormatting sqref="G105:G106 L195">
    <cfRule type="cellIs" dxfId="73" priority="14" stopIfTrue="1" operator="equal">
      <formula>#REF!</formula>
    </cfRule>
  </conditionalFormatting>
  <conditionalFormatting sqref="G80:K80 G82:K84 R89:S89">
    <cfRule type="cellIs" dxfId="72" priority="10" stopIfTrue="1" operator="equal">
      <formula>#REF!</formula>
    </cfRule>
  </conditionalFormatting>
  <conditionalFormatting sqref="G90:K101">
    <cfRule type="cellIs" dxfId="71" priority="4" stopIfTrue="1" operator="equal">
      <formula>#REF!</formula>
    </cfRule>
  </conditionalFormatting>
  <conditionalFormatting sqref="G90:S102 G5:K5 L71:S74 G74:K74 G81:S81 G87:S87 G89:P89 G106:S106 G113:S113">
    <cfRule type="cellIs" dxfId="70" priority="6" stopIfTrue="1" operator="equal">
      <formula>#REF!</formula>
    </cfRule>
  </conditionalFormatting>
  <conditionalFormatting sqref="G172:S172">
    <cfRule type="cellIs" dxfId="69" priority="7" stopIfTrue="1" operator="equal">
      <formula>#REF!</formula>
    </cfRule>
  </conditionalFormatting>
  <conditionalFormatting sqref="K7">
    <cfRule type="cellIs" dxfId="68" priority="5" stopIfTrue="1" operator="equal">
      <formula>#REF!</formula>
    </cfRule>
  </conditionalFormatting>
  <conditionalFormatting sqref="L5 L7 L57 L121 L194">
    <cfRule type="cellIs" dxfId="67" priority="15" stopIfTrue="1" operator="equal">
      <formula>#REF!</formula>
    </cfRule>
  </conditionalFormatting>
  <conditionalFormatting sqref="L60:S69">
    <cfRule type="cellIs" dxfId="66" priority="3" stopIfTrue="1" operator="equal">
      <formula>#REF!</formula>
    </cfRule>
  </conditionalFormatting>
  <conditionalFormatting sqref="L78:S78 L104:S104">
    <cfRule type="cellIs" dxfId="65" priority="9" stopIfTrue="1" operator="equal">
      <formula>#REF!</formula>
    </cfRule>
  </conditionalFormatting>
  <conditionalFormatting sqref="L90:S93">
    <cfRule type="cellIs" dxfId="64" priority="8" stopIfTrue="1" operator="equal">
      <formula>#REF!</formula>
    </cfRule>
  </conditionalFormatting>
  <conditionalFormatting sqref="L95:S97">
    <cfRule type="cellIs" dxfId="63" priority="11" stopIfTrue="1" operator="equal">
      <formula>#REF!</formula>
    </cfRule>
  </conditionalFormatting>
  <conditionalFormatting sqref="L101:S101">
    <cfRule type="cellIs" dxfId="62" priority="1" stopIfTrue="1" operator="equal">
      <formula>#REF!</formula>
    </cfRule>
  </conditionalFormatting>
  <conditionalFormatting sqref="L110:S111">
    <cfRule type="cellIs" dxfId="61" priority="2" stopIfTrue="1" operator="equal">
      <formula>#REF!</formula>
    </cfRule>
  </conditionalFormatting>
  <conditionalFormatting sqref="Q89:Q92">
    <cfRule type="cellIs" dxfId="60" priority="12" stopIfTrue="1" operator="equal">
      <formula>#REF!</formula>
    </cfRule>
  </conditionalFormatting>
  <conditionalFormatting sqref="U2:V2">
    <cfRule type="cellIs" dxfId="59" priority="13" operator="equal">
      <formula>"Check"</formula>
    </cfRule>
  </conditionalFormatting>
  <pageMargins left="0.74803149606299213" right="0.74803149606299213" top="0.98425196850393704" bottom="0.98425196850393704" header="0.51181102362204722" footer="0.51181102362204722"/>
  <pageSetup orientation="portrait" r:id="rId1"/>
  <headerFooter alignWithMargins="0">
    <oddFooter>&amp;LIB-Competition Preliminary Case &amp;RPage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86654A"/>
  </sheetPr>
  <dimension ref="A1:IY435"/>
  <sheetViews>
    <sheetView showGridLines="0" zoomScaleSheetLayoutView="55" workbookViewId="0">
      <pane xSplit="5" ySplit="7" topLeftCell="F8" activePane="bottomRight" state="frozen"/>
      <selection pane="topRight" activeCell="V123" sqref="V123"/>
      <selection pane="bottomLeft" activeCell="V123" sqref="V123"/>
      <selection pane="bottomRight" activeCell="L197" sqref="L197"/>
    </sheetView>
  </sheetViews>
  <sheetFormatPr defaultColWidth="0" defaultRowHeight="13.2" zeroHeight="1"/>
  <cols>
    <col min="1" max="1" width="2.33203125" style="3" customWidth="1"/>
    <col min="2" max="2" width="0.6640625" style="3" customWidth="1"/>
    <col min="3" max="3" width="36.44140625" style="3" customWidth="1"/>
    <col min="4" max="4" width="5.33203125" style="3" customWidth="1"/>
    <col min="5" max="5" width="8.44140625" style="3" customWidth="1"/>
    <col min="6" max="6" width="9" style="3" customWidth="1"/>
    <col min="7" max="9" width="6.44140625" style="3" customWidth="1"/>
    <col min="10" max="10" width="7.33203125" style="3" bestFit="1" customWidth="1"/>
    <col min="11" max="19" width="6.44140625" style="3" customWidth="1"/>
    <col min="20" max="20" width="2.44140625" style="2" customWidth="1"/>
    <col min="21" max="22" width="4.44140625" style="2" customWidth="1"/>
    <col min="23" max="23" width="3.44140625" style="2" hidden="1" customWidth="1"/>
    <col min="24" max="99" width="5.44140625" style="2" hidden="1" customWidth="1"/>
    <col min="100" max="258" width="5.44140625" style="3" hidden="1" customWidth="1"/>
    <col min="259" max="16384" width="9.44140625" style="3" hidden="1"/>
  </cols>
  <sheetData>
    <row r="1" spans="1:258" s="26" customFormat="1">
      <c r="A1" s="36"/>
      <c r="B1" s="36" t="str">
        <f>'DCF - Assumptions (old)'!$F$8&amp;" | Discounted Cash Flows - Assumptions"</f>
        <v>Bumble INC | Discounted Cash Flows - Assumptions</v>
      </c>
      <c r="C1" s="35"/>
      <c r="U1" s="34" t="str">
        <f>IF(U5=V5,"OK","Check")</f>
        <v>OK</v>
      </c>
      <c r="V1" s="34" t="str">
        <f>IF(U6=V6,"OK","Check")</f>
        <v>OK</v>
      </c>
    </row>
    <row r="2" spans="1:258" s="32" customFormat="1" ht="2.25" customHeight="1">
      <c r="A2" s="33"/>
      <c r="B2" s="33"/>
      <c r="T2" s="31"/>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row>
    <row r="3" spans="1:258" s="28" customFormat="1" ht="3" customHeight="1">
      <c r="A3" s="29"/>
      <c r="B3" s="29"/>
      <c r="T3" s="27"/>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row>
    <row r="4" spans="1:258" ht="11.25" customHeight="1">
      <c r="B4" s="115"/>
      <c r="G4" s="847"/>
      <c r="H4" s="847"/>
      <c r="I4" s="847"/>
      <c r="J4" s="847"/>
      <c r="K4" s="847"/>
      <c r="T4" s="133"/>
    </row>
    <row r="5" spans="1:258">
      <c r="C5" s="807" t="s">
        <v>1014</v>
      </c>
      <c r="D5" s="808"/>
      <c r="E5" s="808"/>
      <c r="F5" s="808"/>
      <c r="G5" s="808"/>
      <c r="H5" s="808"/>
      <c r="I5" s="808"/>
      <c r="J5" s="808"/>
      <c r="K5" s="808"/>
      <c r="L5" s="808"/>
      <c r="M5" s="808"/>
      <c r="N5" s="808"/>
      <c r="O5" s="808"/>
      <c r="P5" s="808"/>
      <c r="Q5" s="808"/>
      <c r="R5" s="808"/>
      <c r="S5" s="808"/>
      <c r="U5" s="93">
        <f>ROWS(C5:C197)</f>
        <v>193</v>
      </c>
      <c r="V5" s="24">
        <v>193</v>
      </c>
    </row>
    <row r="6" spans="1:258" s="2" customFormat="1" ht="13.5" customHeight="1">
      <c r="B6" s="3"/>
      <c r="C6" s="3"/>
      <c r="D6" s="3"/>
      <c r="E6" s="3"/>
      <c r="F6" s="3"/>
      <c r="G6" s="3"/>
      <c r="H6" s="3"/>
      <c r="I6" s="3"/>
      <c r="J6" s="3"/>
      <c r="K6" s="3"/>
      <c r="L6" s="955" t="s">
        <v>1015</v>
      </c>
      <c r="M6" s="956"/>
      <c r="N6" s="956"/>
      <c r="O6" s="956"/>
      <c r="P6" s="956"/>
      <c r="Q6" s="956"/>
      <c r="R6" s="956"/>
      <c r="S6" s="956"/>
      <c r="U6" s="93">
        <f>SUM(U8:U197)</f>
        <v>154</v>
      </c>
      <c r="V6" s="24">
        <v>154</v>
      </c>
    </row>
    <row r="7" spans="1:258" s="2" customFormat="1" ht="13.5" customHeight="1" thickBot="1">
      <c r="B7" s="3"/>
      <c r="C7" s="57"/>
      <c r="D7" s="85" t="s">
        <v>1016</v>
      </c>
      <c r="E7" s="85" t="s">
        <v>1017</v>
      </c>
      <c r="F7" s="57"/>
      <c r="G7" s="85">
        <f>F23</f>
        <v>2019</v>
      </c>
      <c r="H7" s="85">
        <f>IF((G7+1)&lt;='DCF - Assumptions (old)'!$F$24,G7+1," ")</f>
        <v>2020</v>
      </c>
      <c r="I7" s="85">
        <f>IF((H7+1)&lt;='DCF - Assumptions (old)'!$F$24,H7+1," ")</f>
        <v>2021</v>
      </c>
      <c r="J7" s="85">
        <f>IF((I7+1)&lt;='DCF - Assumptions (old)'!$F$24,I7+1," ")</f>
        <v>2022</v>
      </c>
      <c r="K7" s="85">
        <f>IF((J7+1)&lt;='DCF - Assumptions (old)'!$F$24,J7+1," ")</f>
        <v>2023</v>
      </c>
      <c r="L7" s="85">
        <f>IF((K7+1)&lt;='DCF - Assumptions (old)'!$F$24,K7+1," ")</f>
        <v>2024</v>
      </c>
      <c r="M7" s="85">
        <f>IF((L7+1)&lt;='DCF - Assumptions (old)'!$F$24,L7+1," ")</f>
        <v>2025</v>
      </c>
      <c r="N7" s="85">
        <f>IF((M7+1)&lt;='DCF - Assumptions (old)'!$F$24,M7+1," ")</f>
        <v>2026</v>
      </c>
      <c r="O7" s="85">
        <f>IF((N7+1)&lt;='DCF - Assumptions (old)'!$F$24,N7+1," ")</f>
        <v>2027</v>
      </c>
      <c r="P7" s="85">
        <f>IF((O7+1)&lt;='DCF - Assumptions (old)'!$F$24,O7+1," ")</f>
        <v>2028</v>
      </c>
      <c r="Q7" s="85">
        <f>IF((P7+1)&lt;='DCF - Assumptions (old)'!$F$24,P7+1," ")</f>
        <v>2029</v>
      </c>
      <c r="R7" s="85">
        <f>IF((Q7+1)&lt;='DCF - Assumptions (old)'!$F$24,Q7+1," ")</f>
        <v>2030</v>
      </c>
      <c r="S7" s="85">
        <f>IF((R7+1)&lt;='DCF - Assumptions (old)'!$F$24,R7+1," ")</f>
        <v>2031</v>
      </c>
      <c r="T7" s="23"/>
      <c r="U7" s="87"/>
      <c r="V7" s="197"/>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row>
    <row r="8" spans="1:258" s="2" customFormat="1" ht="13.5" customHeight="1">
      <c r="B8" s="3"/>
      <c r="C8" s="3" t="s">
        <v>1018</v>
      </c>
      <c r="D8" s="3" t="s">
        <v>1019</v>
      </c>
      <c r="E8" s="3" t="s">
        <v>1020</v>
      </c>
      <c r="F8" s="3" t="s">
        <v>1021</v>
      </c>
      <c r="G8" s="23"/>
      <c r="H8" s="23"/>
      <c r="I8" s="23"/>
      <c r="J8" s="23"/>
      <c r="K8" s="23"/>
      <c r="L8" s="23"/>
      <c r="M8" s="23"/>
      <c r="N8" s="23"/>
      <c r="O8" s="23"/>
      <c r="P8" s="23"/>
      <c r="Q8" s="23"/>
      <c r="R8" s="23"/>
      <c r="S8" s="23"/>
      <c r="T8" s="23"/>
      <c r="U8" s="93">
        <f t="shared" ref="U8:U120" si="0">IF(NOT(ISBLANK(C8)), 1, 0)</f>
        <v>1</v>
      </c>
      <c r="V8" s="24">
        <v>1</v>
      </c>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c r="IX8" s="23"/>
    </row>
    <row r="9" spans="1:258" ht="13.5" customHeight="1">
      <c r="C9" s="81" t="s">
        <v>1022</v>
      </c>
      <c r="D9" s="3" t="s">
        <v>1023</v>
      </c>
      <c r="E9" s="3" t="s">
        <v>1020</v>
      </c>
      <c r="F9" s="132">
        <v>45657</v>
      </c>
      <c r="U9" s="93">
        <f t="shared" si="0"/>
        <v>1</v>
      </c>
      <c r="V9" s="24">
        <v>1</v>
      </c>
    </row>
    <row r="10" spans="1:258" ht="13.5" customHeight="1">
      <c r="C10" s="81" t="s">
        <v>1024</v>
      </c>
      <c r="D10" s="3" t="s">
        <v>1025</v>
      </c>
      <c r="E10" s="3" t="s">
        <v>1020</v>
      </c>
      <c r="F10" s="130">
        <v>1</v>
      </c>
      <c r="U10" s="93">
        <f t="shared" si="0"/>
        <v>1</v>
      </c>
      <c r="V10" s="24">
        <v>1</v>
      </c>
    </row>
    <row r="11" spans="1:258" ht="13.5" customHeight="1">
      <c r="C11" s="81" t="s">
        <v>1026</v>
      </c>
      <c r="D11" s="3" t="s">
        <v>1025</v>
      </c>
      <c r="E11" s="3" t="s">
        <v>1027</v>
      </c>
      <c r="F11" s="131">
        <f>12/F10</f>
        <v>12</v>
      </c>
      <c r="U11" s="93">
        <f t="shared" si="0"/>
        <v>1</v>
      </c>
      <c r="V11" s="24">
        <v>1</v>
      </c>
    </row>
    <row r="12" spans="1:258" ht="13.5" customHeight="1">
      <c r="C12" s="81" t="s">
        <v>1028</v>
      </c>
      <c r="D12" s="3" t="s">
        <v>1025</v>
      </c>
      <c r="E12" s="3" t="s">
        <v>1027</v>
      </c>
      <c r="F12" s="131">
        <f>365/F10</f>
        <v>365</v>
      </c>
      <c r="U12" s="93">
        <f t="shared" si="0"/>
        <v>1</v>
      </c>
      <c r="V12" s="24">
        <v>1</v>
      </c>
    </row>
    <row r="13" spans="1:258" ht="13.5" customHeight="1">
      <c r="C13" s="81" t="s">
        <v>1029</v>
      </c>
      <c r="D13" s="3" t="s">
        <v>1025</v>
      </c>
      <c r="E13" s="3" t="s">
        <v>1020</v>
      </c>
      <c r="F13" s="130">
        <v>5</v>
      </c>
      <c r="U13" s="93">
        <f t="shared" si="0"/>
        <v>1</v>
      </c>
      <c r="V13" s="24">
        <v>1</v>
      </c>
    </row>
    <row r="14" spans="1:258" ht="13.5" customHeight="1">
      <c r="C14" s="81" t="s">
        <v>1030</v>
      </c>
      <c r="D14" s="3" t="s">
        <v>1025</v>
      </c>
      <c r="E14" s="3" t="s">
        <v>1020</v>
      </c>
      <c r="F14" s="130">
        <v>8</v>
      </c>
      <c r="U14" s="93">
        <f t="shared" si="0"/>
        <v>1</v>
      </c>
      <c r="V14" s="24">
        <v>1</v>
      </c>
    </row>
    <row r="15" spans="1:258" ht="13.5" customHeight="1">
      <c r="C15" s="81" t="s">
        <v>1031</v>
      </c>
      <c r="D15" s="3" t="s">
        <v>1025</v>
      </c>
      <c r="E15" s="3" t="s">
        <v>1020</v>
      </c>
      <c r="F15" s="130">
        <v>12</v>
      </c>
      <c r="U15" s="93">
        <f t="shared" si="0"/>
        <v>1</v>
      </c>
      <c r="V15" s="24">
        <v>1</v>
      </c>
    </row>
    <row r="16" spans="1:258" ht="13.5" customHeight="1">
      <c r="C16" s="81" t="s">
        <v>1032</v>
      </c>
      <c r="D16" s="3" t="s">
        <v>1025</v>
      </c>
      <c r="E16" s="3" t="s">
        <v>1020</v>
      </c>
      <c r="F16" s="130">
        <v>1000</v>
      </c>
      <c r="U16" s="93">
        <f t="shared" si="0"/>
        <v>1</v>
      </c>
      <c r="V16" s="24">
        <v>1</v>
      </c>
    </row>
    <row r="17" spans="1:259" ht="13.5" customHeight="1">
      <c r="C17" s="101" t="s">
        <v>1033</v>
      </c>
      <c r="D17" s="32" t="s">
        <v>1023</v>
      </c>
      <c r="E17" s="32" t="s">
        <v>1020</v>
      </c>
      <c r="F17" s="129">
        <v>45291</v>
      </c>
      <c r="U17" s="93">
        <f t="shared" si="0"/>
        <v>1</v>
      </c>
      <c r="V17" s="24">
        <v>1</v>
      </c>
    </row>
    <row r="18" spans="1:259" ht="13.5" customHeight="1">
      <c r="C18" s="81" t="s">
        <v>1034</v>
      </c>
      <c r="D18" s="3" t="s">
        <v>1023</v>
      </c>
      <c r="E18" s="3" t="s">
        <v>1027</v>
      </c>
      <c r="F18" s="128">
        <f>EOMONTH(F17, 1*F11)</f>
        <v>45657</v>
      </c>
      <c r="U18" s="93">
        <f t="shared" si="0"/>
        <v>1</v>
      </c>
      <c r="V18" s="24">
        <v>1</v>
      </c>
    </row>
    <row r="19" spans="1:259" ht="13.5" customHeight="1">
      <c r="C19" s="81" t="s">
        <v>1035</v>
      </c>
      <c r="D19" s="3" t="s">
        <v>1023</v>
      </c>
      <c r="E19" s="3" t="s">
        <v>1027</v>
      </c>
      <c r="F19" s="128">
        <f>EOMONTH(F17,-(F13-1)*F11)</f>
        <v>43830</v>
      </c>
      <c r="U19" s="93">
        <f t="shared" si="0"/>
        <v>1</v>
      </c>
      <c r="V19" s="24">
        <v>1</v>
      </c>
    </row>
    <row r="20" spans="1:259" ht="13.5" customHeight="1">
      <c r="C20" s="81" t="s">
        <v>1036</v>
      </c>
      <c r="D20" s="3" t="s">
        <v>1023</v>
      </c>
      <c r="E20" s="3" t="s">
        <v>1027</v>
      </c>
      <c r="F20" s="128">
        <f>EOMONTH(F17,F14*F11)</f>
        <v>48213</v>
      </c>
      <c r="U20" s="93">
        <f t="shared" si="0"/>
        <v>1</v>
      </c>
      <c r="V20" s="24">
        <v>1</v>
      </c>
    </row>
    <row r="21" spans="1:259" ht="13.5" customHeight="1">
      <c r="C21" s="101" t="s">
        <v>1037</v>
      </c>
      <c r="D21" s="32" t="s">
        <v>1038</v>
      </c>
      <c r="E21" s="32" t="s">
        <v>1027</v>
      </c>
      <c r="F21" s="127">
        <f>YEAR(F17)</f>
        <v>2023</v>
      </c>
      <c r="U21" s="93">
        <f t="shared" si="0"/>
        <v>1</v>
      </c>
      <c r="V21" s="24">
        <v>1</v>
      </c>
    </row>
    <row r="22" spans="1:259" ht="13.5" customHeight="1">
      <c r="C22" s="81" t="s">
        <v>1039</v>
      </c>
      <c r="D22" s="3" t="s">
        <v>1038</v>
      </c>
      <c r="E22" s="3" t="s">
        <v>1027</v>
      </c>
      <c r="F22" s="73">
        <f>YEAR(F18)</f>
        <v>2024</v>
      </c>
      <c r="U22" s="93">
        <f t="shared" si="0"/>
        <v>1</v>
      </c>
      <c r="V22" s="24">
        <v>1</v>
      </c>
    </row>
    <row r="23" spans="1:259" ht="13.5" customHeight="1">
      <c r="C23" s="81" t="s">
        <v>1040</v>
      </c>
      <c r="D23" s="3" t="s">
        <v>1038</v>
      </c>
      <c r="E23" s="3" t="s">
        <v>1027</v>
      </c>
      <c r="F23" s="911">
        <v>2019</v>
      </c>
      <c r="U23" s="93">
        <f t="shared" si="0"/>
        <v>1</v>
      </c>
      <c r="V23" s="24">
        <v>1</v>
      </c>
    </row>
    <row r="24" spans="1:259" ht="13.5" customHeight="1">
      <c r="C24" s="81" t="s">
        <v>1041</v>
      </c>
      <c r="D24" s="3" t="s">
        <v>1038</v>
      </c>
      <c r="E24" s="3" t="s">
        <v>1027</v>
      </c>
      <c r="F24" s="73">
        <v>2031</v>
      </c>
      <c r="U24" s="93">
        <f t="shared" si="0"/>
        <v>1</v>
      </c>
      <c r="V24" s="24">
        <v>1</v>
      </c>
    </row>
    <row r="25" spans="1:259" ht="13.5" customHeight="1">
      <c r="C25" s="81"/>
      <c r="F25" s="73"/>
      <c r="U25" s="93">
        <f t="shared" si="0"/>
        <v>0</v>
      </c>
      <c r="V25" s="24">
        <v>0</v>
      </c>
    </row>
    <row r="26" spans="1:259" s="2" customFormat="1" ht="14.4">
      <c r="B26" s="3"/>
      <c r="C26" s="807" t="s">
        <v>1042</v>
      </c>
      <c r="D26" s="808"/>
      <c r="E26" s="808"/>
      <c r="F26" s="808"/>
      <c r="G26" s="808"/>
      <c r="H26" s="808"/>
      <c r="I26" s="808"/>
      <c r="J26" s="808"/>
      <c r="K26" s="808"/>
      <c r="L26" s="808"/>
      <c r="M26" s="808"/>
      <c r="N26" s="808"/>
      <c r="O26" s="808"/>
      <c r="P26" s="808"/>
      <c r="Q26" s="808"/>
      <c r="R26" s="808"/>
      <c r="S26" s="808"/>
      <c r="T26"/>
      <c r="U26" s="93">
        <f t="shared" si="0"/>
        <v>1</v>
      </c>
      <c r="V26" s="24">
        <v>1</v>
      </c>
    </row>
    <row r="27" spans="1:259" s="2" customFormat="1" ht="13.5" customHeight="1">
      <c r="B27" s="3"/>
      <c r="C27" s="81"/>
      <c r="D27" s="3"/>
      <c r="E27" s="3"/>
      <c r="F27" s="3"/>
      <c r="G27" s="118"/>
      <c r="H27" s="118"/>
      <c r="I27" s="118"/>
      <c r="J27" s="118"/>
      <c r="K27" s="118"/>
      <c r="L27" s="75"/>
      <c r="M27" s="75"/>
      <c r="N27" s="75"/>
      <c r="O27" s="75"/>
      <c r="P27" s="75"/>
      <c r="Q27" s="75"/>
      <c r="R27" s="75"/>
      <c r="S27" s="75"/>
      <c r="T27"/>
      <c r="U27" s="93">
        <f t="shared" si="0"/>
        <v>0</v>
      </c>
      <c r="V27" s="24">
        <v>0</v>
      </c>
      <c r="W27" s="125"/>
    </row>
    <row r="28" spans="1:259" s="2" customFormat="1" ht="13.5" customHeight="1">
      <c r="A28" s="54"/>
      <c r="B28" s="54"/>
      <c r="C28" s="113" t="s">
        <v>1043</v>
      </c>
      <c r="D28" s="3"/>
      <c r="E28" s="3"/>
      <c r="H28" s="95"/>
      <c r="I28" s="95"/>
      <c r="J28" s="95"/>
      <c r="K28" s="95"/>
      <c r="L28" s="95"/>
      <c r="M28" s="95"/>
      <c r="N28" s="95"/>
      <c r="O28" s="95"/>
      <c r="P28" s="95"/>
      <c r="Q28" s="95"/>
      <c r="R28" s="95"/>
      <c r="S28" s="95"/>
      <c r="U28" s="93">
        <f t="shared" si="0"/>
        <v>1</v>
      </c>
      <c r="V28" s="24">
        <v>1</v>
      </c>
    </row>
    <row r="29" spans="1:259" s="2" customFormat="1" ht="13.5" customHeight="1">
      <c r="A29" s="54"/>
      <c r="B29" s="54"/>
      <c r="C29" s="635" t="str">
        <f>'DCF - Capital Structure'!C94</f>
        <v>Net Debt / Adjusted EBITDA (Output)</v>
      </c>
      <c r="D29" s="74" t="s">
        <v>1044</v>
      </c>
      <c r="E29" s="74" t="s">
        <v>1027</v>
      </c>
      <c r="F29" s="74"/>
      <c r="G29" s="74"/>
      <c r="H29" s="172">
        <f>'DCF - Capital Structure'!H94</f>
        <v>33.367703717973349</v>
      </c>
      <c r="I29" s="172">
        <f>'DCF - Capital Structure'!I94</f>
        <v>3.6825005864414706</v>
      </c>
      <c r="J29" s="172">
        <f>'DCF - Capital Structure'!J94</f>
        <v>3.4120852296886532</v>
      </c>
      <c r="K29" s="172">
        <f>'DCF - Capital Structure'!K94</f>
        <v>1.1378877957243834</v>
      </c>
      <c r="L29" s="641">
        <f>'DCF - Capital Structure'!L94</f>
        <v>0.64781416189036434</v>
      </c>
      <c r="M29" s="641">
        <f>'DCF - Capital Structure'!M94</f>
        <v>0.24206217646455919</v>
      </c>
      <c r="N29" s="641">
        <f>'DCF - Capital Structure'!N94</f>
        <v>0</v>
      </c>
      <c r="O29" s="641">
        <f>'DCF - Capital Structure'!O94</f>
        <v>0</v>
      </c>
      <c r="P29" s="641">
        <f>'DCF - Capital Structure'!P94</f>
        <v>0</v>
      </c>
      <c r="Q29" s="641">
        <f>'DCF - Capital Structure'!Q94</f>
        <v>0</v>
      </c>
      <c r="R29" s="641">
        <f>'DCF - Capital Structure'!R94</f>
        <v>0</v>
      </c>
      <c r="S29" s="642">
        <f>'DCF - Capital Structure'!S94</f>
        <v>0</v>
      </c>
      <c r="U29" s="93">
        <f t="shared" si="0"/>
        <v>1</v>
      </c>
      <c r="V29" s="24">
        <v>1</v>
      </c>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row>
    <row r="30" spans="1:259" s="2" customFormat="1" ht="13.5" customHeight="1">
      <c r="A30" s="54"/>
      <c r="B30" s="54"/>
      <c r="C30" s="636" t="str">
        <f>'DCF - Capital Structure'!C95</f>
        <v>Adjusted EBITDA / Interest Expense (Output)</v>
      </c>
      <c r="D30" s="72" t="s">
        <v>1044</v>
      </c>
      <c r="E30" s="72" t="s">
        <v>1027</v>
      </c>
      <c r="F30" s="72"/>
      <c r="G30" s="72"/>
      <c r="H30" s="171">
        <f>'DCF - Capital Structure'!H95</f>
        <v>0</v>
      </c>
      <c r="I30" s="171">
        <f>'DCF - Capital Structure'!I95</f>
        <v>2.7756165052494519</v>
      </c>
      <c r="J30" s="171">
        <f>'DCF - Capital Structure'!J95</f>
        <v>2.6388646469683765</v>
      </c>
      <c r="K30" s="171">
        <f>'DCF - Capital Structure'!K95</f>
        <v>10.591808303148502</v>
      </c>
      <c r="L30" s="643">
        <f>'DCF - Capital Structure'!L95</f>
        <v>10.407789896578626</v>
      </c>
      <c r="M30" s="643">
        <f>'DCF - Capital Structure'!M95</f>
        <v>6.4823139839513386</v>
      </c>
      <c r="N30" s="643">
        <f>'DCF - Capital Structure'!N95</f>
        <v>6.4030083008315843</v>
      </c>
      <c r="O30" s="643">
        <f>'DCF - Capital Structure'!O95</f>
        <v>6.8392732879968756</v>
      </c>
      <c r="P30" s="643">
        <f>'DCF - Capital Structure'!P95</f>
        <v>7.1319426756452806</v>
      </c>
      <c r="Q30" s="643">
        <f>'DCF - Capital Structure'!Q95</f>
        <v>6.9330922981681837</v>
      </c>
      <c r="R30" s="643">
        <f>'DCF - Capital Structure'!R95</f>
        <v>7.0346954726599016</v>
      </c>
      <c r="S30" s="644">
        <f>'DCF - Capital Structure'!S95</f>
        <v>7.1959235262571362</v>
      </c>
      <c r="U30" s="93">
        <f t="shared" si="0"/>
        <v>1</v>
      </c>
      <c r="V30" s="24">
        <v>1</v>
      </c>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row>
    <row r="31" spans="1:259" s="2" customFormat="1" ht="13.5" customHeight="1">
      <c r="B31" s="3"/>
      <c r="C31" s="550"/>
      <c r="D31" s="3"/>
      <c r="E31" s="551" t="s">
        <v>1045</v>
      </c>
      <c r="F31" s="3"/>
      <c r="G31" s="118"/>
      <c r="H31" s="118"/>
      <c r="I31" s="118"/>
      <c r="J31" s="118"/>
      <c r="K31" s="118"/>
      <c r="L31" s="126"/>
      <c r="M31" s="126"/>
      <c r="N31" s="126"/>
      <c r="O31" s="126"/>
      <c r="P31" s="126"/>
      <c r="Q31" s="126"/>
      <c r="R31" s="126"/>
      <c r="S31" s="126"/>
      <c r="T31"/>
      <c r="U31" s="93">
        <f t="shared" si="0"/>
        <v>0</v>
      </c>
      <c r="V31" s="24">
        <v>0</v>
      </c>
      <c r="W31" s="125"/>
    </row>
    <row r="32" spans="1:259" s="2" customFormat="1" ht="13.5" customHeight="1">
      <c r="B32" s="3"/>
      <c r="C32" s="554" t="str">
        <f>" Active | "&amp;CHOOSE($E$32,C33,C34,C35)</f>
        <v xml:space="preserve"> Active | Scenario 1 - North America Net Sales Growth</v>
      </c>
      <c r="D32" s="32"/>
      <c r="E32" s="794">
        <v>1</v>
      </c>
      <c r="F32" s="32"/>
      <c r="G32" s="552"/>
      <c r="H32" s="552"/>
      <c r="I32" s="552"/>
      <c r="J32" s="552"/>
      <c r="K32" s="552"/>
      <c r="L32" s="639">
        <f>CHOOSE($E$32,L33,L34,L35)</f>
        <v>0</v>
      </c>
      <c r="M32" s="639">
        <f t="shared" ref="M32:S32" si="1">CHOOSE($E$32,M33,M34,M35)</f>
        <v>0</v>
      </c>
      <c r="N32" s="639">
        <f t="shared" si="1"/>
        <v>0</v>
      </c>
      <c r="O32" s="639">
        <f t="shared" si="1"/>
        <v>0</v>
      </c>
      <c r="P32" s="639">
        <f t="shared" si="1"/>
        <v>0</v>
      </c>
      <c r="Q32" s="639">
        <f t="shared" si="1"/>
        <v>0</v>
      </c>
      <c r="R32" s="639">
        <f t="shared" si="1"/>
        <v>0</v>
      </c>
      <c r="S32" s="640">
        <f t="shared" si="1"/>
        <v>0</v>
      </c>
      <c r="T32"/>
      <c r="U32" s="93">
        <f t="shared" si="0"/>
        <v>1</v>
      </c>
      <c r="V32" s="24">
        <v>1</v>
      </c>
      <c r="W32" s="125"/>
    </row>
    <row r="33" spans="2:23" s="2" customFormat="1" ht="13.5" customHeight="1">
      <c r="B33" s="3"/>
      <c r="C33" s="548" t="str">
        <f>"Scenario "&amp;TEXT(E33,"0")&amp;" - North America Net Sales Growth"</f>
        <v>Scenario 1 - North America Net Sales Growth</v>
      </c>
      <c r="D33" s="543"/>
      <c r="E33" s="637">
        <v>1</v>
      </c>
      <c r="F33" s="545"/>
      <c r="G33" s="546"/>
      <c r="H33" s="546"/>
      <c r="I33" s="546"/>
      <c r="J33" s="546"/>
      <c r="K33" s="546"/>
      <c r="L33" s="1013"/>
      <c r="M33" s="1013"/>
      <c r="N33" s="1013"/>
      <c r="O33" s="1013"/>
      <c r="P33" s="1013"/>
      <c r="Q33" s="1013"/>
      <c r="R33" s="1013"/>
      <c r="S33" s="1014"/>
      <c r="T33"/>
      <c r="U33" s="93">
        <f t="shared" si="0"/>
        <v>1</v>
      </c>
      <c r="V33" s="24">
        <v>1</v>
      </c>
      <c r="W33" s="125"/>
    </row>
    <row r="34" spans="2:23" s="2" customFormat="1" ht="13.5" customHeight="1">
      <c r="B34" s="3"/>
      <c r="C34" s="549" t="str">
        <f t="shared" ref="C34:C35" si="2">"Scenario "&amp;TEXT(E34,"0")&amp;" - North America Net Sales Growth"</f>
        <v>Scenario 2 - North America Net Sales Growth</v>
      </c>
      <c r="D34" s="544"/>
      <c r="E34" s="638">
        <v>2</v>
      </c>
      <c r="F34" s="547"/>
      <c r="G34" s="118"/>
      <c r="H34" s="118"/>
      <c r="I34" s="118"/>
      <c r="J34" s="118"/>
      <c r="K34" s="118"/>
      <c r="L34" s="580"/>
      <c r="M34" s="580"/>
      <c r="N34" s="580"/>
      <c r="O34" s="580"/>
      <c r="P34" s="580"/>
      <c r="Q34" s="580"/>
      <c r="R34" s="580"/>
      <c r="S34" s="553"/>
      <c r="T34"/>
      <c r="U34" s="93">
        <f t="shared" si="0"/>
        <v>1</v>
      </c>
      <c r="V34" s="24">
        <v>1</v>
      </c>
      <c r="W34" s="125"/>
    </row>
    <row r="35" spans="2:23" s="2" customFormat="1" ht="13.5" customHeight="1">
      <c r="B35" s="3"/>
      <c r="C35" s="1085" t="str">
        <f t="shared" si="2"/>
        <v>Scenario 3 - North America Net Sales Growth</v>
      </c>
      <c r="D35" s="1115"/>
      <c r="E35" s="1194">
        <v>3</v>
      </c>
      <c r="F35" s="1116"/>
      <c r="G35" s="1117"/>
      <c r="H35" s="1117"/>
      <c r="I35" s="1117"/>
      <c r="J35" s="1117"/>
      <c r="K35" s="1117"/>
      <c r="L35" s="1118"/>
      <c r="M35" s="1118"/>
      <c r="N35" s="1118"/>
      <c r="O35" s="1118"/>
      <c r="P35" s="1118"/>
      <c r="Q35" s="1118"/>
      <c r="R35" s="1118"/>
      <c r="S35" s="1119"/>
      <c r="T35"/>
      <c r="U35" s="93">
        <f t="shared" si="0"/>
        <v>1</v>
      </c>
      <c r="V35" s="24">
        <v>1</v>
      </c>
      <c r="W35" s="125"/>
    </row>
    <row r="36" spans="2:23" s="2" customFormat="1" ht="13.5" customHeight="1">
      <c r="B36" s="3"/>
      <c r="C36" s="550"/>
      <c r="D36" s="3"/>
      <c r="E36" s="551" t="s">
        <v>1045</v>
      </c>
      <c r="F36" s="3"/>
      <c r="G36" s="118"/>
      <c r="H36" s="118"/>
      <c r="I36" s="118"/>
      <c r="J36" s="118"/>
      <c r="K36" s="118"/>
      <c r="L36" s="75"/>
      <c r="M36" s="75"/>
      <c r="N36" s="75"/>
      <c r="O36" s="75"/>
      <c r="P36" s="75"/>
      <c r="Q36" s="75"/>
      <c r="R36" s="75"/>
      <c r="S36" s="75"/>
      <c r="T36"/>
      <c r="U36" s="93">
        <f t="shared" si="0"/>
        <v>0</v>
      </c>
      <c r="V36" s="24">
        <v>0</v>
      </c>
      <c r="W36" s="125"/>
    </row>
    <row r="37" spans="2:23" s="2" customFormat="1" ht="13.5" customHeight="1">
      <c r="B37" s="3"/>
      <c r="C37" s="554" t="str">
        <f>" Active | "&amp;CHOOSE($E37,C38,C39,C40)</f>
        <v xml:space="preserve"> Active | Scenario 1 - Europe Net Sales Growth</v>
      </c>
      <c r="D37" s="32"/>
      <c r="E37" s="794">
        <v>1</v>
      </c>
      <c r="F37" s="32"/>
      <c r="G37" s="552"/>
      <c r="H37" s="552"/>
      <c r="I37" s="552"/>
      <c r="J37" s="552"/>
      <c r="K37" s="552"/>
      <c r="L37" s="639">
        <f t="shared" ref="L37" si="3">CHOOSE($E$32,L38,L39,L40)</f>
        <v>0</v>
      </c>
      <c r="M37" s="639">
        <f t="shared" ref="M37" si="4">CHOOSE($E$32,M38,M39,M40)</f>
        <v>0</v>
      </c>
      <c r="N37" s="639">
        <f t="shared" ref="N37" si="5">CHOOSE($E$32,N38,N39,N40)</f>
        <v>0</v>
      </c>
      <c r="O37" s="639">
        <f t="shared" ref="O37" si="6">CHOOSE($E$32,O38,O39,O40)</f>
        <v>0</v>
      </c>
      <c r="P37" s="639">
        <f t="shared" ref="P37" si="7">CHOOSE($E$32,P38,P39,P40)</f>
        <v>0</v>
      </c>
      <c r="Q37" s="639">
        <f t="shared" ref="Q37" si="8">CHOOSE($E$32,Q38,Q39,Q40)</f>
        <v>0</v>
      </c>
      <c r="R37" s="639">
        <f t="shared" ref="R37" si="9">CHOOSE($E$32,R38,R39,R40)</f>
        <v>0</v>
      </c>
      <c r="S37" s="640">
        <f t="shared" ref="S37" si="10">CHOOSE($E$32,S38,S39,S40)</f>
        <v>0</v>
      </c>
      <c r="T37"/>
      <c r="U37" s="93">
        <f t="shared" si="0"/>
        <v>1</v>
      </c>
      <c r="V37" s="24">
        <v>1</v>
      </c>
      <c r="W37" s="125"/>
    </row>
    <row r="38" spans="2:23" s="2" customFormat="1" ht="13.5" customHeight="1">
      <c r="B38" s="3"/>
      <c r="C38" s="548" t="str">
        <f>"Scenario "&amp;TEXT(E38,"0")&amp;" - Europe Net Sales Growth"</f>
        <v>Scenario 1 - Europe Net Sales Growth</v>
      </c>
      <c r="D38" s="543"/>
      <c r="E38" s="637">
        <v>1</v>
      </c>
      <c r="F38" s="545"/>
      <c r="G38" s="546"/>
      <c r="H38" s="546"/>
      <c r="I38" s="546"/>
      <c r="J38" s="546"/>
      <c r="K38" s="546"/>
      <c r="L38" s="1013"/>
      <c r="M38" s="1013"/>
      <c r="N38" s="1013"/>
      <c r="O38" s="1013"/>
      <c r="P38" s="1013"/>
      <c r="Q38" s="1013"/>
      <c r="R38" s="1013"/>
      <c r="S38" s="1014"/>
      <c r="T38"/>
      <c r="U38" s="93">
        <f t="shared" si="0"/>
        <v>1</v>
      </c>
      <c r="V38" s="24">
        <v>1</v>
      </c>
      <c r="W38" s="125"/>
    </row>
    <row r="39" spans="2:23" s="2" customFormat="1" ht="13.5" customHeight="1">
      <c r="B39" s="3"/>
      <c r="C39" s="549" t="str">
        <f t="shared" ref="C39:C40" si="11">"Scenario "&amp;TEXT(E39,"0")&amp;" - Europe Net Sales Growth"</f>
        <v>Scenario 2 - Europe Net Sales Growth</v>
      </c>
      <c r="D39" s="544"/>
      <c r="E39" s="638">
        <v>2</v>
      </c>
      <c r="F39" s="547"/>
      <c r="G39" s="118"/>
      <c r="H39" s="118"/>
      <c r="I39" s="118"/>
      <c r="J39" s="118"/>
      <c r="K39" s="118"/>
      <c r="L39" s="580"/>
      <c r="M39" s="580"/>
      <c r="N39" s="580"/>
      <c r="O39" s="580"/>
      <c r="P39" s="580"/>
      <c r="Q39" s="580"/>
      <c r="R39" s="580"/>
      <c r="S39" s="553"/>
      <c r="T39"/>
      <c r="U39" s="93">
        <f t="shared" si="0"/>
        <v>1</v>
      </c>
      <c r="V39" s="24">
        <v>1</v>
      </c>
      <c r="W39" s="125"/>
    </row>
    <row r="40" spans="2:23" s="2" customFormat="1" ht="13.5" customHeight="1">
      <c r="B40" s="3"/>
      <c r="C40" s="1085" t="str">
        <f t="shared" si="11"/>
        <v>Scenario 3 - Europe Net Sales Growth</v>
      </c>
      <c r="D40" s="1115"/>
      <c r="E40" s="1194">
        <v>3</v>
      </c>
      <c r="F40" s="1116"/>
      <c r="G40" s="1117"/>
      <c r="H40" s="1117"/>
      <c r="I40" s="1117"/>
      <c r="J40" s="1117"/>
      <c r="K40" s="1117"/>
      <c r="L40" s="1118"/>
      <c r="M40" s="1118"/>
      <c r="N40" s="1118"/>
      <c r="O40" s="1118"/>
      <c r="P40" s="1118"/>
      <c r="Q40" s="1118"/>
      <c r="R40" s="1118"/>
      <c r="S40" s="1119"/>
      <c r="T40"/>
      <c r="U40" s="93">
        <f t="shared" si="0"/>
        <v>1</v>
      </c>
      <c r="V40" s="24">
        <v>1</v>
      </c>
      <c r="W40" s="125"/>
    </row>
    <row r="41" spans="2:23" s="2" customFormat="1" ht="13.5" customHeight="1">
      <c r="B41" s="3"/>
      <c r="C41" s="550"/>
      <c r="D41" s="3"/>
      <c r="E41" s="551" t="s">
        <v>1045</v>
      </c>
      <c r="F41" s="3"/>
      <c r="G41" s="118"/>
      <c r="H41" s="118"/>
      <c r="I41" s="118"/>
      <c r="J41" s="118"/>
      <c r="K41" s="118"/>
      <c r="L41" s="75"/>
      <c r="M41" s="75"/>
      <c r="N41" s="75"/>
      <c r="O41" s="75"/>
      <c r="P41" s="75"/>
      <c r="Q41" s="75"/>
      <c r="R41" s="75"/>
      <c r="S41" s="75"/>
      <c r="T41"/>
      <c r="U41" s="93">
        <f t="shared" si="0"/>
        <v>0</v>
      </c>
      <c r="V41" s="24">
        <v>0</v>
      </c>
      <c r="W41" s="125"/>
    </row>
    <row r="42" spans="2:23" s="2" customFormat="1" ht="13.5" customHeight="1">
      <c r="B42" s="3"/>
      <c r="C42" s="554" t="str">
        <f>" Active | "&amp;CHOOSE($E42,C43,C44,C45)</f>
        <v xml:space="preserve"> Active | Scenario 1 - Africa Net Sales Growth</v>
      </c>
      <c r="D42" s="32"/>
      <c r="E42" s="794">
        <v>1</v>
      </c>
      <c r="F42" s="32"/>
      <c r="G42" s="552"/>
      <c r="H42" s="552"/>
      <c r="I42" s="552"/>
      <c r="J42" s="552"/>
      <c r="K42" s="552"/>
      <c r="L42" s="639">
        <f t="shared" ref="L42:S42" si="12">CHOOSE($E$32,L43,L44,L45)</f>
        <v>0</v>
      </c>
      <c r="M42" s="639">
        <f t="shared" si="12"/>
        <v>0</v>
      </c>
      <c r="N42" s="639">
        <f t="shared" si="12"/>
        <v>0</v>
      </c>
      <c r="O42" s="639">
        <f t="shared" si="12"/>
        <v>0</v>
      </c>
      <c r="P42" s="639">
        <f t="shared" si="12"/>
        <v>0</v>
      </c>
      <c r="Q42" s="639">
        <f t="shared" si="12"/>
        <v>0</v>
      </c>
      <c r="R42" s="639">
        <f t="shared" si="12"/>
        <v>0</v>
      </c>
      <c r="S42" s="640">
        <f t="shared" si="12"/>
        <v>0</v>
      </c>
      <c r="T42"/>
      <c r="U42" s="93">
        <f t="shared" si="0"/>
        <v>1</v>
      </c>
      <c r="V42" s="24">
        <v>1</v>
      </c>
      <c r="W42" s="125"/>
    </row>
    <row r="43" spans="2:23" s="2" customFormat="1" ht="13.5" customHeight="1">
      <c r="B43" s="3"/>
      <c r="C43" s="548" t="str">
        <f>"Scenario "&amp;TEXT(E43,"0")&amp;" - Africa Net Sales Growth"</f>
        <v>Scenario 1 - Africa Net Sales Growth</v>
      </c>
      <c r="D43" s="543"/>
      <c r="E43" s="637">
        <v>1</v>
      </c>
      <c r="F43" s="545"/>
      <c r="G43" s="546"/>
      <c r="H43" s="546"/>
      <c r="I43" s="546"/>
      <c r="J43" s="546"/>
      <c r="K43" s="546"/>
      <c r="L43" s="1013"/>
      <c r="M43" s="1013"/>
      <c r="N43" s="1013"/>
      <c r="O43" s="1013"/>
      <c r="P43" s="1013"/>
      <c r="Q43" s="1013"/>
      <c r="R43" s="1013"/>
      <c r="S43" s="1014"/>
      <c r="T43"/>
      <c r="U43" s="93">
        <f t="shared" si="0"/>
        <v>1</v>
      </c>
      <c r="V43" s="24">
        <v>1</v>
      </c>
      <c r="W43" s="125"/>
    </row>
    <row r="44" spans="2:23" s="2" customFormat="1" ht="13.5" customHeight="1">
      <c r="B44" s="3"/>
      <c r="C44" s="549" t="str">
        <f t="shared" ref="C44:C45" si="13">"Scenario "&amp;TEXT(E44,"0")&amp;" - Africa Net Sales Growth"</f>
        <v>Scenario 2 - Africa Net Sales Growth</v>
      </c>
      <c r="D44" s="544"/>
      <c r="E44" s="638">
        <v>2</v>
      </c>
      <c r="F44" s="547"/>
      <c r="G44" s="118"/>
      <c r="H44" s="118"/>
      <c r="I44" s="118"/>
      <c r="J44" s="118"/>
      <c r="K44" s="118"/>
      <c r="L44" s="96"/>
      <c r="M44" s="96"/>
      <c r="N44" s="96"/>
      <c r="O44" s="96"/>
      <c r="P44" s="96"/>
      <c r="Q44" s="96"/>
      <c r="R44" s="96"/>
      <c r="S44" s="634"/>
      <c r="T44"/>
      <c r="U44" s="93">
        <f t="shared" si="0"/>
        <v>1</v>
      </c>
      <c r="V44" s="24">
        <v>1</v>
      </c>
      <c r="W44" s="125"/>
    </row>
    <row r="45" spans="2:23" s="2" customFormat="1" ht="13.5" customHeight="1">
      <c r="B45" s="3"/>
      <c r="C45" s="1085" t="str">
        <f t="shared" si="13"/>
        <v>Scenario 3 - Africa Net Sales Growth</v>
      </c>
      <c r="D45" s="1115"/>
      <c r="E45" s="1194">
        <v>3</v>
      </c>
      <c r="F45" s="1116"/>
      <c r="G45" s="1117"/>
      <c r="H45" s="1117"/>
      <c r="I45" s="1117"/>
      <c r="J45" s="1117"/>
      <c r="K45" s="1117"/>
      <c r="L45" s="1120"/>
      <c r="M45" s="1120"/>
      <c r="N45" s="1120"/>
      <c r="O45" s="1120"/>
      <c r="P45" s="1120"/>
      <c r="Q45" s="1120"/>
      <c r="R45" s="1120"/>
      <c r="S45" s="1121"/>
      <c r="T45"/>
      <c r="U45" s="93">
        <f t="shared" si="0"/>
        <v>1</v>
      </c>
      <c r="V45" s="24">
        <v>1</v>
      </c>
      <c r="W45" s="125"/>
    </row>
    <row r="46" spans="2:23" s="2" customFormat="1" ht="13.5" customHeight="1">
      <c r="B46" s="3"/>
      <c r="C46" s="550"/>
      <c r="D46" s="3"/>
      <c r="E46" s="551" t="s">
        <v>1045</v>
      </c>
      <c r="F46" s="3"/>
      <c r="G46" s="118"/>
      <c r="H46" s="118"/>
      <c r="I46" s="118"/>
      <c r="J46" s="118"/>
      <c r="K46" s="118"/>
      <c r="L46" s="75"/>
      <c r="M46" s="75"/>
      <c r="N46" s="75"/>
      <c r="O46" s="75"/>
      <c r="P46" s="75"/>
      <c r="Q46" s="75"/>
      <c r="R46" s="75"/>
      <c r="S46" s="75"/>
      <c r="T46"/>
      <c r="U46" s="93">
        <f t="shared" si="0"/>
        <v>0</v>
      </c>
      <c r="V46" s="24">
        <v>0</v>
      </c>
      <c r="W46" s="125"/>
    </row>
    <row r="47" spans="2:23" s="2" customFormat="1" ht="13.5" customHeight="1">
      <c r="B47" s="3"/>
      <c r="C47" s="554" t="str">
        <f>" Active | "&amp;CHOOSE($E47,C48,C49,C50)</f>
        <v xml:space="preserve"> Active | Scenario 1 - LatAm and Caribbean Net Sales Growth</v>
      </c>
      <c r="D47" s="32"/>
      <c r="E47" s="794">
        <v>1</v>
      </c>
      <c r="F47" s="32"/>
      <c r="G47" s="552"/>
      <c r="H47" s="552"/>
      <c r="I47" s="552"/>
      <c r="J47" s="552"/>
      <c r="K47" s="552"/>
      <c r="L47" s="639">
        <f t="shared" ref="L47:S47" si="14">CHOOSE($E$32,L48,L49,L50)</f>
        <v>0</v>
      </c>
      <c r="M47" s="639">
        <f t="shared" si="14"/>
        <v>0</v>
      </c>
      <c r="N47" s="639">
        <f t="shared" si="14"/>
        <v>0</v>
      </c>
      <c r="O47" s="639">
        <f t="shared" si="14"/>
        <v>0</v>
      </c>
      <c r="P47" s="639">
        <f t="shared" si="14"/>
        <v>0</v>
      </c>
      <c r="Q47" s="639">
        <f t="shared" si="14"/>
        <v>0</v>
      </c>
      <c r="R47" s="639">
        <f t="shared" si="14"/>
        <v>0</v>
      </c>
      <c r="S47" s="640">
        <f t="shared" si="14"/>
        <v>0</v>
      </c>
      <c r="T47"/>
      <c r="U47" s="93">
        <f t="shared" si="0"/>
        <v>1</v>
      </c>
      <c r="V47" s="24">
        <v>1</v>
      </c>
      <c r="W47" s="125"/>
    </row>
    <row r="48" spans="2:23" s="2" customFormat="1" ht="13.5" customHeight="1">
      <c r="B48" s="3"/>
      <c r="C48" s="548" t="str">
        <f>"Scenario "&amp;TEXT(E48,"0")&amp;" - LatAm and Caribbean Net Sales Growth"</f>
        <v>Scenario 1 - LatAm and Caribbean Net Sales Growth</v>
      </c>
      <c r="D48" s="543"/>
      <c r="E48" s="637">
        <v>1</v>
      </c>
      <c r="F48" s="545"/>
      <c r="G48" s="546"/>
      <c r="H48" s="546"/>
      <c r="I48" s="546"/>
      <c r="J48" s="546"/>
      <c r="K48" s="546"/>
      <c r="L48" s="1013"/>
      <c r="M48" s="1013"/>
      <c r="N48" s="1013"/>
      <c r="O48" s="1013"/>
      <c r="P48" s="1013"/>
      <c r="Q48" s="1013"/>
      <c r="R48" s="1013"/>
      <c r="S48" s="1014"/>
      <c r="T48"/>
      <c r="U48" s="93">
        <f t="shared" si="0"/>
        <v>1</v>
      </c>
      <c r="V48" s="24">
        <v>1</v>
      </c>
      <c r="W48" s="125"/>
    </row>
    <row r="49" spans="2:23" s="2" customFormat="1" ht="13.5" customHeight="1">
      <c r="B49" s="3"/>
      <c r="C49" s="549" t="str">
        <f t="shared" ref="C49:C50" si="15">"Scenario "&amp;TEXT(E49,"0")&amp;" - LatAm and Caribbean Net Sales Growth"</f>
        <v>Scenario 2 - LatAm and Caribbean Net Sales Growth</v>
      </c>
      <c r="D49" s="544"/>
      <c r="E49" s="638">
        <v>2</v>
      </c>
      <c r="F49" s="547"/>
      <c r="G49" s="118"/>
      <c r="H49" s="118"/>
      <c r="I49" s="118"/>
      <c r="J49" s="118"/>
      <c r="K49" s="118"/>
      <c r="L49" s="96"/>
      <c r="M49" s="96"/>
      <c r="N49" s="96"/>
      <c r="O49" s="96"/>
      <c r="P49" s="96"/>
      <c r="Q49" s="96"/>
      <c r="R49" s="96"/>
      <c r="S49" s="634"/>
      <c r="T49"/>
      <c r="U49" s="93">
        <f t="shared" si="0"/>
        <v>1</v>
      </c>
      <c r="V49" s="24">
        <v>1</v>
      </c>
      <c r="W49" s="125"/>
    </row>
    <row r="50" spans="2:23" s="2" customFormat="1" ht="13.5" customHeight="1">
      <c r="B50" s="3"/>
      <c r="C50" s="1085" t="str">
        <f t="shared" si="15"/>
        <v>Scenario 3 - LatAm and Caribbean Net Sales Growth</v>
      </c>
      <c r="D50" s="1115"/>
      <c r="E50" s="1194">
        <v>3</v>
      </c>
      <c r="F50" s="1116"/>
      <c r="G50" s="1117"/>
      <c r="H50" s="1117"/>
      <c r="I50" s="1117"/>
      <c r="J50" s="1117"/>
      <c r="K50" s="1117"/>
      <c r="L50" s="1120"/>
      <c r="M50" s="1120"/>
      <c r="N50" s="1120"/>
      <c r="O50" s="1120"/>
      <c r="P50" s="1120"/>
      <c r="Q50" s="1120"/>
      <c r="R50" s="1120"/>
      <c r="S50" s="1121"/>
      <c r="T50"/>
      <c r="U50" s="93">
        <f t="shared" si="0"/>
        <v>1</v>
      </c>
      <c r="V50" s="24">
        <v>1</v>
      </c>
      <c r="W50" s="125"/>
    </row>
    <row r="51" spans="2:23" s="2" customFormat="1" ht="13.5" customHeight="1">
      <c r="B51" s="3"/>
      <c r="C51" s="550"/>
      <c r="D51" s="3"/>
      <c r="E51" s="551" t="s">
        <v>1045</v>
      </c>
      <c r="F51" s="3"/>
      <c r="G51" s="118"/>
      <c r="H51" s="118"/>
      <c r="I51" s="118"/>
      <c r="J51" s="118"/>
      <c r="K51" s="118"/>
      <c r="L51" s="75"/>
      <c r="M51" s="75"/>
      <c r="N51" s="75"/>
      <c r="O51" s="75"/>
      <c r="P51" s="75"/>
      <c r="Q51" s="75"/>
      <c r="R51" s="75"/>
      <c r="S51" s="75"/>
      <c r="T51"/>
      <c r="U51" s="93">
        <f t="shared" si="0"/>
        <v>0</v>
      </c>
      <c r="V51" s="24">
        <v>0</v>
      </c>
      <c r="W51" s="125"/>
    </row>
    <row r="52" spans="2:23" s="2" customFormat="1" ht="13.5" customHeight="1">
      <c r="B52" s="3"/>
      <c r="C52" s="554" t="str">
        <f>" Active | "&amp;CHOOSE($E52,C53,C54,C55)</f>
        <v xml:space="preserve"> Active | Scenario 1 - Asia Pacific Net Sales Growth</v>
      </c>
      <c r="D52" s="32"/>
      <c r="E52" s="794">
        <v>1</v>
      </c>
      <c r="F52" s="32"/>
      <c r="G52" s="552"/>
      <c r="H52" s="552"/>
      <c r="I52" s="552"/>
      <c r="J52" s="552"/>
      <c r="K52" s="552"/>
      <c r="L52" s="639">
        <f t="shared" ref="L52:S52" si="16">CHOOSE($E$32,L53,L54,L55)</f>
        <v>0</v>
      </c>
      <c r="M52" s="639">
        <f t="shared" si="16"/>
        <v>0</v>
      </c>
      <c r="N52" s="639">
        <f t="shared" si="16"/>
        <v>0</v>
      </c>
      <c r="O52" s="639">
        <f t="shared" si="16"/>
        <v>0</v>
      </c>
      <c r="P52" s="639">
        <f t="shared" si="16"/>
        <v>0</v>
      </c>
      <c r="Q52" s="639">
        <f t="shared" si="16"/>
        <v>0</v>
      </c>
      <c r="R52" s="639">
        <f t="shared" si="16"/>
        <v>0</v>
      </c>
      <c r="S52" s="640">
        <f t="shared" si="16"/>
        <v>0</v>
      </c>
      <c r="T52"/>
      <c r="U52" s="93">
        <f t="shared" si="0"/>
        <v>1</v>
      </c>
      <c r="V52" s="24">
        <v>1</v>
      </c>
      <c r="W52" s="125"/>
    </row>
    <row r="53" spans="2:23" s="2" customFormat="1" ht="13.5" customHeight="1">
      <c r="B53" s="3"/>
      <c r="C53" s="548" t="str">
        <f>"Scenario "&amp;TEXT(E53,"0")&amp;" - Asia Pacific Net Sales Growth"</f>
        <v>Scenario 1 - Asia Pacific Net Sales Growth</v>
      </c>
      <c r="D53" s="543"/>
      <c r="E53" s="637">
        <v>1</v>
      </c>
      <c r="F53" s="545"/>
      <c r="G53" s="546"/>
      <c r="H53" s="546"/>
      <c r="I53" s="546"/>
      <c r="J53" s="546"/>
      <c r="K53" s="546"/>
      <c r="L53" s="1013"/>
      <c r="M53" s="1013"/>
      <c r="N53" s="1013"/>
      <c r="O53" s="1013"/>
      <c r="P53" s="1013"/>
      <c r="Q53" s="1013"/>
      <c r="R53" s="1013"/>
      <c r="S53" s="1014"/>
      <c r="T53"/>
      <c r="U53" s="93">
        <f t="shared" si="0"/>
        <v>1</v>
      </c>
      <c r="V53" s="24">
        <v>1</v>
      </c>
      <c r="W53" s="125"/>
    </row>
    <row r="54" spans="2:23" s="2" customFormat="1" ht="13.5" customHeight="1">
      <c r="B54" s="3"/>
      <c r="C54" s="549" t="str">
        <f t="shared" ref="C54:C55" si="17">"Scenario "&amp;TEXT(E54,"0")&amp;" - Asia Pacific Net Sales Growth"</f>
        <v>Scenario 2 - Asia Pacific Net Sales Growth</v>
      </c>
      <c r="D54" s="544"/>
      <c r="E54" s="638">
        <v>2</v>
      </c>
      <c r="F54" s="547"/>
      <c r="G54" s="118"/>
      <c r="H54" s="118"/>
      <c r="I54" s="118"/>
      <c r="J54" s="118"/>
      <c r="K54" s="118"/>
      <c r="L54" s="96"/>
      <c r="M54" s="96"/>
      <c r="N54" s="96"/>
      <c r="O54" s="96"/>
      <c r="P54" s="96"/>
      <c r="Q54" s="96"/>
      <c r="R54" s="96"/>
      <c r="S54" s="634"/>
      <c r="T54"/>
      <c r="U54" s="93">
        <f t="shared" si="0"/>
        <v>1</v>
      </c>
      <c r="V54" s="24">
        <v>1</v>
      </c>
      <c r="W54" s="125"/>
    </row>
    <row r="55" spans="2:23" s="2" customFormat="1" ht="13.5" customHeight="1">
      <c r="B55" s="3"/>
      <c r="C55" s="1085" t="str">
        <f t="shared" si="17"/>
        <v>Scenario 3 - Asia Pacific Net Sales Growth</v>
      </c>
      <c r="D55" s="1115"/>
      <c r="E55" s="1194">
        <v>3</v>
      </c>
      <c r="F55" s="1116"/>
      <c r="G55" s="1117"/>
      <c r="H55" s="1117"/>
      <c r="I55" s="1117"/>
      <c r="J55" s="1117"/>
      <c r="K55" s="1117"/>
      <c r="L55" s="1120"/>
      <c r="M55" s="1120"/>
      <c r="N55" s="1120"/>
      <c r="O55" s="1120"/>
      <c r="P55" s="1120"/>
      <c r="Q55" s="1120"/>
      <c r="R55" s="1120"/>
      <c r="S55" s="1121"/>
      <c r="T55"/>
      <c r="U55" s="93">
        <f t="shared" si="0"/>
        <v>1</v>
      </c>
      <c r="V55" s="24">
        <v>1</v>
      </c>
      <c r="W55" s="125"/>
    </row>
    <row r="56" spans="2:23" s="2" customFormat="1" ht="13.5" customHeight="1">
      <c r="B56" s="3"/>
      <c r="C56" s="550"/>
      <c r="D56" s="3"/>
      <c r="E56" s="551" t="s">
        <v>1045</v>
      </c>
      <c r="F56" s="3"/>
      <c r="G56" s="118"/>
      <c r="H56" s="118"/>
      <c r="I56" s="118"/>
      <c r="J56" s="118"/>
      <c r="K56" s="118"/>
      <c r="L56" s="75"/>
      <c r="M56" s="75"/>
      <c r="N56" s="75"/>
      <c r="O56" s="75"/>
      <c r="P56" s="75"/>
      <c r="Q56" s="75"/>
      <c r="R56" s="75"/>
      <c r="S56" s="75"/>
      <c r="T56"/>
      <c r="U56" s="93">
        <f t="shared" si="0"/>
        <v>0</v>
      </c>
      <c r="V56" s="24">
        <v>0</v>
      </c>
      <c r="W56" s="125"/>
    </row>
    <row r="57" spans="2:23" s="2" customFormat="1" ht="13.5" customHeight="1">
      <c r="B57" s="3"/>
      <c r="C57" s="554" t="str">
        <f>" Active | "&amp;CHOOSE($E57,C58,C59,C60)</f>
        <v xml:space="preserve"> Active | Scenario 1 - Corporate Net Sales Growth</v>
      </c>
      <c r="D57" s="32"/>
      <c r="E57" s="794">
        <v>1</v>
      </c>
      <c r="F57" s="32"/>
      <c r="G57" s="552"/>
      <c r="H57" s="552"/>
      <c r="I57" s="552"/>
      <c r="J57" s="552"/>
      <c r="K57" s="552"/>
      <c r="L57" s="639">
        <f t="shared" ref="L57:S57" si="18">CHOOSE($E$32,L58,L59,L60)</f>
        <v>0</v>
      </c>
      <c r="M57" s="639">
        <f t="shared" si="18"/>
        <v>0</v>
      </c>
      <c r="N57" s="639">
        <f t="shared" si="18"/>
        <v>0</v>
      </c>
      <c r="O57" s="639">
        <f t="shared" si="18"/>
        <v>0</v>
      </c>
      <c r="P57" s="639">
        <f t="shared" si="18"/>
        <v>0</v>
      </c>
      <c r="Q57" s="639">
        <f t="shared" si="18"/>
        <v>0</v>
      </c>
      <c r="R57" s="639">
        <f t="shared" si="18"/>
        <v>0</v>
      </c>
      <c r="S57" s="640">
        <f t="shared" si="18"/>
        <v>0</v>
      </c>
      <c r="T57"/>
      <c r="U57" s="93">
        <f t="shared" si="0"/>
        <v>1</v>
      </c>
      <c r="V57" s="24">
        <v>1</v>
      </c>
      <c r="W57" s="125"/>
    </row>
    <row r="58" spans="2:23" s="2" customFormat="1" ht="13.5" customHeight="1">
      <c r="B58" s="3"/>
      <c r="C58" s="548" t="str">
        <f>"Scenario "&amp;TEXT(E58,"0")&amp;" - Corporate Net Sales Growth"</f>
        <v>Scenario 1 - Corporate Net Sales Growth</v>
      </c>
      <c r="D58" s="543"/>
      <c r="E58" s="637">
        <v>1</v>
      </c>
      <c r="F58" s="545"/>
      <c r="G58" s="546"/>
      <c r="H58" s="546"/>
      <c r="I58" s="546"/>
      <c r="J58" s="546"/>
      <c r="K58" s="546"/>
      <c r="L58" s="1013"/>
      <c r="M58" s="1013"/>
      <c r="N58" s="1013"/>
      <c r="O58" s="1013"/>
      <c r="P58" s="1013"/>
      <c r="Q58" s="1013"/>
      <c r="R58" s="1013"/>
      <c r="S58" s="1014"/>
      <c r="T58"/>
      <c r="U58" s="93">
        <f t="shared" si="0"/>
        <v>1</v>
      </c>
      <c r="V58" s="24">
        <v>1</v>
      </c>
      <c r="W58" s="125"/>
    </row>
    <row r="59" spans="2:23" s="2" customFormat="1" ht="13.5" customHeight="1">
      <c r="B59" s="3"/>
      <c r="C59" s="549" t="str">
        <f t="shared" ref="C59:C60" si="19">"Scenario "&amp;TEXT(E59,"0")&amp;" - Corporate Net Sales Growth"</f>
        <v>Scenario 2 - Corporate Net Sales Growth</v>
      </c>
      <c r="D59" s="544"/>
      <c r="E59" s="638">
        <v>2</v>
      </c>
      <c r="F59" s="547"/>
      <c r="G59" s="118"/>
      <c r="H59" s="118"/>
      <c r="I59" s="118"/>
      <c r="J59" s="118"/>
      <c r="K59" s="118"/>
      <c r="L59" s="96"/>
      <c r="M59" s="96"/>
      <c r="N59" s="96"/>
      <c r="O59" s="96"/>
      <c r="P59" s="96"/>
      <c r="Q59" s="96"/>
      <c r="R59" s="96"/>
      <c r="S59" s="634"/>
      <c r="T59"/>
      <c r="U59" s="93">
        <f t="shared" si="0"/>
        <v>1</v>
      </c>
      <c r="V59" s="24">
        <v>1</v>
      </c>
      <c r="W59" s="125"/>
    </row>
    <row r="60" spans="2:23" s="2" customFormat="1" ht="13.5" customHeight="1">
      <c r="B60" s="3"/>
      <c r="C60" s="1085" t="str">
        <f t="shared" si="19"/>
        <v>Scenario 3 - Corporate Net Sales Growth</v>
      </c>
      <c r="D60" s="1115"/>
      <c r="E60" s="1194">
        <v>3</v>
      </c>
      <c r="F60" s="1116"/>
      <c r="G60" s="1117"/>
      <c r="H60" s="1117"/>
      <c r="I60" s="1117"/>
      <c r="J60" s="1117"/>
      <c r="K60" s="1117"/>
      <c r="L60" s="1120"/>
      <c r="M60" s="1120"/>
      <c r="N60" s="1120"/>
      <c r="O60" s="1120"/>
      <c r="P60" s="1120"/>
      <c r="Q60" s="1120"/>
      <c r="R60" s="1120"/>
      <c r="S60" s="1121"/>
      <c r="T60"/>
      <c r="U60" s="93">
        <f t="shared" si="0"/>
        <v>1</v>
      </c>
      <c r="V60" s="24">
        <v>1</v>
      </c>
      <c r="W60" s="125"/>
    </row>
    <row r="61" spans="2:23" s="2" customFormat="1" ht="13.5" customHeight="1">
      <c r="B61" s="3"/>
      <c r="C61" s="550"/>
      <c r="D61" s="3"/>
      <c r="E61" s="551" t="s">
        <v>1045</v>
      </c>
      <c r="F61" s="3"/>
      <c r="G61" s="118"/>
      <c r="H61" s="118"/>
      <c r="I61" s="118"/>
      <c r="J61" s="118"/>
      <c r="K61" s="118"/>
      <c r="L61" s="75"/>
      <c r="M61" s="75"/>
      <c r="N61" s="75"/>
      <c r="O61" s="75"/>
      <c r="P61" s="75"/>
      <c r="Q61" s="75"/>
      <c r="R61" s="75"/>
      <c r="S61" s="75"/>
      <c r="T61"/>
      <c r="U61" s="93">
        <f t="shared" si="0"/>
        <v>0</v>
      </c>
      <c r="V61" s="24">
        <v>0</v>
      </c>
      <c r="W61" s="125"/>
    </row>
    <row r="62" spans="2:23" s="2" customFormat="1" ht="13.5" customHeight="1">
      <c r="B62" s="3"/>
      <c r="C62" s="554" t="str">
        <f>" Active | "&amp;CHOOSE($E$62,C63,C64,C65)</f>
        <v xml:space="preserve"> Active | Scenario 1 - Gross Margin %</v>
      </c>
      <c r="D62" s="32"/>
      <c r="E62" s="794">
        <v>1</v>
      </c>
      <c r="F62" s="32"/>
      <c r="G62" s="552"/>
      <c r="H62" s="552"/>
      <c r="I62" s="552"/>
      <c r="J62" s="552"/>
      <c r="K62" s="552"/>
      <c r="L62" s="639">
        <f t="shared" ref="L62:S62" si="20">CHOOSE($E$32,L63,L64,L65)</f>
        <v>0</v>
      </c>
      <c r="M62" s="639">
        <f t="shared" si="20"/>
        <v>0</v>
      </c>
      <c r="N62" s="639">
        <f t="shared" si="20"/>
        <v>0</v>
      </c>
      <c r="O62" s="639">
        <f t="shared" si="20"/>
        <v>0</v>
      </c>
      <c r="P62" s="639">
        <f t="shared" si="20"/>
        <v>0</v>
      </c>
      <c r="Q62" s="639">
        <f t="shared" si="20"/>
        <v>0</v>
      </c>
      <c r="R62" s="639">
        <f t="shared" si="20"/>
        <v>0</v>
      </c>
      <c r="S62" s="640">
        <f t="shared" si="20"/>
        <v>0</v>
      </c>
      <c r="T62"/>
      <c r="U62" s="93">
        <f t="shared" si="0"/>
        <v>1</v>
      </c>
      <c r="V62" s="24">
        <v>1</v>
      </c>
      <c r="W62" s="125"/>
    </row>
    <row r="63" spans="2:23" s="2" customFormat="1" ht="13.5" customHeight="1">
      <c r="B63" s="3"/>
      <c r="C63" s="548" t="s">
        <v>1046</v>
      </c>
      <c r="D63" s="543"/>
      <c r="E63" s="637">
        <v>1</v>
      </c>
      <c r="F63" s="545"/>
      <c r="G63" s="546"/>
      <c r="H63" s="546"/>
      <c r="I63" s="546"/>
      <c r="J63" s="546"/>
      <c r="K63" s="546"/>
      <c r="L63" s="96"/>
      <c r="M63" s="96"/>
      <c r="N63" s="96"/>
      <c r="O63" s="96"/>
      <c r="P63" s="96"/>
      <c r="Q63" s="96"/>
      <c r="R63" s="96"/>
      <c r="S63" s="634"/>
      <c r="T63"/>
      <c r="U63" s="93">
        <f t="shared" si="0"/>
        <v>1</v>
      </c>
      <c r="V63" s="24">
        <v>1</v>
      </c>
      <c r="W63" s="125"/>
    </row>
    <row r="64" spans="2:23" s="2" customFormat="1" ht="13.5" customHeight="1">
      <c r="B64" s="3"/>
      <c r="C64" s="549" t="s">
        <v>1047</v>
      </c>
      <c r="D64" s="544"/>
      <c r="E64" s="638">
        <v>2</v>
      </c>
      <c r="F64" s="547"/>
      <c r="G64" s="118"/>
      <c r="H64" s="118"/>
      <c r="I64" s="118"/>
      <c r="J64" s="118"/>
      <c r="K64" s="118"/>
      <c r="L64" s="96"/>
      <c r="M64" s="96"/>
      <c r="N64" s="96"/>
      <c r="O64" s="96"/>
      <c r="P64" s="96"/>
      <c r="Q64" s="96"/>
      <c r="R64" s="96"/>
      <c r="S64" s="634"/>
      <c r="T64"/>
      <c r="U64" s="93">
        <f t="shared" si="0"/>
        <v>1</v>
      </c>
      <c r="V64" s="24">
        <v>1</v>
      </c>
      <c r="W64" s="125"/>
    </row>
    <row r="65" spans="2:23" s="2" customFormat="1" ht="13.5" customHeight="1">
      <c r="B65" s="3"/>
      <c r="C65" s="1085" t="s">
        <v>1048</v>
      </c>
      <c r="D65" s="1115"/>
      <c r="E65" s="1194">
        <v>3</v>
      </c>
      <c r="F65" s="1116"/>
      <c r="G65" s="1117"/>
      <c r="H65" s="1117"/>
      <c r="I65" s="1117"/>
      <c r="J65" s="1117"/>
      <c r="K65" s="1117"/>
      <c r="L65" s="1120"/>
      <c r="M65" s="1120"/>
      <c r="N65" s="1120"/>
      <c r="O65" s="1120"/>
      <c r="P65" s="1120"/>
      <c r="Q65" s="1120"/>
      <c r="R65" s="1120"/>
      <c r="S65" s="1121"/>
      <c r="T65"/>
      <c r="U65" s="93">
        <f t="shared" si="0"/>
        <v>1</v>
      </c>
      <c r="V65" s="24">
        <v>1</v>
      </c>
      <c r="W65" s="125"/>
    </row>
    <row r="66" spans="2:23" s="2" customFormat="1" ht="13.5" customHeight="1">
      <c r="B66" s="3"/>
      <c r="C66" s="550"/>
      <c r="D66" s="3"/>
      <c r="E66" s="551" t="s">
        <v>1045</v>
      </c>
      <c r="F66" s="3"/>
      <c r="G66" s="118"/>
      <c r="H66" s="118"/>
      <c r="I66" s="118"/>
      <c r="J66" s="118"/>
      <c r="K66" s="118"/>
      <c r="L66" s="75"/>
      <c r="M66" s="75"/>
      <c r="N66" s="75"/>
      <c r="O66" s="75"/>
      <c r="P66" s="75"/>
      <c r="Q66" s="75"/>
      <c r="R66" s="75"/>
      <c r="S66" s="75"/>
      <c r="T66"/>
      <c r="U66" s="93">
        <f t="shared" si="0"/>
        <v>0</v>
      </c>
      <c r="V66" s="24">
        <v>0</v>
      </c>
      <c r="W66" s="125"/>
    </row>
    <row r="67" spans="2:23" s="2" customFormat="1" ht="13.5" customHeight="1">
      <c r="B67" s="3"/>
      <c r="C67" s="648" t="str">
        <f>" Active | "&amp;CHOOSE($E$67,C68,C69,C70)</f>
        <v xml:space="preserve"> Active | Scenario 1 - Marketing Expense Margin %</v>
      </c>
      <c r="D67" s="15"/>
      <c r="E67" s="795">
        <v>1</v>
      </c>
      <c r="F67" s="15"/>
      <c r="G67" s="649"/>
      <c r="H67" s="649"/>
      <c r="I67" s="649"/>
      <c r="J67" s="649"/>
      <c r="K67" s="649"/>
      <c r="L67" s="639">
        <f t="shared" ref="L67:S67" si="21">CHOOSE($E$32,L68,L69,L70)</f>
        <v>0</v>
      </c>
      <c r="M67" s="639">
        <f t="shared" si="21"/>
        <v>0</v>
      </c>
      <c r="N67" s="639">
        <f t="shared" si="21"/>
        <v>0</v>
      </c>
      <c r="O67" s="639">
        <f t="shared" si="21"/>
        <v>0</v>
      </c>
      <c r="P67" s="639">
        <f t="shared" si="21"/>
        <v>0</v>
      </c>
      <c r="Q67" s="639">
        <f t="shared" si="21"/>
        <v>0</v>
      </c>
      <c r="R67" s="639">
        <f t="shared" si="21"/>
        <v>0</v>
      </c>
      <c r="S67" s="640">
        <f t="shared" si="21"/>
        <v>0</v>
      </c>
      <c r="T67"/>
      <c r="U67" s="93">
        <f t="shared" si="0"/>
        <v>1</v>
      </c>
      <c r="V67" s="24">
        <v>1</v>
      </c>
      <c r="W67" s="125"/>
    </row>
    <row r="68" spans="2:23" s="2" customFormat="1" ht="13.5" customHeight="1">
      <c r="B68" s="3"/>
      <c r="C68" s="549" t="s">
        <v>1049</v>
      </c>
      <c r="D68" s="544"/>
      <c r="E68" s="638">
        <v>1</v>
      </c>
      <c r="F68" s="547"/>
      <c r="G68" s="118"/>
      <c r="H68" s="118"/>
      <c r="I68" s="118"/>
      <c r="J68" s="118"/>
      <c r="K68" s="118"/>
      <c r="L68" s="96"/>
      <c r="M68" s="96"/>
      <c r="N68" s="96"/>
      <c r="O68" s="96"/>
      <c r="P68" s="96"/>
      <c r="Q68" s="96"/>
      <c r="R68" s="96"/>
      <c r="S68" s="634"/>
      <c r="T68"/>
      <c r="U68" s="93">
        <f t="shared" si="0"/>
        <v>1</v>
      </c>
      <c r="V68" s="24">
        <v>1</v>
      </c>
      <c r="W68" s="125"/>
    </row>
    <row r="69" spans="2:23" s="2" customFormat="1" ht="13.5" customHeight="1">
      <c r="B69" s="3"/>
      <c r="C69" s="549" t="s">
        <v>1050</v>
      </c>
      <c r="D69" s="544"/>
      <c r="E69" s="638">
        <v>2</v>
      </c>
      <c r="F69" s="547"/>
      <c r="G69" s="118"/>
      <c r="H69" s="118"/>
      <c r="I69" s="118"/>
      <c r="J69" s="118"/>
      <c r="K69" s="118"/>
      <c r="L69" s="580"/>
      <c r="M69" s="580"/>
      <c r="N69" s="580"/>
      <c r="O69" s="580"/>
      <c r="P69" s="580"/>
      <c r="Q69" s="580"/>
      <c r="R69" s="580"/>
      <c r="S69" s="553"/>
      <c r="T69"/>
      <c r="U69" s="93">
        <f t="shared" si="0"/>
        <v>1</v>
      </c>
      <c r="V69" s="24">
        <v>1</v>
      </c>
      <c r="W69" s="125"/>
    </row>
    <row r="70" spans="2:23" s="2" customFormat="1" ht="13.5" customHeight="1">
      <c r="B70" s="3"/>
      <c r="C70" s="1085" t="s">
        <v>1051</v>
      </c>
      <c r="D70" s="1115"/>
      <c r="E70" s="1194">
        <v>3</v>
      </c>
      <c r="F70" s="1116"/>
      <c r="G70" s="1117"/>
      <c r="H70" s="1117"/>
      <c r="I70" s="1117"/>
      <c r="J70" s="1117"/>
      <c r="K70" s="1117"/>
      <c r="L70" s="1118"/>
      <c r="M70" s="1118"/>
      <c r="N70" s="1118"/>
      <c r="O70" s="1118"/>
      <c r="P70" s="1118"/>
      <c r="Q70" s="1118"/>
      <c r="R70" s="1118"/>
      <c r="S70" s="1119"/>
      <c r="T70"/>
      <c r="U70" s="93">
        <f t="shared" si="0"/>
        <v>1</v>
      </c>
      <c r="V70" s="24">
        <v>1</v>
      </c>
      <c r="W70" s="125"/>
    </row>
    <row r="71" spans="2:23" s="2" customFormat="1" ht="13.5" customHeight="1">
      <c r="B71" s="3"/>
      <c r="C71" s="550"/>
      <c r="D71" s="3"/>
      <c r="E71" s="551" t="s">
        <v>1045</v>
      </c>
      <c r="F71" s="3"/>
      <c r="G71" s="118"/>
      <c r="H71" s="118"/>
      <c r="I71" s="118"/>
      <c r="J71" s="118"/>
      <c r="K71" s="118"/>
      <c r="L71" s="75"/>
      <c r="M71" s="75"/>
      <c r="N71" s="75"/>
      <c r="O71" s="75"/>
      <c r="P71" s="75"/>
      <c r="Q71" s="75"/>
      <c r="R71" s="75"/>
      <c r="S71" s="75"/>
      <c r="T71"/>
      <c r="U71" s="93">
        <f t="shared" si="0"/>
        <v>0</v>
      </c>
      <c r="V71" s="24">
        <v>0</v>
      </c>
      <c r="W71" s="125"/>
    </row>
    <row r="72" spans="2:23" s="2" customFormat="1" ht="13.5" customHeight="1">
      <c r="B72" s="3"/>
      <c r="C72" s="648" t="str">
        <f>" Active | "&amp;CHOOSE($E$67,C73,C74,C75)</f>
        <v xml:space="preserve"> Active | Scenario 1 - Other Operating Expense Margin %</v>
      </c>
      <c r="D72" s="15"/>
      <c r="E72" s="795">
        <v>1</v>
      </c>
      <c r="F72" s="15"/>
      <c r="G72" s="649"/>
      <c r="H72" s="649"/>
      <c r="I72" s="649"/>
      <c r="J72" s="649"/>
      <c r="K72" s="649"/>
      <c r="L72" s="639">
        <f t="shared" ref="L72:S72" si="22">CHOOSE($E$32,L73,L74,L75)</f>
        <v>0</v>
      </c>
      <c r="M72" s="639">
        <f t="shared" si="22"/>
        <v>0</v>
      </c>
      <c r="N72" s="639">
        <f t="shared" si="22"/>
        <v>0</v>
      </c>
      <c r="O72" s="639">
        <f t="shared" si="22"/>
        <v>0</v>
      </c>
      <c r="P72" s="639">
        <f t="shared" si="22"/>
        <v>0</v>
      </c>
      <c r="Q72" s="639">
        <f t="shared" si="22"/>
        <v>0</v>
      </c>
      <c r="R72" s="639">
        <f t="shared" si="22"/>
        <v>0</v>
      </c>
      <c r="S72" s="640">
        <f t="shared" si="22"/>
        <v>0</v>
      </c>
      <c r="T72"/>
      <c r="U72" s="93">
        <f t="shared" si="0"/>
        <v>1</v>
      </c>
      <c r="V72" s="24">
        <v>1</v>
      </c>
      <c r="W72" s="125"/>
    </row>
    <row r="73" spans="2:23" s="2" customFormat="1" ht="13.5" customHeight="1">
      <c r="B73" s="3"/>
      <c r="C73" s="549" t="s">
        <v>1052</v>
      </c>
      <c r="D73" s="544"/>
      <c r="E73" s="638">
        <v>1</v>
      </c>
      <c r="F73" s="547"/>
      <c r="G73" s="118"/>
      <c r="H73" s="118"/>
      <c r="I73" s="118"/>
      <c r="J73" s="118"/>
      <c r="K73" s="118"/>
      <c r="L73" s="96"/>
      <c r="M73" s="96"/>
      <c r="N73" s="96"/>
      <c r="O73" s="96"/>
      <c r="P73" s="96"/>
      <c r="Q73" s="96"/>
      <c r="R73" s="96"/>
      <c r="S73" s="634"/>
      <c r="T73"/>
      <c r="U73" s="93">
        <f t="shared" si="0"/>
        <v>1</v>
      </c>
      <c r="V73" s="24">
        <v>1</v>
      </c>
      <c r="W73" s="125"/>
    </row>
    <row r="74" spans="2:23" s="2" customFormat="1" ht="13.5" customHeight="1">
      <c r="B74" s="3"/>
      <c r="C74" s="549" t="s">
        <v>1053</v>
      </c>
      <c r="D74" s="544"/>
      <c r="E74" s="638">
        <v>2</v>
      </c>
      <c r="F74" s="547"/>
      <c r="G74" s="118"/>
      <c r="H74" s="118"/>
      <c r="I74" s="118"/>
      <c r="J74" s="118"/>
      <c r="K74" s="118"/>
      <c r="L74" s="580"/>
      <c r="M74" s="580"/>
      <c r="N74" s="580"/>
      <c r="O74" s="580"/>
      <c r="P74" s="580"/>
      <c r="Q74" s="580"/>
      <c r="R74" s="580"/>
      <c r="S74" s="553"/>
      <c r="T74"/>
      <c r="U74" s="93">
        <f t="shared" si="0"/>
        <v>1</v>
      </c>
      <c r="V74" s="24">
        <v>1</v>
      </c>
      <c r="W74" s="125"/>
    </row>
    <row r="75" spans="2:23" s="2" customFormat="1" ht="13.5" customHeight="1">
      <c r="B75" s="3"/>
      <c r="C75" s="1085" t="s">
        <v>1054</v>
      </c>
      <c r="D75" s="1115"/>
      <c r="E75" s="1194">
        <v>3</v>
      </c>
      <c r="F75" s="1116"/>
      <c r="G75" s="1117"/>
      <c r="H75" s="1117"/>
      <c r="I75" s="1117"/>
      <c r="J75" s="1117"/>
      <c r="K75" s="1117"/>
      <c r="L75" s="1118"/>
      <c r="M75" s="1118"/>
      <c r="N75" s="1118"/>
      <c r="O75" s="1118"/>
      <c r="P75" s="1118"/>
      <c r="Q75" s="1118"/>
      <c r="R75" s="1118"/>
      <c r="S75" s="1119"/>
      <c r="T75"/>
      <c r="U75" s="93">
        <f t="shared" si="0"/>
        <v>1</v>
      </c>
      <c r="V75" s="24">
        <v>1</v>
      </c>
      <c r="W75" s="125"/>
    </row>
    <row r="76" spans="2:23" s="2" customFormat="1" ht="13.5" customHeight="1">
      <c r="B76" s="3"/>
      <c r="C76" s="117"/>
      <c r="D76" s="3"/>
      <c r="E76" s="3"/>
      <c r="F76" s="3"/>
      <c r="G76" s="124"/>
      <c r="H76" s="118"/>
      <c r="I76" s="104"/>
      <c r="J76" s="104"/>
      <c r="K76" s="104"/>
      <c r="L76" s="104"/>
      <c r="M76" s="123"/>
      <c r="N76" s="123"/>
      <c r="O76" s="123"/>
      <c r="P76" s="123"/>
      <c r="Q76" s="123"/>
      <c r="R76" s="123"/>
      <c r="S76" s="123"/>
      <c r="T76"/>
      <c r="U76" s="93">
        <f t="shared" si="0"/>
        <v>0</v>
      </c>
      <c r="V76" s="24">
        <v>0</v>
      </c>
    </row>
    <row r="77" spans="2:23" s="2" customFormat="1" ht="14.4">
      <c r="B77" s="3"/>
      <c r="C77" s="807" t="s">
        <v>1055</v>
      </c>
      <c r="D77" s="808"/>
      <c r="E77" s="808"/>
      <c r="F77" s="808"/>
      <c r="G77" s="808"/>
      <c r="H77" s="808"/>
      <c r="I77" s="808"/>
      <c r="J77" s="808"/>
      <c r="K77" s="808"/>
      <c r="L77" s="808"/>
      <c r="M77" s="808"/>
      <c r="N77" s="808"/>
      <c r="O77" s="808"/>
      <c r="P77" s="808"/>
      <c r="Q77" s="808"/>
      <c r="R77" s="808"/>
      <c r="S77" s="808"/>
      <c r="T77"/>
      <c r="U77" s="93">
        <f t="shared" si="0"/>
        <v>1</v>
      </c>
      <c r="V77" s="24">
        <v>1</v>
      </c>
    </row>
    <row r="78" spans="2:23" s="2" customFormat="1" ht="13.5" customHeight="1">
      <c r="B78" s="3"/>
      <c r="C78" s="119"/>
      <c r="D78" s="3"/>
      <c r="E78" s="3"/>
      <c r="F78" s="3"/>
      <c r="G78" s="118"/>
      <c r="H78" s="118"/>
      <c r="I78" s="118"/>
      <c r="J78" s="118"/>
      <c r="K78" s="118"/>
      <c r="L78" s="75"/>
      <c r="M78" s="75"/>
      <c r="N78" s="75"/>
      <c r="O78" s="75"/>
      <c r="P78" s="75"/>
      <c r="Q78" s="75"/>
      <c r="R78" s="75"/>
      <c r="S78" s="75"/>
      <c r="T78"/>
      <c r="U78" s="93">
        <f t="shared" si="0"/>
        <v>0</v>
      </c>
      <c r="V78" s="24">
        <v>0</v>
      </c>
      <c r="W78" s="125"/>
    </row>
    <row r="79" spans="2:23" s="2" customFormat="1" ht="13.5" customHeight="1" thickBot="1">
      <c r="B79" s="3"/>
      <c r="C79" s="98" t="s">
        <v>897</v>
      </c>
      <c r="D79" s="122"/>
      <c r="E79" s="122"/>
      <c r="F79" s="121"/>
      <c r="G79" s="120"/>
      <c r="H79" s="120"/>
      <c r="I79" s="120"/>
      <c r="J79" s="120"/>
      <c r="K79" s="120"/>
      <c r="L79" s="120"/>
      <c r="M79" s="120"/>
      <c r="N79" s="120"/>
      <c r="O79" s="120"/>
      <c r="P79" s="120"/>
      <c r="Q79" s="120"/>
      <c r="R79" s="120"/>
      <c r="S79" s="120"/>
      <c r="T79"/>
      <c r="U79" s="93">
        <f t="shared" si="0"/>
        <v>1</v>
      </c>
      <c r="V79" s="24">
        <v>1</v>
      </c>
    </row>
    <row r="80" spans="2:23" s="2" customFormat="1" ht="13.5" customHeight="1" thickBot="1">
      <c r="B80" s="3"/>
      <c r="C80" s="81" t="s">
        <v>1056</v>
      </c>
      <c r="D80" s="3" t="s">
        <v>1057</v>
      </c>
      <c r="E80" s="3" t="s">
        <v>1027</v>
      </c>
      <c r="F80" s="116"/>
      <c r="G80" s="851">
        <v>4460</v>
      </c>
      <c r="H80" s="851">
        <v>4623</v>
      </c>
      <c r="I80" s="851">
        <v>5209</v>
      </c>
      <c r="J80" s="851">
        <v>6095</v>
      </c>
      <c r="K80" s="851">
        <v>6758</v>
      </c>
      <c r="L80" s="558">
        <f>K80*(1+L81)</f>
        <v>6758</v>
      </c>
      <c r="M80" s="558">
        <f>L80*(1+M81)</f>
        <v>6758</v>
      </c>
      <c r="N80" s="558">
        <f t="shared" ref="N80:S80" si="23">M80*(1+N81)</f>
        <v>6758</v>
      </c>
      <c r="O80" s="558">
        <f t="shared" si="23"/>
        <v>6758</v>
      </c>
      <c r="P80" s="558">
        <f t="shared" si="23"/>
        <v>6758</v>
      </c>
      <c r="Q80" s="558">
        <f t="shared" si="23"/>
        <v>6758</v>
      </c>
      <c r="R80" s="558">
        <f t="shared" si="23"/>
        <v>6758</v>
      </c>
      <c r="S80" s="558">
        <f t="shared" si="23"/>
        <v>6758</v>
      </c>
      <c r="T80"/>
      <c r="U80" s="93">
        <f t="shared" si="0"/>
        <v>1</v>
      </c>
      <c r="V80" s="24">
        <v>1</v>
      </c>
    </row>
    <row r="81" spans="2:22" s="2" customFormat="1" ht="13.5" customHeight="1" thickBot="1">
      <c r="B81" s="3"/>
      <c r="C81" s="119" t="str">
        <f>C80&amp;" Net Sales Growth"</f>
        <v>North America Net Sales Net Sales Growth</v>
      </c>
      <c r="D81" s="3" t="s">
        <v>1058</v>
      </c>
      <c r="E81" s="3" t="s">
        <v>1027</v>
      </c>
      <c r="F81" s="116"/>
      <c r="G81" s="112"/>
      <c r="H81" s="108">
        <v>3.6547085201793728E-2</v>
      </c>
      <c r="I81" s="108">
        <v>0.12675751676400604</v>
      </c>
      <c r="J81" s="108">
        <v>0.17009022845075839</v>
      </c>
      <c r="K81" s="108">
        <v>0.10877768662838383</v>
      </c>
      <c r="L81" s="809">
        <f>L32</f>
        <v>0</v>
      </c>
      <c r="M81" s="810">
        <f t="shared" ref="M81:S81" si="24">M32</f>
        <v>0</v>
      </c>
      <c r="N81" s="810">
        <f t="shared" si="24"/>
        <v>0</v>
      </c>
      <c r="O81" s="810">
        <f t="shared" si="24"/>
        <v>0</v>
      </c>
      <c r="P81" s="810">
        <f t="shared" si="24"/>
        <v>0</v>
      </c>
      <c r="Q81" s="810">
        <f t="shared" si="24"/>
        <v>0</v>
      </c>
      <c r="R81" s="810">
        <f t="shared" si="24"/>
        <v>0</v>
      </c>
      <c r="S81" s="811">
        <f t="shared" si="24"/>
        <v>0</v>
      </c>
      <c r="T81"/>
      <c r="U81" s="93">
        <f t="shared" si="0"/>
        <v>1</v>
      </c>
      <c r="V81" s="24">
        <v>1</v>
      </c>
    </row>
    <row r="82" spans="2:22" s="2" customFormat="1" ht="13.5" customHeight="1" thickBot="1">
      <c r="B82" s="3"/>
      <c r="C82" s="81" t="s">
        <v>1059</v>
      </c>
      <c r="D82" s="3" t="s">
        <v>1057</v>
      </c>
      <c r="E82" s="3" t="s">
        <v>1027</v>
      </c>
      <c r="F82" s="116"/>
      <c r="G82" s="851">
        <v>2939</v>
      </c>
      <c r="H82" s="851">
        <v>2567</v>
      </c>
      <c r="I82" s="851">
        <v>2558</v>
      </c>
      <c r="J82" s="851">
        <v>3212</v>
      </c>
      <c r="K82" s="851">
        <v>3569</v>
      </c>
      <c r="L82" s="558">
        <f>K82*(1+L83)</f>
        <v>3569</v>
      </c>
      <c r="M82" s="558">
        <f t="shared" ref="M82" si="25">L82*(1+M83)</f>
        <v>3569</v>
      </c>
      <c r="N82" s="558">
        <f t="shared" ref="N82" si="26">M82*(1+N83)</f>
        <v>3569</v>
      </c>
      <c r="O82" s="558">
        <f t="shared" ref="O82" si="27">N82*(1+O83)</f>
        <v>3569</v>
      </c>
      <c r="P82" s="558">
        <f t="shared" ref="P82" si="28">O82*(1+P83)</f>
        <v>3569</v>
      </c>
      <c r="Q82" s="558">
        <f t="shared" ref="Q82" si="29">P82*(1+Q83)</f>
        <v>3569</v>
      </c>
      <c r="R82" s="558">
        <f t="shared" ref="R82" si="30">Q82*(1+R83)</f>
        <v>3569</v>
      </c>
      <c r="S82" s="558">
        <f t="shared" ref="S82" si="31">R82*(1+S83)</f>
        <v>3569</v>
      </c>
      <c r="T82"/>
      <c r="U82" s="93">
        <f t="shared" si="0"/>
        <v>1</v>
      </c>
      <c r="V82" s="24">
        <v>1</v>
      </c>
    </row>
    <row r="83" spans="2:22" s="2" customFormat="1" ht="13.5" customHeight="1" thickBot="1">
      <c r="B83" s="3"/>
      <c r="C83" s="119" t="str">
        <f>C82&amp;" Net Sales Growth"</f>
        <v>Europe Net Sales Net Sales Growth</v>
      </c>
      <c r="D83" s="3" t="s">
        <v>1058</v>
      </c>
      <c r="E83" s="3" t="s">
        <v>1027</v>
      </c>
      <c r="F83" s="116"/>
      <c r="G83" s="563"/>
      <c r="H83" s="108">
        <v>-0.12657366451173868</v>
      </c>
      <c r="I83" s="108">
        <v>-3.5060381768601268E-3</v>
      </c>
      <c r="J83" s="108">
        <v>0.25566849100860045</v>
      </c>
      <c r="K83" s="108">
        <v>0.11114570361145693</v>
      </c>
      <c r="L83" s="809">
        <f t="shared" ref="L83:S83" si="32">L37</f>
        <v>0</v>
      </c>
      <c r="M83" s="810">
        <f t="shared" si="32"/>
        <v>0</v>
      </c>
      <c r="N83" s="810">
        <f t="shared" si="32"/>
        <v>0</v>
      </c>
      <c r="O83" s="810">
        <f t="shared" si="32"/>
        <v>0</v>
      </c>
      <c r="P83" s="810">
        <f t="shared" si="32"/>
        <v>0</v>
      </c>
      <c r="Q83" s="810">
        <f t="shared" si="32"/>
        <v>0</v>
      </c>
      <c r="R83" s="810">
        <f t="shared" si="32"/>
        <v>0</v>
      </c>
      <c r="S83" s="811">
        <f t="shared" si="32"/>
        <v>0</v>
      </c>
      <c r="T83"/>
      <c r="U83" s="93">
        <f t="shared" si="0"/>
        <v>1</v>
      </c>
      <c r="V83" s="24">
        <v>1</v>
      </c>
    </row>
    <row r="84" spans="2:22" s="2" customFormat="1" ht="13.5" customHeight="1" thickBot="1">
      <c r="B84" s="3"/>
      <c r="C84" s="81" t="s">
        <v>1060</v>
      </c>
      <c r="D84" s="3" t="s">
        <v>1057</v>
      </c>
      <c r="E84" s="3" t="s">
        <v>1027</v>
      </c>
      <c r="F84" s="116"/>
      <c r="G84" s="851">
        <v>1597</v>
      </c>
      <c r="H84" s="851">
        <v>1346</v>
      </c>
      <c r="I84" s="851">
        <v>1412</v>
      </c>
      <c r="J84" s="851">
        <v>1682</v>
      </c>
      <c r="K84" s="851">
        <v>1699</v>
      </c>
      <c r="L84" s="558">
        <f>K84*(1+L85)</f>
        <v>1699</v>
      </c>
      <c r="M84" s="558">
        <f t="shared" ref="M84" si="33">L84*(1+M85)</f>
        <v>1699</v>
      </c>
      <c r="N84" s="558">
        <f t="shared" ref="N84" si="34">M84*(1+N85)</f>
        <v>1699</v>
      </c>
      <c r="O84" s="558">
        <f t="shared" ref="O84" si="35">N84*(1+O85)</f>
        <v>1699</v>
      </c>
      <c r="P84" s="558">
        <f t="shared" ref="P84" si="36">O84*(1+P85)</f>
        <v>1699</v>
      </c>
      <c r="Q84" s="558">
        <f t="shared" ref="Q84" si="37">P84*(1+Q85)</f>
        <v>1699</v>
      </c>
      <c r="R84" s="558">
        <f t="shared" ref="R84" si="38">Q84*(1+R85)</f>
        <v>1699</v>
      </c>
      <c r="S84" s="558">
        <f t="shared" ref="S84" si="39">R84*(1+S85)</f>
        <v>1699</v>
      </c>
      <c r="T84"/>
      <c r="U84" s="93">
        <f t="shared" si="0"/>
        <v>1</v>
      </c>
      <c r="V84" s="24">
        <v>1</v>
      </c>
    </row>
    <row r="85" spans="2:22" s="2" customFormat="1" ht="13.5" customHeight="1" thickBot="1">
      <c r="B85" s="3"/>
      <c r="C85" s="119" t="str">
        <f>C84&amp;" Net Sales Growth"</f>
        <v>Africa Net Sales Net Sales Growth</v>
      </c>
      <c r="D85" s="3" t="s">
        <v>1058</v>
      </c>
      <c r="E85" s="3" t="s">
        <v>1027</v>
      </c>
      <c r="F85" s="116"/>
      <c r="G85" s="112"/>
      <c r="H85" s="108">
        <v>-0.15716969317470253</v>
      </c>
      <c r="I85" s="108">
        <v>4.9034175334323971E-2</v>
      </c>
      <c r="J85" s="108">
        <v>0.19121813031161472</v>
      </c>
      <c r="K85" s="108">
        <v>1.0107015457788249E-2</v>
      </c>
      <c r="L85" s="809">
        <f t="shared" ref="L85:S85" si="40">L42</f>
        <v>0</v>
      </c>
      <c r="M85" s="810">
        <f t="shared" si="40"/>
        <v>0</v>
      </c>
      <c r="N85" s="810">
        <f t="shared" si="40"/>
        <v>0</v>
      </c>
      <c r="O85" s="810">
        <f t="shared" si="40"/>
        <v>0</v>
      </c>
      <c r="P85" s="810">
        <f t="shared" si="40"/>
        <v>0</v>
      </c>
      <c r="Q85" s="810">
        <f t="shared" si="40"/>
        <v>0</v>
      </c>
      <c r="R85" s="810">
        <f t="shared" si="40"/>
        <v>0</v>
      </c>
      <c r="S85" s="811">
        <f t="shared" si="40"/>
        <v>0</v>
      </c>
      <c r="T85"/>
      <c r="U85" s="93">
        <f t="shared" si="0"/>
        <v>1</v>
      </c>
      <c r="V85" s="24">
        <v>1</v>
      </c>
    </row>
    <row r="86" spans="2:22" s="2" customFormat="1" ht="13.5" customHeight="1" thickBot="1">
      <c r="B86" s="3"/>
      <c r="C86" s="81" t="s">
        <v>1061</v>
      </c>
      <c r="D86" s="3" t="s">
        <v>1057</v>
      </c>
      <c r="E86" s="3" t="s">
        <v>1027</v>
      </c>
      <c r="F86" s="116"/>
      <c r="G86" s="851">
        <v>1130</v>
      </c>
      <c r="H86" s="851">
        <v>908</v>
      </c>
      <c r="I86" s="851">
        <v>1046</v>
      </c>
      <c r="J86" s="851">
        <v>1525</v>
      </c>
      <c r="K86" s="851">
        <v>1799</v>
      </c>
      <c r="L86" s="558">
        <f>K86*(1+L87)</f>
        <v>1799</v>
      </c>
      <c r="M86" s="558">
        <f t="shared" ref="M86" si="41">L86*(1+M87)</f>
        <v>1799</v>
      </c>
      <c r="N86" s="558">
        <f t="shared" ref="N86" si="42">M86*(1+N87)</f>
        <v>1799</v>
      </c>
      <c r="O86" s="558">
        <f t="shared" ref="O86" si="43">N86*(1+O87)</f>
        <v>1799</v>
      </c>
      <c r="P86" s="558">
        <f t="shared" ref="P86" si="44">O86*(1+P87)</f>
        <v>1799</v>
      </c>
      <c r="Q86" s="558">
        <f t="shared" ref="Q86" si="45">P86*(1+Q87)</f>
        <v>1799</v>
      </c>
      <c r="R86" s="558">
        <f t="shared" ref="R86" si="46">Q86*(1+R87)</f>
        <v>1799</v>
      </c>
      <c r="S86" s="558">
        <f t="shared" ref="S86" si="47">R86*(1+S87)</f>
        <v>1799</v>
      </c>
      <c r="T86"/>
      <c r="U86" s="93">
        <f t="shared" si="0"/>
        <v>1</v>
      </c>
      <c r="V86" s="24">
        <v>1</v>
      </c>
    </row>
    <row r="87" spans="2:22" s="2" customFormat="1" ht="13.5" customHeight="1" thickBot="1">
      <c r="B87" s="3"/>
      <c r="C87" s="119" t="str">
        <f>C86&amp;" Net Sales Growth"</f>
        <v>LatAm and Caribbean Net Sales Net Sales Growth</v>
      </c>
      <c r="D87" s="3" t="s">
        <v>1058</v>
      </c>
      <c r="E87" s="3" t="s">
        <v>1027</v>
      </c>
      <c r="F87" s="116"/>
      <c r="G87" s="112"/>
      <c r="H87" s="108">
        <v>-0.19646017699115048</v>
      </c>
      <c r="I87" s="108">
        <v>0.15198237885462551</v>
      </c>
      <c r="J87" s="108">
        <v>0.45793499043977048</v>
      </c>
      <c r="K87" s="108">
        <v>0.17967213114754088</v>
      </c>
      <c r="L87" s="809">
        <f t="shared" ref="L87:S87" si="48">L47</f>
        <v>0</v>
      </c>
      <c r="M87" s="810">
        <f t="shared" si="48"/>
        <v>0</v>
      </c>
      <c r="N87" s="810">
        <f t="shared" si="48"/>
        <v>0</v>
      </c>
      <c r="O87" s="810">
        <f t="shared" si="48"/>
        <v>0</v>
      </c>
      <c r="P87" s="810">
        <f t="shared" si="48"/>
        <v>0</v>
      </c>
      <c r="Q87" s="810">
        <f t="shared" si="48"/>
        <v>0</v>
      </c>
      <c r="R87" s="810">
        <f t="shared" si="48"/>
        <v>0</v>
      </c>
      <c r="S87" s="811">
        <f t="shared" si="48"/>
        <v>0</v>
      </c>
      <c r="T87"/>
      <c r="U87" s="93">
        <f t="shared" si="0"/>
        <v>1</v>
      </c>
      <c r="V87" s="24">
        <v>1</v>
      </c>
    </row>
    <row r="88" spans="2:22" s="2" customFormat="1" ht="13.5" customHeight="1" thickBot="1">
      <c r="B88" s="3"/>
      <c r="C88" s="81" t="s">
        <v>1062</v>
      </c>
      <c r="D88" s="3" t="s">
        <v>1057</v>
      </c>
      <c r="E88" s="3" t="s">
        <v>1027</v>
      </c>
      <c r="F88" s="116"/>
      <c r="G88" s="851">
        <v>2688</v>
      </c>
      <c r="H88" s="851">
        <v>2270</v>
      </c>
      <c r="I88" s="851">
        <v>2488</v>
      </c>
      <c r="J88" s="851">
        <v>2884</v>
      </c>
      <c r="K88" s="851">
        <v>3200</v>
      </c>
      <c r="L88" s="558">
        <f>K88*(1+L89)</f>
        <v>3200</v>
      </c>
      <c r="M88" s="558">
        <f t="shared" ref="M88" si="49">L88*(1+M89)</f>
        <v>3200</v>
      </c>
      <c r="N88" s="558">
        <f t="shared" ref="N88" si="50">M88*(1+N89)</f>
        <v>3200</v>
      </c>
      <c r="O88" s="558">
        <f t="shared" ref="O88" si="51">N88*(1+O89)</f>
        <v>3200</v>
      </c>
      <c r="P88" s="558">
        <f t="shared" ref="P88" si="52">O88*(1+P89)</f>
        <v>3200</v>
      </c>
      <c r="Q88" s="558">
        <f t="shared" ref="Q88" si="53">P88*(1+Q89)</f>
        <v>3200</v>
      </c>
      <c r="R88" s="558">
        <f t="shared" ref="R88" si="54">Q88*(1+R89)</f>
        <v>3200</v>
      </c>
      <c r="S88" s="558">
        <f t="shared" ref="S88" si="55">R88*(1+S89)</f>
        <v>3200</v>
      </c>
      <c r="T88"/>
      <c r="U88" s="93">
        <f t="shared" si="0"/>
        <v>1</v>
      </c>
      <c r="V88" s="24">
        <v>1</v>
      </c>
    </row>
    <row r="89" spans="2:22" s="2" customFormat="1" ht="13.5" customHeight="1" thickBot="1">
      <c r="B89" s="3"/>
      <c r="C89" s="119" t="str">
        <f>C88&amp;" Net Sales Growth"</f>
        <v>Asia Pacific Net Sales Net Sales Growth</v>
      </c>
      <c r="D89" s="3" t="s">
        <v>1058</v>
      </c>
      <c r="E89" s="3" t="s">
        <v>1027</v>
      </c>
      <c r="F89" s="116"/>
      <c r="G89" s="112"/>
      <c r="H89" s="108">
        <v>-0.15550595238095233</v>
      </c>
      <c r="I89" s="108">
        <v>9.603524229074889E-2</v>
      </c>
      <c r="J89" s="108">
        <v>0.15916398713826374</v>
      </c>
      <c r="K89" s="108">
        <v>0.10957004160887651</v>
      </c>
      <c r="L89" s="809">
        <f t="shared" ref="L89:S89" si="56">L52</f>
        <v>0</v>
      </c>
      <c r="M89" s="810">
        <f t="shared" si="56"/>
        <v>0</v>
      </c>
      <c r="N89" s="810">
        <f t="shared" si="56"/>
        <v>0</v>
      </c>
      <c r="O89" s="810">
        <f t="shared" si="56"/>
        <v>0</v>
      </c>
      <c r="P89" s="810">
        <f t="shared" si="56"/>
        <v>0</v>
      </c>
      <c r="Q89" s="810">
        <f t="shared" si="56"/>
        <v>0</v>
      </c>
      <c r="R89" s="810">
        <f t="shared" si="56"/>
        <v>0</v>
      </c>
      <c r="S89" s="811">
        <f t="shared" si="56"/>
        <v>0</v>
      </c>
      <c r="T89"/>
      <c r="U89" s="93">
        <f t="shared" si="0"/>
        <v>1</v>
      </c>
      <c r="V89" s="24">
        <v>1</v>
      </c>
    </row>
    <row r="90" spans="2:22" s="2" customFormat="1" ht="13.5" customHeight="1" thickBot="1">
      <c r="B90" s="3"/>
      <c r="C90" s="81" t="s">
        <v>1063</v>
      </c>
      <c r="D90" s="3" t="s">
        <v>1057</v>
      </c>
      <c r="E90" s="3" t="s">
        <v>1027</v>
      </c>
      <c r="F90" s="116"/>
      <c r="G90" s="851">
        <v>53</v>
      </c>
      <c r="H90" s="851">
        <v>38</v>
      </c>
      <c r="I90" s="851">
        <v>20</v>
      </c>
      <c r="J90" s="851">
        <v>54</v>
      </c>
      <c r="K90" s="851">
        <v>88</v>
      </c>
      <c r="L90" s="558">
        <f>K90*(1+L91)</f>
        <v>88</v>
      </c>
      <c r="M90" s="558">
        <f t="shared" ref="M90:S90" si="57">L90*(1+M91)</f>
        <v>88</v>
      </c>
      <c r="N90" s="558">
        <f t="shared" si="57"/>
        <v>88</v>
      </c>
      <c r="O90" s="558">
        <f t="shared" si="57"/>
        <v>88</v>
      </c>
      <c r="P90" s="558">
        <f t="shared" si="57"/>
        <v>88</v>
      </c>
      <c r="Q90" s="558">
        <f t="shared" si="57"/>
        <v>88</v>
      </c>
      <c r="R90" s="558">
        <f t="shared" si="57"/>
        <v>88</v>
      </c>
      <c r="S90" s="558">
        <f t="shared" si="57"/>
        <v>88</v>
      </c>
      <c r="T90"/>
      <c r="U90" s="93">
        <f t="shared" si="0"/>
        <v>1</v>
      </c>
      <c r="V90" s="24">
        <v>1</v>
      </c>
    </row>
    <row r="91" spans="2:22" s="2" customFormat="1" ht="13.5" customHeight="1" thickBot="1">
      <c r="B91" s="3"/>
      <c r="C91" s="119" t="str">
        <f>C90&amp;" Net Sales Growth"</f>
        <v>Corporate Net Sales Net Sales Growth</v>
      </c>
      <c r="D91" s="3" t="s">
        <v>1058</v>
      </c>
      <c r="E91" s="3" t="s">
        <v>1027</v>
      </c>
      <c r="F91" s="116"/>
      <c r="G91" s="112"/>
      <c r="H91" s="108">
        <v>-0.28301886792452835</v>
      </c>
      <c r="I91" s="108">
        <v>-0.47368421052631582</v>
      </c>
      <c r="J91" s="108">
        <v>1.7000000000000002</v>
      </c>
      <c r="K91" s="108">
        <v>0.62962962962962954</v>
      </c>
      <c r="L91" s="809">
        <f t="shared" ref="L91:S91" si="58">L57</f>
        <v>0</v>
      </c>
      <c r="M91" s="810">
        <f t="shared" si="58"/>
        <v>0</v>
      </c>
      <c r="N91" s="810">
        <f t="shared" si="58"/>
        <v>0</v>
      </c>
      <c r="O91" s="810">
        <f t="shared" si="58"/>
        <v>0</v>
      </c>
      <c r="P91" s="810">
        <f t="shared" si="58"/>
        <v>0</v>
      </c>
      <c r="Q91" s="810">
        <f t="shared" si="58"/>
        <v>0</v>
      </c>
      <c r="R91" s="810">
        <f t="shared" si="58"/>
        <v>0</v>
      </c>
      <c r="S91" s="811">
        <f t="shared" si="58"/>
        <v>0</v>
      </c>
      <c r="T91"/>
      <c r="U91" s="93">
        <f t="shared" si="0"/>
        <v>1</v>
      </c>
      <c r="V91" s="24">
        <v>1</v>
      </c>
    </row>
    <row r="92" spans="2:22" ht="13.5" customHeight="1">
      <c r="C92" s="146" t="s">
        <v>1064</v>
      </c>
      <c r="D92" s="78" t="s">
        <v>1057</v>
      </c>
      <c r="E92" s="78" t="s">
        <v>1027</v>
      </c>
      <c r="F92" s="78"/>
      <c r="G92" s="1054" t="e">
        <f ca="1">'Income - As Reported'!D8</f>
        <v>#NAME?</v>
      </c>
      <c r="H92" s="1054" t="e">
        <f ca="1">'Income - As Reported'!E8</f>
        <v>#NAME?</v>
      </c>
      <c r="I92" s="1054" t="e">
        <f ca="1">'Income - As Reported'!F8</f>
        <v>#NAME?</v>
      </c>
      <c r="J92" s="1054" t="e">
        <f ca="1">'Income - As Reported'!G8</f>
        <v>#NAME?</v>
      </c>
      <c r="K92" s="1054" t="e">
        <f ca="1">'Income - As Reported'!H8</f>
        <v>#NAME?</v>
      </c>
      <c r="L92" s="562">
        <f>L80+L82+L84+L86+L88+L90</f>
        <v>17113</v>
      </c>
      <c r="M92" s="562">
        <f t="shared" ref="M92:S92" si="59">M80+M82+M84+M86+M88+M90</f>
        <v>17113</v>
      </c>
      <c r="N92" s="562">
        <f t="shared" si="59"/>
        <v>17113</v>
      </c>
      <c r="O92" s="562">
        <f t="shared" si="59"/>
        <v>17113</v>
      </c>
      <c r="P92" s="562">
        <f t="shared" si="59"/>
        <v>17113</v>
      </c>
      <c r="Q92" s="562">
        <f t="shared" si="59"/>
        <v>17113</v>
      </c>
      <c r="R92" s="562">
        <f t="shared" si="59"/>
        <v>17113</v>
      </c>
      <c r="S92" s="562">
        <f t="shared" si="59"/>
        <v>17113</v>
      </c>
      <c r="T92"/>
      <c r="U92" s="93">
        <f t="shared" si="0"/>
        <v>1</v>
      </c>
      <c r="V92" s="24">
        <v>1</v>
      </c>
    </row>
    <row r="93" spans="2:22" ht="13.5" customHeight="1">
      <c r="C93" s="119" t="s">
        <v>1065</v>
      </c>
      <c r="D93" s="1" t="s">
        <v>1058</v>
      </c>
      <c r="E93" s="1" t="s">
        <v>1027</v>
      </c>
      <c r="G93" s="112"/>
      <c r="H93" s="355">
        <v>-8.665578611953062E-2</v>
      </c>
      <c r="I93" s="355">
        <v>8.3475153165418758E-2</v>
      </c>
      <c r="J93" s="355">
        <v>0.21353962145605898</v>
      </c>
      <c r="K93" s="355">
        <v>0.10749417551126061</v>
      </c>
      <c r="L93" s="560" t="str">
        <f t="shared" ref="L93:S93" ca="1" si="60">IFERROR(L92/K92-1,"")</f>
        <v/>
      </c>
      <c r="M93" s="560">
        <f t="shared" si="60"/>
        <v>0</v>
      </c>
      <c r="N93" s="560">
        <f t="shared" si="60"/>
        <v>0</v>
      </c>
      <c r="O93" s="560">
        <f t="shared" si="60"/>
        <v>0</v>
      </c>
      <c r="P93" s="560">
        <f t="shared" si="60"/>
        <v>0</v>
      </c>
      <c r="Q93" s="560">
        <f t="shared" si="60"/>
        <v>0</v>
      </c>
      <c r="R93" s="560">
        <f t="shared" si="60"/>
        <v>0</v>
      </c>
      <c r="S93" s="560">
        <f t="shared" si="60"/>
        <v>0</v>
      </c>
      <c r="T93"/>
      <c r="U93" s="93">
        <f t="shared" si="0"/>
        <v>1</v>
      </c>
      <c r="V93" s="24">
        <v>1</v>
      </c>
    </row>
    <row r="94" spans="2:22" ht="13.5" customHeight="1">
      <c r="C94" s="119"/>
      <c r="D94" s="1"/>
      <c r="E94" s="1"/>
      <c r="G94" s="112"/>
      <c r="H94" s="355"/>
      <c r="I94" s="355"/>
      <c r="J94" s="355"/>
      <c r="K94" s="355"/>
      <c r="L94"/>
      <c r="M94"/>
      <c r="N94"/>
      <c r="O94"/>
      <c r="P94"/>
      <c r="Q94"/>
      <c r="R94"/>
      <c r="S94"/>
      <c r="T94"/>
      <c r="U94" s="93">
        <f t="shared" si="0"/>
        <v>0</v>
      </c>
      <c r="V94" s="24">
        <v>0</v>
      </c>
    </row>
    <row r="95" spans="2:22" ht="15.6">
      <c r="B95" s="115"/>
      <c r="C95" s="807" t="s">
        <v>1066</v>
      </c>
      <c r="D95" s="808"/>
      <c r="E95" s="808"/>
      <c r="F95" s="808"/>
      <c r="G95" s="808"/>
      <c r="H95" s="808"/>
      <c r="I95" s="808"/>
      <c r="J95" s="808"/>
      <c r="K95" s="808"/>
      <c r="L95" s="808"/>
      <c r="M95" s="808"/>
      <c r="N95" s="808"/>
      <c r="O95" s="808"/>
      <c r="P95" s="808"/>
      <c r="Q95" s="808"/>
      <c r="R95" s="808"/>
      <c r="S95" s="808"/>
      <c r="T95"/>
      <c r="U95" s="93">
        <f t="shared" si="0"/>
        <v>1</v>
      </c>
      <c r="V95" s="24">
        <v>1</v>
      </c>
    </row>
    <row r="96" spans="2:22" s="2" customFormat="1" ht="13.5" customHeight="1">
      <c r="B96" s="3"/>
      <c r="C96" s="862"/>
      <c r="D96" s="3"/>
      <c r="E96" s="3"/>
      <c r="F96" s="3"/>
      <c r="G96" s="124"/>
      <c r="H96" s="118"/>
      <c r="I96" s="104"/>
      <c r="J96" s="104"/>
      <c r="K96" s="104"/>
      <c r="L96" s="104"/>
      <c r="M96" s="123"/>
      <c r="N96" s="123"/>
      <c r="O96" s="123"/>
      <c r="P96" s="123"/>
      <c r="Q96" s="123"/>
      <c r="R96" s="123"/>
      <c r="S96" s="123"/>
      <c r="T96"/>
      <c r="U96" s="93">
        <f t="shared" si="0"/>
        <v>0</v>
      </c>
      <c r="V96" s="24">
        <v>0</v>
      </c>
    </row>
    <row r="97" spans="2:99" ht="13.5" customHeight="1" thickBot="1">
      <c r="C97" s="98" t="s">
        <v>1067</v>
      </c>
      <c r="D97" s="57"/>
      <c r="E97" s="57"/>
      <c r="F97" s="57"/>
      <c r="G97" s="57"/>
      <c r="H97" s="57"/>
      <c r="I97" s="57"/>
      <c r="J97" s="57"/>
      <c r="K97" s="57"/>
      <c r="L97" s="57"/>
      <c r="M97" s="57"/>
      <c r="N97" s="57"/>
      <c r="O97" s="57"/>
      <c r="P97" s="57"/>
      <c r="Q97" s="57"/>
      <c r="R97" s="57"/>
      <c r="S97" s="57"/>
      <c r="T97" s="94"/>
      <c r="U97" s="93">
        <f t="shared" si="0"/>
        <v>1</v>
      </c>
      <c r="V97" s="24">
        <v>1</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row>
    <row r="98" spans="2:99" ht="13.5" customHeight="1" thickBot="1">
      <c r="C98" s="113" t="s">
        <v>1068</v>
      </c>
      <c r="T98" s="94"/>
      <c r="U98" s="93">
        <f t="shared" si="0"/>
        <v>1</v>
      </c>
      <c r="V98" s="24">
        <v>1</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row>
    <row r="99" spans="2:99" ht="13.5" customHeight="1" thickBot="1">
      <c r="C99" s="81" t="s">
        <v>1069</v>
      </c>
      <c r="D99" s="3" t="s">
        <v>1058</v>
      </c>
      <c r="E99" s="3" t="s">
        <v>1020</v>
      </c>
      <c r="G99" s="104" t="e">
        <f ca="1">1-G100</f>
        <v>#NAME?</v>
      </c>
      <c r="H99" s="104" t="e">
        <f t="shared" ref="H99:K99" ca="1" si="61">1-H100</f>
        <v>#NAME?</v>
      </c>
      <c r="I99" s="104" t="e">
        <f t="shared" ca="1" si="61"/>
        <v>#NAME?</v>
      </c>
      <c r="J99" s="104" t="e">
        <f t="shared" ca="1" si="61"/>
        <v>#NAME?</v>
      </c>
      <c r="K99" s="104" t="e">
        <f t="shared" ca="1" si="61"/>
        <v>#NAME?</v>
      </c>
      <c r="L99" s="812">
        <f>L62</f>
        <v>0</v>
      </c>
      <c r="M99" s="813">
        <f t="shared" ref="M99:S99" si="62">M62</f>
        <v>0</v>
      </c>
      <c r="N99" s="813">
        <f t="shared" si="62"/>
        <v>0</v>
      </c>
      <c r="O99" s="813">
        <f t="shared" si="62"/>
        <v>0</v>
      </c>
      <c r="P99" s="813">
        <f t="shared" si="62"/>
        <v>0</v>
      </c>
      <c r="Q99" s="813">
        <f t="shared" si="62"/>
        <v>0</v>
      </c>
      <c r="R99" s="813">
        <f t="shared" si="62"/>
        <v>0</v>
      </c>
      <c r="S99" s="814">
        <f t="shared" si="62"/>
        <v>0</v>
      </c>
      <c r="T99" s="94"/>
      <c r="U99" s="93">
        <f t="shared" si="0"/>
        <v>1</v>
      </c>
      <c r="V99" s="24">
        <v>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row>
    <row r="100" spans="2:99" ht="13.5" customHeight="1">
      <c r="B100" s="20"/>
      <c r="C100" s="81" t="s">
        <v>1070</v>
      </c>
      <c r="D100" s="3" t="s">
        <v>1058</v>
      </c>
      <c r="E100" s="3" t="s">
        <v>1020</v>
      </c>
      <c r="F100" s="23"/>
      <c r="G100" s="108" t="e">
        <f ca="1">-G101/G92</f>
        <v>#NAME?</v>
      </c>
      <c r="H100" s="108" t="e">
        <f ca="1">-H101/H92</f>
        <v>#NAME?</v>
      </c>
      <c r="I100" s="108" t="e">
        <f ca="1">-I101/I92</f>
        <v>#NAME?</v>
      </c>
      <c r="J100" s="108" t="e">
        <f ca="1">-J101/J92</f>
        <v>#NAME?</v>
      </c>
      <c r="K100" s="108" t="e">
        <f ca="1">-K101/K92</f>
        <v>#NAME?</v>
      </c>
      <c r="L100" s="566">
        <f>1-L99</f>
        <v>1</v>
      </c>
      <c r="M100" s="566">
        <f t="shared" ref="M100:S100" si="63">1-M99</f>
        <v>1</v>
      </c>
      <c r="N100" s="566">
        <f t="shared" si="63"/>
        <v>1</v>
      </c>
      <c r="O100" s="566">
        <f t="shared" si="63"/>
        <v>1</v>
      </c>
      <c r="P100" s="566">
        <f t="shared" si="63"/>
        <v>1</v>
      </c>
      <c r="Q100" s="566">
        <f t="shared" si="63"/>
        <v>1</v>
      </c>
      <c r="R100" s="566">
        <f t="shared" si="63"/>
        <v>1</v>
      </c>
      <c r="S100" s="566">
        <f t="shared" si="63"/>
        <v>1</v>
      </c>
      <c r="T100" s="94"/>
      <c r="U100" s="93">
        <f t="shared" si="0"/>
        <v>1</v>
      </c>
      <c r="V100" s="24">
        <v>1</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row>
    <row r="101" spans="2:99" ht="13.5" customHeight="1">
      <c r="B101" s="20"/>
      <c r="C101" s="146" t="s">
        <v>1071</v>
      </c>
      <c r="D101" s="78" t="s">
        <v>1057</v>
      </c>
      <c r="E101" s="78" t="s">
        <v>1027</v>
      </c>
      <c r="F101" s="567"/>
      <c r="G101" s="561">
        <f>'DCF - Financials'!G13</f>
        <v>-139.767</v>
      </c>
      <c r="H101" s="561">
        <f>'DCF - Financials'!H13</f>
        <v>-157.41900000000001</v>
      </c>
      <c r="I101" s="561">
        <f>'DCF - Financials'!I13</f>
        <v>-205.17099999999999</v>
      </c>
      <c r="J101" s="561">
        <f>'DCF - Financials'!J13</f>
        <v>-249.49</v>
      </c>
      <c r="K101" s="561">
        <f>'DCF - Financials'!K13</f>
        <v>-307.83499999999998</v>
      </c>
      <c r="L101" s="562">
        <f t="shared" ref="L101:S101" si="64">-L92*L100</f>
        <v>-17113</v>
      </c>
      <c r="M101" s="562">
        <f t="shared" si="64"/>
        <v>-17113</v>
      </c>
      <c r="N101" s="562">
        <f t="shared" si="64"/>
        <v>-17113</v>
      </c>
      <c r="O101" s="562">
        <f t="shared" si="64"/>
        <v>-17113</v>
      </c>
      <c r="P101" s="562">
        <f t="shared" si="64"/>
        <v>-17113</v>
      </c>
      <c r="Q101" s="562">
        <f t="shared" si="64"/>
        <v>-17113</v>
      </c>
      <c r="R101" s="562">
        <f t="shared" si="64"/>
        <v>-17113</v>
      </c>
      <c r="S101" s="562">
        <f t="shared" si="64"/>
        <v>-17113</v>
      </c>
      <c r="T101" s="94"/>
      <c r="U101" s="93">
        <f t="shared" si="0"/>
        <v>1</v>
      </c>
      <c r="V101" s="24">
        <v>1</v>
      </c>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row>
    <row r="102" spans="2:99" ht="13.5" customHeight="1">
      <c r="B102" s="20"/>
      <c r="C102" s="81"/>
      <c r="F102" s="23"/>
      <c r="G102" s="108"/>
      <c r="H102" s="108"/>
      <c r="I102" s="108"/>
      <c r="J102" s="108"/>
      <c r="K102" s="108"/>
      <c r="L102" s="108"/>
      <c r="M102" s="108"/>
      <c r="N102" s="108"/>
      <c r="O102" s="108"/>
      <c r="P102" s="108"/>
      <c r="Q102" s="108"/>
      <c r="R102" s="108"/>
      <c r="S102" s="108"/>
      <c r="T102" s="94"/>
      <c r="U102" s="93">
        <f t="shared" si="0"/>
        <v>0</v>
      </c>
      <c r="V102" s="24">
        <v>0</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row>
    <row r="103" spans="2:99" ht="13.5" customHeight="1" thickBot="1">
      <c r="B103" s="20"/>
      <c r="C103" s="98" t="s">
        <v>1072</v>
      </c>
      <c r="D103" s="57"/>
      <c r="E103" s="57"/>
      <c r="F103" s="57"/>
      <c r="G103" s="57"/>
      <c r="H103" s="57"/>
      <c r="I103" s="57"/>
      <c r="J103" s="57"/>
      <c r="K103" s="57"/>
      <c r="L103" s="57"/>
      <c r="M103" s="57"/>
      <c r="N103" s="57"/>
      <c r="O103" s="57"/>
      <c r="P103" s="57"/>
      <c r="Q103" s="57"/>
      <c r="R103" s="57"/>
      <c r="S103" s="57"/>
      <c r="T103" s="94"/>
      <c r="U103" s="93">
        <f t="shared" si="0"/>
        <v>1</v>
      </c>
      <c r="V103" s="24">
        <v>1</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row>
    <row r="104" spans="2:99" ht="13.5" customHeight="1" thickBot="1">
      <c r="B104" s="20"/>
      <c r="C104" s="113" t="s">
        <v>1068</v>
      </c>
      <c r="T104" s="94"/>
      <c r="U104" s="93">
        <f t="shared" si="0"/>
        <v>1</v>
      </c>
      <c r="V104" s="24">
        <v>1</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row>
    <row r="105" spans="2:99" ht="13.5" customHeight="1" thickBot="1">
      <c r="B105" s="20"/>
      <c r="C105" s="81" t="s">
        <v>1073</v>
      </c>
      <c r="D105" s="3" t="s">
        <v>1058</v>
      </c>
      <c r="E105" s="3" t="s">
        <v>1020</v>
      </c>
      <c r="F105" s="23"/>
      <c r="G105" s="108">
        <f>'DCF - Financials'!G19/'DCF - Financials'!G$9</f>
        <v>-0.29226899006013007</v>
      </c>
      <c r="H105" s="108">
        <f>'DCF - Financials'!H19/'DCF - Financials'!H$9</f>
        <v>-0.28126084282921837</v>
      </c>
      <c r="I105" s="108">
        <f>'DCF - Financials'!I19/'DCF - Financials'!I$9</f>
        <v>-0.27823395670972917</v>
      </c>
      <c r="J105" s="108">
        <f>'DCF - Financials'!J19/'DCF - Financials'!J$9</f>
        <v>-0.27589172365780745</v>
      </c>
      <c r="K105" s="108">
        <f>'DCF - Financials'!K19/'DCF - Financials'!K$9</f>
        <v>-0.25705674871414586</v>
      </c>
      <c r="L105" s="812">
        <f t="shared" ref="L105:S105" si="65">L67</f>
        <v>0</v>
      </c>
      <c r="M105" s="813">
        <f t="shared" si="65"/>
        <v>0</v>
      </c>
      <c r="N105" s="813">
        <f t="shared" si="65"/>
        <v>0</v>
      </c>
      <c r="O105" s="813">
        <f t="shared" si="65"/>
        <v>0</v>
      </c>
      <c r="P105" s="813">
        <f t="shared" si="65"/>
        <v>0</v>
      </c>
      <c r="Q105" s="813">
        <f t="shared" si="65"/>
        <v>0</v>
      </c>
      <c r="R105" s="813">
        <f t="shared" si="65"/>
        <v>0</v>
      </c>
      <c r="S105" s="814">
        <f t="shared" si="65"/>
        <v>0</v>
      </c>
      <c r="T105" s="94"/>
      <c r="U105" s="93">
        <f t="shared" si="0"/>
        <v>1</v>
      </c>
      <c r="V105" s="24">
        <v>1</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row>
    <row r="106" spans="2:99" ht="13.5" customHeight="1">
      <c r="B106" s="20"/>
      <c r="C106" s="146" t="s">
        <v>1074</v>
      </c>
      <c r="D106" s="78" t="s">
        <v>1057</v>
      </c>
      <c r="E106" s="78" t="s">
        <v>1027</v>
      </c>
      <c r="F106" s="567"/>
      <c r="G106" s="561">
        <f>'DCF - Financials'!G19</f>
        <v>-142.90199999999999</v>
      </c>
      <c r="H106" s="561">
        <f>'DCF - Financials'!H19</f>
        <v>-163.745</v>
      </c>
      <c r="I106" s="561">
        <f>'DCF - Financials'!I19</f>
        <v>-211.71100000000001</v>
      </c>
      <c r="J106" s="561">
        <f>'DCF - Financials'!J19</f>
        <v>-249.26900000000001</v>
      </c>
      <c r="K106" s="561">
        <f>'DCF - Financials'!K19</f>
        <v>-270.38</v>
      </c>
      <c r="L106" s="562">
        <f>L105*L$92</f>
        <v>0</v>
      </c>
      <c r="M106" s="562">
        <f t="shared" ref="M106:S106" si="66">M105*M$92</f>
        <v>0</v>
      </c>
      <c r="N106" s="562">
        <f t="shared" si="66"/>
        <v>0</v>
      </c>
      <c r="O106" s="562">
        <f t="shared" si="66"/>
        <v>0</v>
      </c>
      <c r="P106" s="562">
        <f t="shared" si="66"/>
        <v>0</v>
      </c>
      <c r="Q106" s="562">
        <f t="shared" si="66"/>
        <v>0</v>
      </c>
      <c r="R106" s="562">
        <f t="shared" si="66"/>
        <v>0</v>
      </c>
      <c r="S106" s="562">
        <f t="shared" si="66"/>
        <v>0</v>
      </c>
      <c r="T106" s="94"/>
      <c r="U106" s="93">
        <f t="shared" si="0"/>
        <v>1</v>
      </c>
      <c r="V106" s="24">
        <v>1</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row>
    <row r="107" spans="2:99" ht="13.5" customHeight="1">
      <c r="B107" s="20"/>
      <c r="C107" s="81"/>
      <c r="F107" s="23"/>
      <c r="G107" s="108"/>
      <c r="H107" s="108"/>
      <c r="I107" s="108"/>
      <c r="J107" s="108"/>
      <c r="K107" s="108"/>
      <c r="L107"/>
      <c r="M107"/>
      <c r="N107"/>
      <c r="O107"/>
      <c r="P107"/>
      <c r="Q107"/>
      <c r="R107"/>
      <c r="S107"/>
      <c r="T107" s="94"/>
      <c r="U107" s="93">
        <f t="shared" si="0"/>
        <v>0</v>
      </c>
      <c r="V107" s="24">
        <v>0</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row>
    <row r="108" spans="2:99" ht="13.5" customHeight="1" thickBot="1">
      <c r="B108" s="20"/>
      <c r="C108" s="98" t="s">
        <v>1075</v>
      </c>
      <c r="D108" s="57"/>
      <c r="E108" s="57"/>
      <c r="F108" s="57"/>
      <c r="G108" s="57"/>
      <c r="H108" s="57"/>
      <c r="I108" s="57"/>
      <c r="J108" s="57"/>
      <c r="K108" s="57"/>
      <c r="L108" s="57"/>
      <c r="M108" s="57"/>
      <c r="N108" s="57"/>
      <c r="O108" s="57"/>
      <c r="P108" s="57"/>
      <c r="Q108" s="57"/>
      <c r="R108" s="57"/>
      <c r="S108" s="57"/>
      <c r="T108" s="94"/>
      <c r="U108" s="93">
        <f t="shared" si="0"/>
        <v>1</v>
      </c>
      <c r="V108" s="24">
        <v>1</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row>
    <row r="109" spans="2:99" ht="13.5" customHeight="1" thickBot="1">
      <c r="B109" s="20"/>
      <c r="C109" s="113" t="s">
        <v>1068</v>
      </c>
      <c r="T109" s="94"/>
      <c r="U109" s="93">
        <f t="shared" si="0"/>
        <v>1</v>
      </c>
      <c r="V109" s="24">
        <v>1</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row>
    <row r="110" spans="2:99" ht="13.5" customHeight="1" thickBot="1">
      <c r="B110" s="20"/>
      <c r="C110" s="81" t="s">
        <v>1076</v>
      </c>
      <c r="D110" s="3" t="s">
        <v>1058</v>
      </c>
      <c r="E110" s="3" t="s">
        <v>1020</v>
      </c>
      <c r="F110" s="23"/>
      <c r="G110" s="108" t="e">
        <f>'DCF - Financials'!#REF!/'DCF - Financials'!G9</f>
        <v>#REF!</v>
      </c>
      <c r="H110" s="108" t="e">
        <f>'DCF - Financials'!#REF!/'DCF - Financials'!H9</f>
        <v>#REF!</v>
      </c>
      <c r="I110" s="108" t="e">
        <f>'DCF - Financials'!#REF!/'DCF - Financials'!I9</f>
        <v>#REF!</v>
      </c>
      <c r="J110" s="108" t="e">
        <f>'DCF - Financials'!#REF!/'DCF - Financials'!J9</f>
        <v>#REF!</v>
      </c>
      <c r="K110" s="108" t="e">
        <f>'DCF - Financials'!#REF!/'DCF - Financials'!K9</f>
        <v>#REF!</v>
      </c>
      <c r="L110" s="812">
        <f t="shared" ref="L110:S110" si="67">L72</f>
        <v>0</v>
      </c>
      <c r="M110" s="813">
        <f t="shared" si="67"/>
        <v>0</v>
      </c>
      <c r="N110" s="813">
        <f t="shared" si="67"/>
        <v>0</v>
      </c>
      <c r="O110" s="813">
        <f t="shared" si="67"/>
        <v>0</v>
      </c>
      <c r="P110" s="813">
        <f t="shared" si="67"/>
        <v>0</v>
      </c>
      <c r="Q110" s="813">
        <f t="shared" si="67"/>
        <v>0</v>
      </c>
      <c r="R110" s="813">
        <f t="shared" si="67"/>
        <v>0</v>
      </c>
      <c r="S110" s="814">
        <f t="shared" si="67"/>
        <v>0</v>
      </c>
      <c r="T110" s="94"/>
      <c r="U110" s="93">
        <f t="shared" si="0"/>
        <v>1</v>
      </c>
      <c r="V110" s="24">
        <v>1</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row>
    <row r="111" spans="2:99" ht="13.5" customHeight="1">
      <c r="B111" s="20"/>
      <c r="C111" s="146" t="s">
        <v>1077</v>
      </c>
      <c r="D111" s="78" t="s">
        <v>1057</v>
      </c>
      <c r="E111" s="78" t="s">
        <v>1027</v>
      </c>
      <c r="F111" s="567"/>
      <c r="G111" s="561" t="e">
        <f>'DCF - Financials'!#REF!</f>
        <v>#REF!</v>
      </c>
      <c r="H111" s="561" t="e">
        <f>'DCF - Financials'!#REF!</f>
        <v>#REF!</v>
      </c>
      <c r="I111" s="561" t="e">
        <f>'DCF - Financials'!#REF!</f>
        <v>#REF!</v>
      </c>
      <c r="J111" s="561" t="e">
        <f>'DCF - Financials'!#REF!</f>
        <v>#REF!</v>
      </c>
      <c r="K111" s="561" t="e">
        <f>'DCF - Financials'!#REF!</f>
        <v>#REF!</v>
      </c>
      <c r="L111" s="562">
        <f>L110*L$92</f>
        <v>0</v>
      </c>
      <c r="M111" s="562">
        <f t="shared" ref="M111" si="68">M110*M$92</f>
        <v>0</v>
      </c>
      <c r="N111" s="562">
        <f t="shared" ref="N111" si="69">N110*N$92</f>
        <v>0</v>
      </c>
      <c r="O111" s="562">
        <f t="shared" ref="O111" si="70">O110*O$92</f>
        <v>0</v>
      </c>
      <c r="P111" s="562">
        <f t="shared" ref="P111" si="71">P110*P$92</f>
        <v>0</v>
      </c>
      <c r="Q111" s="562">
        <f t="shared" ref="Q111" si="72">Q110*Q$92</f>
        <v>0</v>
      </c>
      <c r="R111" s="562">
        <f t="shared" ref="R111" si="73">R110*R$92</f>
        <v>0</v>
      </c>
      <c r="S111" s="562">
        <f t="shared" ref="S111" si="74">S110*S$92</f>
        <v>0</v>
      </c>
      <c r="T111" s="94"/>
      <c r="U111" s="93">
        <f t="shared" si="0"/>
        <v>1</v>
      </c>
      <c r="V111" s="24">
        <v>1</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row>
    <row r="112" spans="2:99" ht="13.5" customHeight="1">
      <c r="B112" s="20"/>
      <c r="C112" s="113"/>
      <c r="D112" s="23"/>
      <c r="E112" s="23"/>
      <c r="F112" s="863"/>
      <c r="G112" s="864"/>
      <c r="H112" s="864"/>
      <c r="I112" s="864"/>
      <c r="J112" s="864"/>
      <c r="K112" s="864"/>
      <c r="L112" s="864"/>
      <c r="M112" s="864"/>
      <c r="N112" s="864"/>
      <c r="O112" s="864"/>
      <c r="P112" s="864"/>
      <c r="Q112" s="864"/>
      <c r="R112" s="864"/>
      <c r="S112" s="864"/>
      <c r="T112" s="94"/>
      <c r="U112" s="93">
        <f t="shared" si="0"/>
        <v>0</v>
      </c>
      <c r="V112" s="24">
        <v>0</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row>
    <row r="113" spans="1:99" s="23" customFormat="1" ht="13.5" customHeight="1">
      <c r="B113" s="20"/>
      <c r="C113" s="146" t="s">
        <v>1078</v>
      </c>
      <c r="D113" s="78" t="s">
        <v>1057</v>
      </c>
      <c r="E113" s="78" t="s">
        <v>1027</v>
      </c>
      <c r="F113" s="78"/>
      <c r="G113" s="561">
        <f>'DCF - Financials'!G23</f>
        <v>-255.92</v>
      </c>
      <c r="H113" s="561">
        <f>'DCF - Financials'!H23</f>
        <v>-530.52300000000002</v>
      </c>
      <c r="I113" s="561">
        <f>'DCF - Financials'!I23</f>
        <v>-690.42200000000003</v>
      </c>
      <c r="J113" s="561">
        <f>'DCF - Financials'!J23</f>
        <v>-756.85699999999997</v>
      </c>
      <c r="K113" s="561">
        <f>'DCF - Financials'!K23</f>
        <v>-690.62200000000007</v>
      </c>
      <c r="L113" s="562">
        <f>L106+L111</f>
        <v>0</v>
      </c>
      <c r="M113" s="562">
        <f t="shared" ref="M113:S113" si="75">M106+M111</f>
        <v>0</v>
      </c>
      <c r="N113" s="562">
        <f t="shared" si="75"/>
        <v>0</v>
      </c>
      <c r="O113" s="562">
        <f t="shared" si="75"/>
        <v>0</v>
      </c>
      <c r="P113" s="562">
        <f t="shared" si="75"/>
        <v>0</v>
      </c>
      <c r="Q113" s="562">
        <f t="shared" si="75"/>
        <v>0</v>
      </c>
      <c r="R113" s="562">
        <f t="shared" si="75"/>
        <v>0</v>
      </c>
      <c r="S113" s="562">
        <f t="shared" si="75"/>
        <v>0</v>
      </c>
      <c r="T113" s="568"/>
      <c r="U113" s="93">
        <f t="shared" si="0"/>
        <v>1</v>
      </c>
      <c r="V113" s="569">
        <v>1</v>
      </c>
    </row>
    <row r="114" spans="1:99" ht="13.5" customHeight="1">
      <c r="B114" s="20"/>
      <c r="D114" s="23"/>
      <c r="E114" s="23"/>
      <c r="F114" s="23"/>
      <c r="G114" s="23"/>
      <c r="H114" s="23"/>
      <c r="I114" s="23"/>
      <c r="J114" s="23"/>
      <c r="K114" s="23"/>
      <c r="L114" s="23"/>
      <c r="M114" s="23"/>
      <c r="N114" s="23"/>
      <c r="O114" s="23"/>
      <c r="P114" s="23"/>
      <c r="Q114" s="23"/>
      <c r="R114" s="23"/>
      <c r="S114" s="23"/>
      <c r="T114" s="94"/>
      <c r="U114" s="93">
        <f t="shared" si="0"/>
        <v>0</v>
      </c>
      <c r="V114" s="24">
        <v>0</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row>
    <row r="115" spans="1:99" ht="13.5" customHeight="1" thickBot="1">
      <c r="B115" s="20"/>
      <c r="C115" s="98" t="s">
        <v>1079</v>
      </c>
      <c r="D115" s="57"/>
      <c r="E115" s="57"/>
      <c r="F115" s="57"/>
      <c r="G115" s="57"/>
      <c r="H115" s="57"/>
      <c r="I115" s="57"/>
      <c r="J115" s="57"/>
      <c r="K115" s="57"/>
      <c r="L115" s="57"/>
      <c r="M115" s="57"/>
      <c r="N115" s="57"/>
      <c r="O115" s="57"/>
      <c r="P115" s="57"/>
      <c r="Q115" s="57"/>
      <c r="R115" s="57"/>
      <c r="S115" s="57"/>
      <c r="T115" s="94"/>
      <c r="U115" s="93">
        <f t="shared" si="0"/>
        <v>1</v>
      </c>
      <c r="V115" s="24">
        <v>1</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row>
    <row r="116" spans="1:99" ht="13.5" customHeight="1">
      <c r="B116" s="20"/>
      <c r="C116" s="113" t="s">
        <v>1080</v>
      </c>
      <c r="G116" s="112"/>
      <c r="H116" s="112"/>
      <c r="I116" s="112"/>
      <c r="J116" s="112"/>
      <c r="K116" s="112"/>
      <c r="L116" s="112"/>
      <c r="M116" s="112"/>
      <c r="N116" s="112"/>
      <c r="O116" s="112"/>
      <c r="P116" s="112"/>
      <c r="Q116" s="112"/>
      <c r="R116" s="112"/>
      <c r="S116" s="112"/>
      <c r="T116" s="94"/>
      <c r="U116" s="93">
        <f t="shared" si="0"/>
        <v>1</v>
      </c>
      <c r="V116" s="24">
        <v>1</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row>
    <row r="117" spans="1:99" ht="13.5" customHeight="1">
      <c r="B117" s="20"/>
      <c r="C117" s="81" t="s">
        <v>1081</v>
      </c>
      <c r="D117" s="3" t="s">
        <v>1058</v>
      </c>
      <c r="E117" s="3" t="s">
        <v>1027</v>
      </c>
      <c r="G117" s="111" t="e">
        <f t="shared" ref="G117:S117" ca="1" si="76">G118/G92</f>
        <v>#NAME?</v>
      </c>
      <c r="H117" s="111" t="e">
        <f t="shared" ca="1" si="76"/>
        <v>#NAME?</v>
      </c>
      <c r="I117" s="111" t="e">
        <f t="shared" ca="1" si="76"/>
        <v>#NAME?</v>
      </c>
      <c r="J117" s="111" t="e">
        <f t="shared" ca="1" si="76"/>
        <v>#NAME?</v>
      </c>
      <c r="K117" s="111" t="e">
        <f t="shared" ca="1" si="76"/>
        <v>#NAME?</v>
      </c>
      <c r="L117" s="646">
        <f t="shared" si="76"/>
        <v>6.0980331853893429E-3</v>
      </c>
      <c r="M117" s="646">
        <f t="shared" si="76"/>
        <v>3.6333475562570377E-3</v>
      </c>
      <c r="N117" s="646">
        <f t="shared" si="76"/>
        <v>5.6654758281852267E-3</v>
      </c>
      <c r="O117" s="646">
        <f t="shared" si="76"/>
        <v>9.6032301703468104E-3</v>
      </c>
      <c r="P117" s="646">
        <f t="shared" si="76"/>
        <v>1.4298345644716829E-2</v>
      </c>
      <c r="Q117" s="646">
        <f t="shared" si="76"/>
        <v>1.4959623482697113E-2</v>
      </c>
      <c r="R117" s="646">
        <f t="shared" si="76"/>
        <v>1.8712862874201191E-2</v>
      </c>
      <c r="S117" s="646">
        <f t="shared" si="76"/>
        <v>2.5361639733563795E-2</v>
      </c>
      <c r="T117" s="94"/>
      <c r="U117" s="93">
        <f t="shared" si="0"/>
        <v>1</v>
      </c>
      <c r="V117" s="24">
        <v>1</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row>
    <row r="118" spans="1:99" s="78" customFormat="1" ht="13.5" customHeight="1">
      <c r="A118" s="23"/>
      <c r="B118" s="20"/>
      <c r="C118" s="146" t="s">
        <v>1082</v>
      </c>
      <c r="D118" s="78" t="s">
        <v>1057</v>
      </c>
      <c r="E118" s="78" t="s">
        <v>1027</v>
      </c>
      <c r="G118" s="570">
        <f>'DCF - Financials'!G53</f>
        <v>121.845</v>
      </c>
      <c r="H118" s="570">
        <f>'DCF - Financials'!H53</f>
        <v>20.764000000000042</v>
      </c>
      <c r="I118" s="570">
        <f>'DCF - Financials'!I53</f>
        <v>68.208000000000041</v>
      </c>
      <c r="J118" s="570">
        <f>'DCF - Financials'!J53</f>
        <v>63.499000000000038</v>
      </c>
      <c r="K118" s="570">
        <f>'DCF - Financials'!K53</f>
        <v>228.08399999999983</v>
      </c>
      <c r="L118" s="647">
        <f>'DCF - Financials'!L53</f>
        <v>104.35564190156782</v>
      </c>
      <c r="M118" s="647">
        <f>'DCF - Financials'!M53</f>
        <v>62.177476730226687</v>
      </c>
      <c r="N118" s="647">
        <f>'DCF - Financials'!N53</f>
        <v>96.95328784773379</v>
      </c>
      <c r="O118" s="647">
        <f>'DCF - Financials'!O53</f>
        <v>164.34007790514497</v>
      </c>
      <c r="P118" s="647">
        <f>'DCF - Financials'!P53</f>
        <v>244.68758901803909</v>
      </c>
      <c r="Q118" s="647">
        <f>'DCF - Financials'!Q53</f>
        <v>256.00403665939569</v>
      </c>
      <c r="R118" s="647">
        <f>'DCF - Financials'!R53</f>
        <v>320.23322236620498</v>
      </c>
      <c r="S118" s="647">
        <f>'DCF - Financials'!S53</f>
        <v>434.01374076047722</v>
      </c>
      <c r="T118" s="568"/>
      <c r="U118" s="93">
        <f t="shared" si="0"/>
        <v>1</v>
      </c>
      <c r="V118" s="569">
        <v>1</v>
      </c>
      <c r="W118" s="23"/>
    </row>
    <row r="119" spans="1:99" s="23" customFormat="1" ht="13.5" customHeight="1">
      <c r="B119" s="20"/>
      <c r="C119" s="113"/>
      <c r="G119" s="650"/>
      <c r="H119" s="650"/>
      <c r="I119" s="650"/>
      <c r="J119" s="650"/>
      <c r="K119" s="650"/>
      <c r="L119" s="821"/>
      <c r="M119" s="821"/>
      <c r="N119" s="821"/>
      <c r="O119" s="821"/>
      <c r="P119" s="821"/>
      <c r="Q119" s="821"/>
      <c r="R119" s="821"/>
      <c r="S119" s="821"/>
      <c r="T119" s="568"/>
      <c r="U119" s="93">
        <f t="shared" si="0"/>
        <v>0</v>
      </c>
      <c r="V119" s="569">
        <v>0</v>
      </c>
    </row>
    <row r="120" spans="1:99" ht="13.5" customHeight="1">
      <c r="B120" s="20"/>
      <c r="C120" s="81"/>
      <c r="G120" s="111"/>
      <c r="H120" s="111"/>
      <c r="I120" s="111"/>
      <c r="J120" s="111"/>
      <c r="K120" s="111"/>
      <c r="L120" s="111"/>
      <c r="M120" s="111"/>
      <c r="N120" s="111"/>
      <c r="O120" s="111"/>
      <c r="P120" s="111"/>
      <c r="Q120" s="111"/>
      <c r="R120" s="111"/>
      <c r="S120" s="111"/>
      <c r="T120" s="94"/>
      <c r="U120" s="93">
        <f t="shared" si="0"/>
        <v>0</v>
      </c>
      <c r="V120" s="24">
        <v>0</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row>
    <row r="121" spans="1:99" ht="15.6">
      <c r="B121" s="115"/>
      <c r="C121" s="807" t="s">
        <v>1083</v>
      </c>
      <c r="D121" s="808"/>
      <c r="E121" s="808"/>
      <c r="F121" s="808"/>
      <c r="G121" s="808"/>
      <c r="H121" s="808"/>
      <c r="I121" s="808"/>
      <c r="J121" s="808"/>
      <c r="K121" s="808"/>
      <c r="L121" s="808"/>
      <c r="M121" s="808"/>
      <c r="N121" s="808"/>
      <c r="O121" s="808"/>
      <c r="P121" s="808"/>
      <c r="Q121" s="808"/>
      <c r="R121" s="808"/>
      <c r="S121" s="808"/>
      <c r="T121"/>
      <c r="U121" s="93">
        <f t="shared" ref="U121:U166" si="77">IF(NOT(ISBLANK(C121)), 1, 0)</f>
        <v>1</v>
      </c>
      <c r="V121" s="24">
        <v>1</v>
      </c>
    </row>
    <row r="122" spans="1:99" ht="13.5" customHeight="1">
      <c r="B122" s="20"/>
      <c r="C122" s="81"/>
      <c r="G122" s="111"/>
      <c r="H122" s="111"/>
      <c r="I122" s="111"/>
      <c r="J122" s="111"/>
      <c r="K122" s="111"/>
      <c r="L122" s="111"/>
      <c r="M122" s="111"/>
      <c r="N122" s="111"/>
      <c r="O122" s="111"/>
      <c r="P122" s="111"/>
      <c r="Q122" s="111"/>
      <c r="R122" s="111"/>
      <c r="S122" s="111"/>
      <c r="T122" s="94"/>
      <c r="U122" s="93">
        <f t="shared" si="77"/>
        <v>0</v>
      </c>
      <c r="V122" s="24">
        <v>0</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row>
    <row r="123" spans="1:99" ht="13.5" customHeight="1" thickBot="1">
      <c r="B123" s="20"/>
      <c r="C123" s="98" t="s">
        <v>1084</v>
      </c>
      <c r="D123" s="57"/>
      <c r="E123" s="57"/>
      <c r="F123" s="57"/>
      <c r="G123" s="57"/>
      <c r="H123" s="57"/>
      <c r="I123" s="57"/>
      <c r="J123" s="57"/>
      <c r="K123" s="57"/>
      <c r="L123" s="57"/>
      <c r="M123" s="57"/>
      <c r="N123" s="57"/>
      <c r="O123" s="57"/>
      <c r="P123" s="57"/>
      <c r="Q123" s="57"/>
      <c r="R123" s="57"/>
      <c r="S123" s="57"/>
      <c r="T123" s="94"/>
      <c r="U123" s="93">
        <f t="shared" si="77"/>
        <v>1</v>
      </c>
      <c r="V123" s="24">
        <v>1</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row>
    <row r="124" spans="1:99" ht="13.5" customHeight="1">
      <c r="B124" s="20"/>
      <c r="C124" s="113" t="s">
        <v>1085</v>
      </c>
      <c r="G124" s="867"/>
      <c r="H124" s="867"/>
      <c r="I124" s="867"/>
      <c r="J124" s="867"/>
      <c r="K124" s="867"/>
      <c r="T124" s="94"/>
      <c r="U124" s="93">
        <f t="shared" si="77"/>
        <v>1</v>
      </c>
      <c r="V124" s="24">
        <v>1</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row>
    <row r="125" spans="1:99" ht="13.5" customHeight="1">
      <c r="B125" s="20"/>
      <c r="C125" s="70" t="s">
        <v>937</v>
      </c>
      <c r="D125" s="3" t="s">
        <v>1058</v>
      </c>
      <c r="E125" s="3" t="s">
        <v>1020</v>
      </c>
      <c r="G125" s="107">
        <f>'DCF - Financials'!G117/'DCF - Financials'!G$9</f>
        <v>7.001677097394364E-2</v>
      </c>
      <c r="H125" s="107">
        <f>'DCF - Financials'!H117/'DCF - Financials'!H$9</f>
        <v>7.1446729716823948E-2</v>
      </c>
      <c r="I125" s="107">
        <f>'DCF - Financials'!I117/'DCF - Financials'!I$9</f>
        <v>6.2475194175395252E-2</v>
      </c>
      <c r="J125" s="107">
        <f>'DCF - Financials'!J117/'DCF - Financials'!J$9</f>
        <v>7.4078337315980139E-2</v>
      </c>
      <c r="K125" s="107">
        <f>'DCF - Financials'!K117/'DCF - Financials'!K$9</f>
        <v>9.7617485715372265E-2</v>
      </c>
      <c r="L125" s="96"/>
      <c r="M125" s="96"/>
      <c r="N125" s="96"/>
      <c r="O125" s="96"/>
      <c r="P125" s="96"/>
      <c r="Q125" s="96"/>
      <c r="R125" s="96"/>
      <c r="S125" s="96"/>
      <c r="T125" s="94"/>
      <c r="U125" s="93">
        <f t="shared" si="77"/>
        <v>1</v>
      </c>
      <c r="V125" s="24">
        <v>1</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row>
    <row r="126" spans="1:99" ht="13.5" customHeight="1">
      <c r="B126" s="20"/>
      <c r="C126" s="19" t="s">
        <v>938</v>
      </c>
      <c r="D126" s="3" t="s">
        <v>1058</v>
      </c>
      <c r="E126" s="3" t="s">
        <v>1020</v>
      </c>
      <c r="G126" s="105">
        <f>'DCF - Financials'!G118/'DCF - Financials'!G$9</f>
        <v>0.15983351740499857</v>
      </c>
      <c r="H126" s="107">
        <f>'DCF - Financials'!H118/'DCF - Financials'!H$9</f>
        <v>0.1397964897574985</v>
      </c>
      <c r="I126" s="107">
        <f>'DCF - Financials'!I118/'DCF - Financials'!I$9</f>
        <v>6.9326201521861974E-2</v>
      </c>
      <c r="J126" s="107">
        <f>'DCF - Financials'!J118/'DCF - Financials'!J$9</f>
        <v>3.5287099212730891E-2</v>
      </c>
      <c r="K126" s="107">
        <f>'DCF - Financials'!K118/'DCF - Financials'!K$9</f>
        <v>3.3020545145128019E-2</v>
      </c>
      <c r="L126" s="96"/>
      <c r="M126" s="96"/>
      <c r="N126" s="96"/>
      <c r="O126" s="96"/>
      <c r="P126" s="96"/>
      <c r="Q126" s="96"/>
      <c r="R126" s="96"/>
      <c r="S126" s="96"/>
      <c r="T126" s="94"/>
      <c r="U126" s="93">
        <f t="shared" si="77"/>
        <v>1</v>
      </c>
      <c r="V126" s="24">
        <v>1</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row>
    <row r="127" spans="1:99" ht="13.5" customHeight="1">
      <c r="B127" s="20"/>
      <c r="C127" s="19" t="s">
        <v>995</v>
      </c>
      <c r="D127" s="3" t="s">
        <v>1058</v>
      </c>
      <c r="E127" s="3" t="s">
        <v>1020</v>
      </c>
      <c r="G127" s="105">
        <f>-'DCF - Financials'!G133/'DCF - Financials'!G13</f>
        <v>0.17707327194545208</v>
      </c>
      <c r="H127" s="107">
        <f>-'DCF - Financials'!H133/'DCF - Financials'!H13</f>
        <v>0.19863548872753603</v>
      </c>
      <c r="I127" s="107">
        <f>-'DCF - Financials'!I133/'DCF - Financials'!I13</f>
        <v>0.19285863986625792</v>
      </c>
      <c r="J127" s="107">
        <f>-'DCF - Financials'!J133/'DCF - Financials'!J13</f>
        <v>0.18480901038117759</v>
      </c>
      <c r="K127" s="107">
        <f>-'DCF - Financials'!K133/'DCF - Financials'!K13</f>
        <v>0.15836081017428169</v>
      </c>
      <c r="L127" s="96"/>
      <c r="M127" s="96"/>
      <c r="N127" s="96"/>
      <c r="O127" s="96"/>
      <c r="P127" s="96"/>
      <c r="Q127" s="96"/>
      <c r="R127" s="96"/>
      <c r="S127" s="96"/>
      <c r="T127" s="94"/>
      <c r="U127" s="93">
        <f t="shared" si="77"/>
        <v>1</v>
      </c>
      <c r="V127" s="24">
        <v>1</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row>
    <row r="128" spans="1:99" ht="13.5" customHeight="1">
      <c r="B128" s="20"/>
      <c r="C128" s="19" t="s">
        <v>998</v>
      </c>
      <c r="D128" s="3" t="s">
        <v>1058</v>
      </c>
      <c r="E128" s="3" t="s">
        <v>1020</v>
      </c>
      <c r="G128" s="105" t="e">
        <f>-'DCF - Financials'!#REF!/'DCF - Financials'!G13</f>
        <v>#REF!</v>
      </c>
      <c r="H128" s="105" t="e">
        <f>-'DCF - Financials'!#REF!/'DCF - Financials'!H13</f>
        <v>#REF!</v>
      </c>
      <c r="I128" s="105" t="e">
        <f>-'DCF - Financials'!#REF!/'DCF - Financials'!I13</f>
        <v>#REF!</v>
      </c>
      <c r="J128" s="105" t="e">
        <f>-'DCF - Financials'!#REF!/'DCF - Financials'!J13</f>
        <v>#REF!</v>
      </c>
      <c r="K128" s="105" t="e">
        <f>-'DCF - Financials'!#REF!/'DCF - Financials'!K13</f>
        <v>#REF!</v>
      </c>
      <c r="L128" s="96"/>
      <c r="M128" s="96"/>
      <c r="N128" s="96"/>
      <c r="O128" s="96"/>
      <c r="P128" s="96"/>
      <c r="Q128" s="96"/>
      <c r="R128" s="96"/>
      <c r="S128" s="96"/>
      <c r="T128" s="94"/>
      <c r="U128" s="93">
        <f t="shared" si="77"/>
        <v>1</v>
      </c>
      <c r="V128" s="24">
        <v>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row>
    <row r="129" spans="2:99" ht="13.5" customHeight="1">
      <c r="B129" s="20"/>
      <c r="C129" s="581" t="str">
        <f>C125</f>
        <v>Inventories</v>
      </c>
      <c r="D129" s="32" t="s">
        <v>1057</v>
      </c>
      <c r="E129" s="32" t="s">
        <v>1027</v>
      </c>
      <c r="F129" s="32"/>
      <c r="G129" s="588">
        <f>G125*'DCF - Financials'!G$9</f>
        <v>34.234000000000002</v>
      </c>
      <c r="H129" s="588">
        <f>H125*'DCF - Financials'!H$9</f>
        <v>41.594999999999999</v>
      </c>
      <c r="I129" s="588">
        <f>I125*'DCF - Financials'!I$9</f>
        <v>47.537999999999997</v>
      </c>
      <c r="J129" s="588">
        <f>J125*'DCF - Financials'!J$9</f>
        <v>66.930000000000007</v>
      </c>
      <c r="K129" s="588">
        <f>K125*'DCF - Financials'!K$9</f>
        <v>102.67700000000001</v>
      </c>
      <c r="L129" s="582">
        <f>L125*'DCF - Financials'!L$9</f>
        <v>0</v>
      </c>
      <c r="M129" s="582">
        <f>M125*'DCF - Financials'!M$9</f>
        <v>0</v>
      </c>
      <c r="N129" s="582">
        <f>N125*'DCF - Financials'!N$9</f>
        <v>0</v>
      </c>
      <c r="O129" s="582">
        <f>O125*'DCF - Financials'!O$9</f>
        <v>0</v>
      </c>
      <c r="P129" s="582">
        <f>P125*'DCF - Financials'!P$9</f>
        <v>0</v>
      </c>
      <c r="Q129" s="582">
        <f>Q125*'DCF - Financials'!Q$9</f>
        <v>0</v>
      </c>
      <c r="R129" s="582">
        <f>R125*'DCF - Financials'!R$9</f>
        <v>0</v>
      </c>
      <c r="S129" s="582">
        <f>S125*'DCF - Financials'!S$9</f>
        <v>0</v>
      </c>
      <c r="T129" s="94"/>
      <c r="U129" s="93">
        <f t="shared" si="77"/>
        <v>1</v>
      </c>
      <c r="V129" s="24">
        <v>1</v>
      </c>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row>
    <row r="130" spans="2:99" ht="13.5" customHeight="1">
      <c r="B130" s="20"/>
      <c r="C130" s="70" t="str">
        <f>C126</f>
        <v>Trade and other receivables</v>
      </c>
      <c r="D130" s="3" t="s">
        <v>1057</v>
      </c>
      <c r="E130" s="3" t="s">
        <v>1027</v>
      </c>
      <c r="G130" s="112">
        <f>G126*'DCF - Financials'!G$9</f>
        <v>78.149000000000001</v>
      </c>
      <c r="H130" s="112">
        <f>H126*'DCF - Financials'!H$9</f>
        <v>81.387</v>
      </c>
      <c r="I130" s="112">
        <f>I126*'DCF - Financials'!I$9</f>
        <v>52.750999999999991</v>
      </c>
      <c r="J130" s="112">
        <f>J126*'DCF - Financials'!J$9</f>
        <v>31.881999999999998</v>
      </c>
      <c r="K130" s="112">
        <f>K126*'DCF - Financials'!K$9</f>
        <v>34.731999999999999</v>
      </c>
      <c r="L130" s="558">
        <f>L126*'DCF - Financials'!L$9</f>
        <v>0</v>
      </c>
      <c r="M130" s="558">
        <f>M126*'DCF - Financials'!M$9</f>
        <v>0</v>
      </c>
      <c r="N130" s="558">
        <f>N126*'DCF - Financials'!N$9</f>
        <v>0</v>
      </c>
      <c r="O130" s="558">
        <f>O126*'DCF - Financials'!O$9</f>
        <v>0</v>
      </c>
      <c r="P130" s="558">
        <f>P126*'DCF - Financials'!P$9</f>
        <v>0</v>
      </c>
      <c r="Q130" s="558">
        <f>Q126*'DCF - Financials'!Q$9</f>
        <v>0</v>
      </c>
      <c r="R130" s="558">
        <f>R126*'DCF - Financials'!R$9</f>
        <v>0</v>
      </c>
      <c r="S130" s="558">
        <f>S126*'DCF - Financials'!S$9</f>
        <v>0</v>
      </c>
      <c r="T130" s="94"/>
      <c r="U130" s="93">
        <f t="shared" si="77"/>
        <v>1</v>
      </c>
      <c r="V130" s="24">
        <v>1</v>
      </c>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row>
    <row r="131" spans="2:99" ht="13.5" customHeight="1">
      <c r="B131" s="20"/>
      <c r="C131" s="581" t="str">
        <f>C127</f>
        <v>Trade and other payables</v>
      </c>
      <c r="D131" s="32" t="s">
        <v>1057</v>
      </c>
      <c r="E131" s="32" t="s">
        <v>1027</v>
      </c>
      <c r="F131" s="32"/>
      <c r="G131" s="588">
        <f>-G127*'DCF - Financials'!G$13</f>
        <v>24.748999999999999</v>
      </c>
      <c r="H131" s="588">
        <f>-H127*'DCF - Financials'!H$13</f>
        <v>31.268999999999998</v>
      </c>
      <c r="I131" s="588">
        <f>-I127*'DCF - Financials'!I$13</f>
        <v>39.569000000000003</v>
      </c>
      <c r="J131" s="588">
        <f>-J127*'DCF - Financials'!J$13</f>
        <v>46.107999999999997</v>
      </c>
      <c r="K131" s="588">
        <f>-K127*'DCF - Financials'!K$13</f>
        <v>48.749000000000002</v>
      </c>
      <c r="L131" s="582">
        <f>-L127*'DCF - Financials'!L$13</f>
        <v>0</v>
      </c>
      <c r="M131" s="582">
        <f>-M127*'DCF - Financials'!M$13</f>
        <v>0</v>
      </c>
      <c r="N131" s="582">
        <f>-N127*'DCF - Financials'!N$13</f>
        <v>0</v>
      </c>
      <c r="O131" s="582">
        <f>-O127*'DCF - Financials'!O$13</f>
        <v>0</v>
      </c>
      <c r="P131" s="582">
        <f>-P127*'DCF - Financials'!P$13</f>
        <v>0</v>
      </c>
      <c r="Q131" s="582">
        <f>-Q127*'DCF - Financials'!Q$13</f>
        <v>0</v>
      </c>
      <c r="R131" s="582">
        <f>-R127*'DCF - Financials'!R$13</f>
        <v>0</v>
      </c>
      <c r="S131" s="582">
        <f>-S127*'DCF - Financials'!S$13</f>
        <v>0</v>
      </c>
      <c r="T131" s="94"/>
      <c r="U131" s="93">
        <f t="shared" si="77"/>
        <v>1</v>
      </c>
      <c r="V131" s="24">
        <v>1</v>
      </c>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row>
    <row r="132" spans="2:99" ht="13.5" customHeight="1">
      <c r="B132" s="20"/>
      <c r="C132" s="70" t="str">
        <f>C128</f>
        <v>Short-term Provisions</v>
      </c>
      <c r="D132" s="3" t="s">
        <v>1057</v>
      </c>
      <c r="E132" s="3" t="s">
        <v>1027</v>
      </c>
      <c r="G132" s="112" t="e">
        <f>-G128*'DCF - Financials'!G$13</f>
        <v>#REF!</v>
      </c>
      <c r="H132" s="112" t="e">
        <f>-H128*'DCF - Financials'!H$13</f>
        <v>#REF!</v>
      </c>
      <c r="I132" s="112" t="e">
        <f>-I128*'DCF - Financials'!I$13</f>
        <v>#REF!</v>
      </c>
      <c r="J132" s="112" t="e">
        <f>-J128*'DCF - Financials'!J$13</f>
        <v>#REF!</v>
      </c>
      <c r="K132" s="112" t="e">
        <f>-K128*'DCF - Financials'!K$13</f>
        <v>#REF!</v>
      </c>
      <c r="L132" s="558">
        <f>-L128*'DCF - Financials'!L$13</f>
        <v>0</v>
      </c>
      <c r="M132" s="558">
        <f>-M128*'DCF - Financials'!M$13</f>
        <v>0</v>
      </c>
      <c r="N132" s="558">
        <f>-N128*'DCF - Financials'!N$13</f>
        <v>0</v>
      </c>
      <c r="O132" s="558">
        <f>-O128*'DCF - Financials'!O$13</f>
        <v>0</v>
      </c>
      <c r="P132" s="558">
        <f>-P128*'DCF - Financials'!P$13</f>
        <v>0</v>
      </c>
      <c r="Q132" s="558">
        <f>-Q128*'DCF - Financials'!Q$13</f>
        <v>0</v>
      </c>
      <c r="R132" s="558">
        <f>-R128*'DCF - Financials'!R$13</f>
        <v>0</v>
      </c>
      <c r="S132" s="558">
        <f>-S128*'DCF - Financials'!S$13</f>
        <v>0</v>
      </c>
      <c r="T132" s="94"/>
      <c r="U132" s="93">
        <f t="shared" si="77"/>
        <v>1</v>
      </c>
      <c r="V132" s="24">
        <v>1</v>
      </c>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row>
    <row r="133" spans="2:99" ht="13.5" customHeight="1">
      <c r="B133" s="20"/>
      <c r="C133" s="106" t="s">
        <v>1086</v>
      </c>
      <c r="D133" s="32" t="s">
        <v>1057</v>
      </c>
      <c r="E133" s="32" t="s">
        <v>1027</v>
      </c>
      <c r="F133" s="48"/>
      <c r="G133" s="100" t="e">
        <f t="shared" ref="G133:S133" si="78">SUM(G129:G130)-SUM(G131:G132)</f>
        <v>#REF!</v>
      </c>
      <c r="H133" s="100" t="e">
        <f t="shared" si="78"/>
        <v>#REF!</v>
      </c>
      <c r="I133" s="100" t="e">
        <f t="shared" si="78"/>
        <v>#REF!</v>
      </c>
      <c r="J133" s="100" t="e">
        <f t="shared" si="78"/>
        <v>#REF!</v>
      </c>
      <c r="K133" s="100" t="e">
        <f t="shared" si="78"/>
        <v>#REF!</v>
      </c>
      <c r="L133" s="589">
        <f t="shared" si="78"/>
        <v>0</v>
      </c>
      <c r="M133" s="589">
        <f t="shared" si="78"/>
        <v>0</v>
      </c>
      <c r="N133" s="589">
        <f t="shared" si="78"/>
        <v>0</v>
      </c>
      <c r="O133" s="589">
        <f t="shared" si="78"/>
        <v>0</v>
      </c>
      <c r="P133" s="589">
        <f t="shared" si="78"/>
        <v>0</v>
      </c>
      <c r="Q133" s="589">
        <f t="shared" si="78"/>
        <v>0</v>
      </c>
      <c r="R133" s="589">
        <f t="shared" si="78"/>
        <v>0</v>
      </c>
      <c r="S133" s="589">
        <f t="shared" si="78"/>
        <v>0</v>
      </c>
      <c r="T133" s="94"/>
      <c r="U133" s="93">
        <f t="shared" si="77"/>
        <v>1</v>
      </c>
      <c r="V133" s="24">
        <v>1</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row>
    <row r="134" spans="2:99" ht="13.5" customHeight="1">
      <c r="B134" s="20"/>
      <c r="C134" s="80" t="s">
        <v>1087</v>
      </c>
      <c r="D134" s="3" t="s">
        <v>1058</v>
      </c>
      <c r="E134" s="3" t="s">
        <v>1027</v>
      </c>
      <c r="F134" s="19"/>
      <c r="G134" s="105" t="e">
        <f t="shared" ref="G134:S134" ca="1" si="79">G133/G92</f>
        <v>#REF!</v>
      </c>
      <c r="H134" s="105" t="e">
        <f t="shared" ca="1" si="79"/>
        <v>#REF!</v>
      </c>
      <c r="I134" s="105" t="e">
        <f t="shared" ca="1" si="79"/>
        <v>#REF!</v>
      </c>
      <c r="J134" s="105" t="e">
        <f t="shared" ca="1" si="79"/>
        <v>#REF!</v>
      </c>
      <c r="K134" s="105" t="e">
        <f t="shared" ca="1" si="79"/>
        <v>#REF!</v>
      </c>
      <c r="L134" s="590">
        <f t="shared" si="79"/>
        <v>0</v>
      </c>
      <c r="M134" s="590">
        <f t="shared" si="79"/>
        <v>0</v>
      </c>
      <c r="N134" s="590">
        <f t="shared" si="79"/>
        <v>0</v>
      </c>
      <c r="O134" s="590">
        <f t="shared" si="79"/>
        <v>0</v>
      </c>
      <c r="P134" s="590">
        <f t="shared" si="79"/>
        <v>0</v>
      </c>
      <c r="Q134" s="590">
        <f t="shared" si="79"/>
        <v>0</v>
      </c>
      <c r="R134" s="590">
        <f t="shared" si="79"/>
        <v>0</v>
      </c>
      <c r="S134" s="590">
        <f t="shared" si="79"/>
        <v>0</v>
      </c>
      <c r="T134" s="94"/>
      <c r="U134" s="93">
        <f t="shared" si="77"/>
        <v>1</v>
      </c>
      <c r="V134" s="24">
        <v>1</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row>
    <row r="135" spans="2:99" ht="13.5" customHeight="1">
      <c r="B135" s="20"/>
      <c r="C135" s="80"/>
      <c r="G135" s="6"/>
      <c r="H135" s="6"/>
      <c r="I135" s="6"/>
      <c r="J135" s="6"/>
      <c r="K135" s="6"/>
      <c r="L135" s="6"/>
      <c r="M135" s="6"/>
      <c r="N135" s="6"/>
      <c r="O135" s="6"/>
      <c r="P135" s="6"/>
      <c r="Q135" s="6"/>
      <c r="R135" s="6"/>
      <c r="S135" s="6"/>
      <c r="T135" s="94"/>
      <c r="U135" s="93">
        <f t="shared" si="77"/>
        <v>0</v>
      </c>
      <c r="V135" s="24">
        <v>0</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row>
    <row r="136" spans="2:99" ht="15.6">
      <c r="B136" s="115"/>
      <c r="C136" s="807" t="s">
        <v>1088</v>
      </c>
      <c r="D136" s="808"/>
      <c r="E136" s="808"/>
      <c r="F136" s="808"/>
      <c r="G136" s="808"/>
      <c r="H136" s="808"/>
      <c r="I136" s="808"/>
      <c r="J136" s="808"/>
      <c r="K136" s="808"/>
      <c r="L136" s="808"/>
      <c r="M136" s="808"/>
      <c r="N136" s="808"/>
      <c r="O136" s="808"/>
      <c r="P136" s="808"/>
      <c r="Q136" s="808"/>
      <c r="R136" s="808"/>
      <c r="S136" s="808"/>
      <c r="T136"/>
      <c r="U136" s="93">
        <f t="shared" si="77"/>
        <v>1</v>
      </c>
      <c r="V136" s="24">
        <v>1</v>
      </c>
    </row>
    <row r="137" spans="2:99" ht="13.5" customHeight="1">
      <c r="B137" s="20"/>
      <c r="C137" s="80"/>
      <c r="G137" s="6"/>
      <c r="H137" s="6"/>
      <c r="I137" s="6"/>
      <c r="J137" s="6"/>
      <c r="K137" s="6"/>
      <c r="L137" s="6"/>
      <c r="M137" s="6"/>
      <c r="N137" s="6"/>
      <c r="O137" s="6"/>
      <c r="P137" s="6"/>
      <c r="Q137" s="6"/>
      <c r="R137" s="6"/>
      <c r="S137" s="6"/>
      <c r="T137" s="94"/>
      <c r="U137" s="93">
        <f t="shared" si="77"/>
        <v>0</v>
      </c>
      <c r="V137" s="24">
        <v>0</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row>
    <row r="138" spans="2:99" ht="13.5" customHeight="1" thickBot="1">
      <c r="B138" s="20"/>
      <c r="C138" s="98" t="s">
        <v>1089</v>
      </c>
      <c r="D138" s="57"/>
      <c r="E138" s="57"/>
      <c r="F138" s="57"/>
      <c r="G138" s="57"/>
      <c r="H138" s="57"/>
      <c r="I138" s="57"/>
      <c r="J138" s="57"/>
      <c r="K138" s="57"/>
      <c r="L138" s="57"/>
      <c r="M138" s="57"/>
      <c r="N138" s="57"/>
      <c r="O138" s="57"/>
      <c r="P138" s="57"/>
      <c r="Q138" s="57"/>
      <c r="R138" s="57"/>
      <c r="S138" s="57"/>
      <c r="T138" s="94"/>
      <c r="U138" s="93">
        <f t="shared" si="77"/>
        <v>1</v>
      </c>
      <c r="V138" s="24">
        <v>1</v>
      </c>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row>
    <row r="139" spans="2:99" ht="13.5" customHeight="1">
      <c r="B139" s="20"/>
      <c r="C139" s="80"/>
      <c r="G139" s="6"/>
      <c r="H139" s="6"/>
      <c r="I139" s="6"/>
      <c r="J139" s="6"/>
      <c r="K139" s="6"/>
      <c r="L139" s="6"/>
      <c r="M139" s="6"/>
      <c r="N139" s="6"/>
      <c r="O139" s="6"/>
      <c r="P139" s="6"/>
      <c r="Q139" s="6"/>
      <c r="R139" s="6"/>
      <c r="S139" s="6"/>
      <c r="T139" s="94"/>
      <c r="U139" s="93">
        <f t="shared" si="77"/>
        <v>0</v>
      </c>
      <c r="V139" s="24">
        <v>0</v>
      </c>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row>
    <row r="140" spans="2:99" ht="13.5" customHeight="1">
      <c r="B140" s="20"/>
      <c r="C140" s="80" t="s">
        <v>1090</v>
      </c>
      <c r="D140" s="3" t="s">
        <v>1057</v>
      </c>
      <c r="E140" s="3" t="s">
        <v>1027</v>
      </c>
      <c r="G140" s="82"/>
      <c r="H140" s="6">
        <f>G144</f>
        <v>-222.94499999999999</v>
      </c>
      <c r="I140" s="6">
        <f t="shared" ref="I140:K140" si="80">H144</f>
        <v>-577</v>
      </c>
      <c r="J140" s="6">
        <f t="shared" si="80"/>
        <v>-423.428</v>
      </c>
      <c r="K140" s="6">
        <f t="shared" si="80"/>
        <v>-540.95000000000005</v>
      </c>
      <c r="L140" s="559">
        <f>K144</f>
        <v>-498.971</v>
      </c>
      <c r="M140" s="559">
        <f t="shared" ref="M140:S140" si="81">L144</f>
        <v>-498.971</v>
      </c>
      <c r="N140" s="559">
        <f t="shared" si="81"/>
        <v>-498.971</v>
      </c>
      <c r="O140" s="559">
        <f t="shared" si="81"/>
        <v>-498.971</v>
      </c>
      <c r="P140" s="559">
        <f t="shared" si="81"/>
        <v>-498.971</v>
      </c>
      <c r="Q140" s="559">
        <f t="shared" si="81"/>
        <v>-498.971</v>
      </c>
      <c r="R140" s="559">
        <f t="shared" si="81"/>
        <v>-498.971</v>
      </c>
      <c r="S140" s="559">
        <f t="shared" si="81"/>
        <v>-498.971</v>
      </c>
      <c r="T140" s="94"/>
      <c r="U140" s="93">
        <f t="shared" si="77"/>
        <v>1</v>
      </c>
      <c r="V140" s="24">
        <v>1</v>
      </c>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row>
    <row r="141" spans="2:99" ht="13.5" customHeight="1">
      <c r="B141" s="20"/>
      <c r="C141" s="106" t="s">
        <v>1091</v>
      </c>
      <c r="D141" s="32" t="s">
        <v>1057</v>
      </c>
      <c r="E141" s="32" t="s">
        <v>1027</v>
      </c>
      <c r="F141" s="32"/>
      <c r="G141" s="552"/>
      <c r="H141" s="552">
        <f>844-H150</f>
        <v>638</v>
      </c>
      <c r="I141" s="552">
        <f t="shared" ref="I141:K141" si="82">844-I150</f>
        <v>788</v>
      </c>
      <c r="J141" s="552">
        <f t="shared" si="82"/>
        <v>659</v>
      </c>
      <c r="K141" s="552">
        <f t="shared" si="82"/>
        <v>762</v>
      </c>
      <c r="L141" s="962">
        <f t="shared" ref="L141" si="83">L146*L$92</f>
        <v>0</v>
      </c>
      <c r="M141" s="962">
        <f t="shared" ref="M141:S141" si="84">M146*M$92</f>
        <v>0</v>
      </c>
      <c r="N141" s="962">
        <f t="shared" si="84"/>
        <v>0</v>
      </c>
      <c r="O141" s="962">
        <f t="shared" si="84"/>
        <v>0</v>
      </c>
      <c r="P141" s="962">
        <f t="shared" si="84"/>
        <v>0</v>
      </c>
      <c r="Q141" s="962">
        <f t="shared" si="84"/>
        <v>0</v>
      </c>
      <c r="R141" s="962">
        <f t="shared" si="84"/>
        <v>0</v>
      </c>
      <c r="S141" s="962">
        <f t="shared" si="84"/>
        <v>0</v>
      </c>
      <c r="T141" s="94"/>
      <c r="U141" s="93">
        <f t="shared" si="77"/>
        <v>1</v>
      </c>
      <c r="V141" s="24">
        <v>1</v>
      </c>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row>
    <row r="142" spans="2:99" ht="13.5" customHeight="1">
      <c r="B142" s="20"/>
      <c r="C142" s="80" t="s">
        <v>1092</v>
      </c>
      <c r="D142" s="3" t="s">
        <v>1057</v>
      </c>
      <c r="E142" s="3" t="s">
        <v>1027</v>
      </c>
      <c r="G142" s="82"/>
      <c r="H142" s="82">
        <f>-417-140-H151</f>
        <v>-465</v>
      </c>
      <c r="I142" s="82">
        <f t="shared" ref="I142:K142" si="85">-417-140-I151</f>
        <v>-465</v>
      </c>
      <c r="J142" s="82">
        <f t="shared" si="85"/>
        <v>-462</v>
      </c>
      <c r="K142" s="82">
        <f t="shared" si="85"/>
        <v>-462</v>
      </c>
      <c r="L142" s="890">
        <f t="shared" ref="L142:S142" si="86">-L141*L147</f>
        <v>0</v>
      </c>
      <c r="M142" s="890">
        <f t="shared" si="86"/>
        <v>0</v>
      </c>
      <c r="N142" s="890">
        <f t="shared" si="86"/>
        <v>0</v>
      </c>
      <c r="O142" s="890">
        <f t="shared" si="86"/>
        <v>0</v>
      </c>
      <c r="P142" s="890">
        <f t="shared" si="86"/>
        <v>0</v>
      </c>
      <c r="Q142" s="890">
        <f t="shared" si="86"/>
        <v>0</v>
      </c>
      <c r="R142" s="890">
        <f t="shared" si="86"/>
        <v>0</v>
      </c>
      <c r="S142" s="890">
        <f t="shared" si="86"/>
        <v>0</v>
      </c>
      <c r="T142" s="94"/>
      <c r="U142" s="93">
        <f t="shared" si="77"/>
        <v>1</v>
      </c>
      <c r="V142" s="24">
        <v>1</v>
      </c>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row>
    <row r="143" spans="2:99" ht="13.5" customHeight="1">
      <c r="B143" s="20"/>
      <c r="C143" s="106" t="s">
        <v>1093</v>
      </c>
      <c r="D143" s="32" t="s">
        <v>1057</v>
      </c>
      <c r="E143" s="32" t="s">
        <v>1027</v>
      </c>
      <c r="F143" s="32"/>
      <c r="G143" s="552"/>
      <c r="H143" s="77">
        <f>H144-SUM(H140:H142)</f>
        <v>-527.05500000000006</v>
      </c>
      <c r="I143" s="77">
        <f>I144-SUM(I140:I142)</f>
        <v>-169.428</v>
      </c>
      <c r="J143" s="77">
        <f>J144-SUM(J140:J142)</f>
        <v>-314.52200000000005</v>
      </c>
      <c r="K143" s="77">
        <f>K144-SUM(K140:K142)</f>
        <v>-258.02099999999996</v>
      </c>
      <c r="L143" s="574">
        <v>0</v>
      </c>
      <c r="M143" s="574">
        <v>0</v>
      </c>
      <c r="N143" s="574">
        <v>0</v>
      </c>
      <c r="O143" s="574">
        <v>0</v>
      </c>
      <c r="P143" s="574">
        <v>0</v>
      </c>
      <c r="Q143" s="574">
        <v>0</v>
      </c>
      <c r="R143" s="574">
        <v>0</v>
      </c>
      <c r="S143" s="574">
        <v>0</v>
      </c>
      <c r="T143" s="94"/>
      <c r="U143" s="93">
        <f t="shared" si="77"/>
        <v>1</v>
      </c>
      <c r="V143" s="24">
        <v>1</v>
      </c>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row>
    <row r="144" spans="2:99" ht="13.5" customHeight="1">
      <c r="B144" s="20"/>
      <c r="C144" s="80" t="s">
        <v>1094</v>
      </c>
      <c r="D144" s="3" t="s">
        <v>1057</v>
      </c>
      <c r="E144" s="3" t="s">
        <v>1027</v>
      </c>
      <c r="G144" s="6">
        <f>'DCF - Financials'!G123-G153</f>
        <v>-222.94499999999999</v>
      </c>
      <c r="H144" s="6">
        <f>'DCF - Financials'!H123-H153</f>
        <v>-577</v>
      </c>
      <c r="I144" s="6">
        <f>'DCF - Financials'!I123-I153</f>
        <v>-423.428</v>
      </c>
      <c r="J144" s="6">
        <f>'DCF - Financials'!J123-J153</f>
        <v>-540.95000000000005</v>
      </c>
      <c r="K144" s="6">
        <f>'DCF - Financials'!K123-K153</f>
        <v>-498.971</v>
      </c>
      <c r="L144" s="559">
        <f t="shared" ref="L144:S144" si="87">SUM(L140:L143)</f>
        <v>-498.971</v>
      </c>
      <c r="M144" s="559">
        <f t="shared" si="87"/>
        <v>-498.971</v>
      </c>
      <c r="N144" s="559">
        <f t="shared" si="87"/>
        <v>-498.971</v>
      </c>
      <c r="O144" s="559">
        <f t="shared" si="87"/>
        <v>-498.971</v>
      </c>
      <c r="P144" s="559">
        <f t="shared" si="87"/>
        <v>-498.971</v>
      </c>
      <c r="Q144" s="559">
        <f t="shared" si="87"/>
        <v>-498.971</v>
      </c>
      <c r="R144" s="559">
        <f t="shared" si="87"/>
        <v>-498.971</v>
      </c>
      <c r="S144" s="559">
        <f t="shared" si="87"/>
        <v>-498.971</v>
      </c>
      <c r="T144" s="94"/>
      <c r="U144" s="93">
        <f t="shared" si="77"/>
        <v>1</v>
      </c>
      <c r="V144" s="24">
        <v>1</v>
      </c>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row>
    <row r="145" spans="2:99" ht="13.5" customHeight="1">
      <c r="B145" s="20"/>
      <c r="C145" s="80"/>
      <c r="G145" s="6"/>
      <c r="H145" s="6"/>
      <c r="I145" s="6"/>
      <c r="J145" s="6"/>
      <c r="K145" s="6"/>
      <c r="L145" s="6"/>
      <c r="M145" s="6"/>
      <c r="N145" s="6"/>
      <c r="O145" s="6"/>
      <c r="P145" s="6"/>
      <c r="Q145" s="6"/>
      <c r="R145" s="6"/>
      <c r="S145" s="6"/>
      <c r="T145" s="94"/>
      <c r="U145" s="93">
        <f t="shared" si="77"/>
        <v>0</v>
      </c>
      <c r="V145" s="24">
        <v>0</v>
      </c>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row>
    <row r="146" spans="2:99" ht="13.5" customHeight="1">
      <c r="B146" s="20"/>
      <c r="C146" s="80" t="s">
        <v>1095</v>
      </c>
      <c r="D146" s="3" t="s">
        <v>1058</v>
      </c>
      <c r="E146" s="3" t="s">
        <v>1096</v>
      </c>
      <c r="G146" s="104"/>
      <c r="H146" s="104" t="e">
        <f ca="1">H141/H$92</f>
        <v>#NAME?</v>
      </c>
      <c r="I146" s="104" t="e">
        <f ca="1">I141/I$92</f>
        <v>#NAME?</v>
      </c>
      <c r="J146" s="104" t="e">
        <f ca="1">J141/J$92</f>
        <v>#NAME?</v>
      </c>
      <c r="K146" s="104" t="e">
        <f ca="1">K141/K$92</f>
        <v>#NAME?</v>
      </c>
      <c r="L146" s="96"/>
      <c r="M146" s="96"/>
      <c r="N146" s="96"/>
      <c r="O146" s="96"/>
      <c r="P146" s="96"/>
      <c r="Q146" s="96"/>
      <c r="R146" s="96"/>
      <c r="S146" s="96"/>
      <c r="T146" s="94"/>
      <c r="U146" s="93">
        <f t="shared" si="77"/>
        <v>1</v>
      </c>
      <c r="V146" s="24">
        <v>1</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row>
    <row r="147" spans="2:99" ht="13.5" customHeight="1">
      <c r="B147" s="20"/>
      <c r="C147" s="80" t="s">
        <v>1097</v>
      </c>
      <c r="D147" s="3" t="s">
        <v>1058</v>
      </c>
      <c r="E147" s="3" t="s">
        <v>1096</v>
      </c>
      <c r="G147" s="104"/>
      <c r="H147" s="104">
        <f>-H142/H141</f>
        <v>0.7288401253918495</v>
      </c>
      <c r="I147" s="104">
        <f>-I142/I141</f>
        <v>0.59010152284263961</v>
      </c>
      <c r="J147" s="104">
        <f>-J142/J141</f>
        <v>0.70106221547799696</v>
      </c>
      <c r="K147" s="104">
        <f>-K142/K141</f>
        <v>0.60629921259842523</v>
      </c>
      <c r="L147" s="96"/>
      <c r="M147" s="96"/>
      <c r="N147" s="96"/>
      <c r="O147" s="96"/>
      <c r="P147" s="96"/>
      <c r="Q147" s="96"/>
      <c r="R147" s="96"/>
      <c r="S147" s="96"/>
      <c r="T147" s="94"/>
      <c r="U147" s="93">
        <f t="shared" si="77"/>
        <v>1</v>
      </c>
      <c r="V147" s="24">
        <v>1</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row>
    <row r="148" spans="2:99" ht="13.5" customHeight="1">
      <c r="B148" s="20"/>
      <c r="C148" s="80"/>
      <c r="G148" s="6"/>
      <c r="H148" s="6"/>
      <c r="I148" s="6"/>
      <c r="J148" s="6"/>
      <c r="K148" s="6"/>
      <c r="L148" s="6"/>
      <c r="M148" s="6"/>
      <c r="N148" s="6"/>
      <c r="O148" s="6"/>
      <c r="P148" s="6"/>
      <c r="Q148" s="6"/>
      <c r="R148" s="6"/>
      <c r="S148" s="6"/>
      <c r="T148" s="94"/>
      <c r="U148" s="93">
        <f t="shared" si="77"/>
        <v>0</v>
      </c>
      <c r="V148" s="24">
        <v>0</v>
      </c>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row>
    <row r="149" spans="2:99" ht="13.5" customHeight="1">
      <c r="B149" s="20"/>
      <c r="C149" s="156" t="s">
        <v>1098</v>
      </c>
      <c r="D149" s="3" t="s">
        <v>1057</v>
      </c>
      <c r="E149" s="3" t="s">
        <v>1027</v>
      </c>
      <c r="G149" s="6"/>
      <c r="H149" s="6">
        <f>G153</f>
        <v>230</v>
      </c>
      <c r="I149" s="6">
        <f t="shared" ref="I149:S149" si="88">H153</f>
        <v>577</v>
      </c>
      <c r="J149" s="6">
        <f t="shared" si="88"/>
        <v>443</v>
      </c>
      <c r="K149" s="6">
        <f t="shared" si="88"/>
        <v>565</v>
      </c>
      <c r="L149" s="559">
        <f t="shared" si="88"/>
        <v>526</v>
      </c>
      <c r="M149" s="559">
        <f t="shared" si="88"/>
        <v>526</v>
      </c>
      <c r="N149" s="559">
        <f t="shared" si="88"/>
        <v>526</v>
      </c>
      <c r="O149" s="559">
        <f t="shared" si="88"/>
        <v>526</v>
      </c>
      <c r="P149" s="559">
        <f t="shared" si="88"/>
        <v>526</v>
      </c>
      <c r="Q149" s="559">
        <f t="shared" si="88"/>
        <v>526</v>
      </c>
      <c r="R149" s="559">
        <f t="shared" si="88"/>
        <v>526</v>
      </c>
      <c r="S149" s="559">
        <f t="shared" si="88"/>
        <v>526</v>
      </c>
      <c r="T149" s="94"/>
      <c r="U149" s="93">
        <f t="shared" si="77"/>
        <v>1</v>
      </c>
      <c r="V149" s="24">
        <v>1</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row>
    <row r="150" spans="2:99" ht="13.5" customHeight="1">
      <c r="B150" s="20"/>
      <c r="C150" s="106" t="s">
        <v>1091</v>
      </c>
      <c r="D150" s="32" t="s">
        <v>1057</v>
      </c>
      <c r="E150" s="32" t="s">
        <v>1027</v>
      </c>
      <c r="F150" s="32"/>
      <c r="G150" s="552"/>
      <c r="H150" s="552">
        <v>206</v>
      </c>
      <c r="I150" s="552">
        <v>56</v>
      </c>
      <c r="J150" s="552">
        <v>185</v>
      </c>
      <c r="K150" s="552">
        <v>82</v>
      </c>
      <c r="L150" s="962">
        <f t="shared" ref="L150" si="89">L155*L$92</f>
        <v>0</v>
      </c>
      <c r="M150" s="962">
        <f t="shared" ref="M150:S150" si="90">M155*M$92</f>
        <v>0</v>
      </c>
      <c r="N150" s="962">
        <f t="shared" si="90"/>
        <v>0</v>
      </c>
      <c r="O150" s="962">
        <f t="shared" si="90"/>
        <v>0</v>
      </c>
      <c r="P150" s="962">
        <f t="shared" si="90"/>
        <v>0</v>
      </c>
      <c r="Q150" s="962">
        <f t="shared" si="90"/>
        <v>0</v>
      </c>
      <c r="R150" s="962">
        <f t="shared" si="90"/>
        <v>0</v>
      </c>
      <c r="S150" s="962">
        <f t="shared" si="90"/>
        <v>0</v>
      </c>
      <c r="T150" s="94"/>
      <c r="U150" s="93">
        <f t="shared" si="77"/>
        <v>1</v>
      </c>
      <c r="V150" s="24">
        <v>1</v>
      </c>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row>
    <row r="151" spans="2:99" ht="13.5" customHeight="1">
      <c r="B151" s="20"/>
      <c r="C151" s="80" t="s">
        <v>1092</v>
      </c>
      <c r="D151" s="3" t="s">
        <v>1057</v>
      </c>
      <c r="E151" s="3" t="s">
        <v>1027</v>
      </c>
      <c r="G151" s="82"/>
      <c r="H151" s="82">
        <v>-92</v>
      </c>
      <c r="I151" s="82">
        <v>-92</v>
      </c>
      <c r="J151" s="82">
        <v>-95</v>
      </c>
      <c r="K151" s="82">
        <v>-95</v>
      </c>
      <c r="L151" s="890">
        <f t="shared" ref="L151:S151" si="91">-L150*L156</f>
        <v>0</v>
      </c>
      <c r="M151" s="890">
        <f t="shared" si="91"/>
        <v>0</v>
      </c>
      <c r="N151" s="890">
        <f t="shared" si="91"/>
        <v>0</v>
      </c>
      <c r="O151" s="890">
        <f t="shared" si="91"/>
        <v>0</v>
      </c>
      <c r="P151" s="890">
        <f t="shared" si="91"/>
        <v>0</v>
      </c>
      <c r="Q151" s="890">
        <f t="shared" si="91"/>
        <v>0</v>
      </c>
      <c r="R151" s="890">
        <f t="shared" si="91"/>
        <v>0</v>
      </c>
      <c r="S151" s="890">
        <f t="shared" si="91"/>
        <v>0</v>
      </c>
      <c r="T151" s="94"/>
      <c r="U151" s="93">
        <f t="shared" si="77"/>
        <v>1</v>
      </c>
      <c r="V151" s="24">
        <v>1</v>
      </c>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row>
    <row r="152" spans="2:99" ht="13.5" customHeight="1">
      <c r="B152" s="20"/>
      <c r="C152" s="106" t="s">
        <v>1093</v>
      </c>
      <c r="D152" s="32" t="s">
        <v>1057</v>
      </c>
      <c r="E152" s="32" t="s">
        <v>1027</v>
      </c>
      <c r="F152" s="32"/>
      <c r="G152" s="552"/>
      <c r="H152" s="77">
        <f>H153-SUM(H149:H151)</f>
        <v>233</v>
      </c>
      <c r="I152" s="77">
        <f>I153-SUM(I149:I151)</f>
        <v>-98</v>
      </c>
      <c r="J152" s="77">
        <f>J153-SUM(J149:J151)</f>
        <v>32</v>
      </c>
      <c r="K152" s="77">
        <f>K153-SUM(K149:K151)</f>
        <v>-26</v>
      </c>
      <c r="L152" s="574">
        <v>0</v>
      </c>
      <c r="M152" s="574">
        <v>0</v>
      </c>
      <c r="N152" s="574">
        <v>0</v>
      </c>
      <c r="O152" s="574">
        <v>0</v>
      </c>
      <c r="P152" s="574">
        <v>0</v>
      </c>
      <c r="Q152" s="574">
        <v>0</v>
      </c>
      <c r="R152" s="574">
        <v>0</v>
      </c>
      <c r="S152" s="574">
        <v>0</v>
      </c>
      <c r="T152" s="94"/>
      <c r="U152" s="93">
        <f t="shared" si="77"/>
        <v>1</v>
      </c>
      <c r="V152" s="24">
        <v>1</v>
      </c>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row>
    <row r="153" spans="2:99" ht="13.5" customHeight="1">
      <c r="B153" s="20"/>
      <c r="C153" s="80" t="s">
        <v>1094</v>
      </c>
      <c r="D153" s="3" t="s">
        <v>1057</v>
      </c>
      <c r="E153" s="3" t="s">
        <v>1020</v>
      </c>
      <c r="G153" s="82">
        <v>230</v>
      </c>
      <c r="H153" s="82">
        <v>577</v>
      </c>
      <c r="I153" s="82">
        <v>443</v>
      </c>
      <c r="J153" s="82">
        <v>565</v>
      </c>
      <c r="K153" s="82">
        <v>526</v>
      </c>
      <c r="L153" s="559">
        <f t="shared" ref="L153:S153" si="92">SUM(L149:L152)</f>
        <v>526</v>
      </c>
      <c r="M153" s="559">
        <f t="shared" si="92"/>
        <v>526</v>
      </c>
      <c r="N153" s="559">
        <f t="shared" si="92"/>
        <v>526</v>
      </c>
      <c r="O153" s="559">
        <f t="shared" si="92"/>
        <v>526</v>
      </c>
      <c r="P153" s="559">
        <f t="shared" si="92"/>
        <v>526</v>
      </c>
      <c r="Q153" s="559">
        <f t="shared" si="92"/>
        <v>526</v>
      </c>
      <c r="R153" s="559">
        <f t="shared" si="92"/>
        <v>526</v>
      </c>
      <c r="S153" s="559">
        <f t="shared" si="92"/>
        <v>526</v>
      </c>
      <c r="T153" s="94"/>
      <c r="U153" s="93">
        <f t="shared" si="77"/>
        <v>1</v>
      </c>
      <c r="V153" s="24">
        <v>1</v>
      </c>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row>
    <row r="154" spans="2:99" ht="13.5" customHeight="1">
      <c r="B154" s="20"/>
      <c r="C154" s="80"/>
      <c r="G154" s="6"/>
      <c r="H154" s="6"/>
      <c r="I154" s="6"/>
      <c r="J154" s="6"/>
      <c r="K154" s="6"/>
      <c r="L154" s="6"/>
      <c r="M154" s="6"/>
      <c r="N154" s="6"/>
      <c r="O154" s="6"/>
      <c r="P154" s="6"/>
      <c r="Q154" s="6"/>
      <c r="R154" s="6"/>
      <c r="S154" s="6"/>
      <c r="T154" s="94"/>
      <c r="U154" s="93">
        <f t="shared" si="77"/>
        <v>0</v>
      </c>
      <c r="V154" s="24">
        <v>0</v>
      </c>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row>
    <row r="155" spans="2:99" ht="13.5" customHeight="1">
      <c r="B155" s="20"/>
      <c r="C155" s="80" t="s">
        <v>1095</v>
      </c>
      <c r="D155" s="3" t="s">
        <v>1058</v>
      </c>
      <c r="E155" s="3" t="s">
        <v>1096</v>
      </c>
      <c r="G155" s="104"/>
      <c r="H155" s="104" t="e">
        <f ca="1">H150/H$92</f>
        <v>#NAME?</v>
      </c>
      <c r="I155" s="104" t="e">
        <f ca="1">I150/I$92</f>
        <v>#NAME?</v>
      </c>
      <c r="J155" s="104" t="e">
        <f ca="1">J150/J$92</f>
        <v>#NAME?</v>
      </c>
      <c r="K155" s="104" t="e">
        <f ca="1">K150/K$92</f>
        <v>#NAME?</v>
      </c>
      <c r="L155" s="96"/>
      <c r="M155" s="96"/>
      <c r="N155" s="96"/>
      <c r="O155" s="96"/>
      <c r="P155" s="96"/>
      <c r="Q155" s="96"/>
      <c r="R155" s="96"/>
      <c r="S155" s="96"/>
      <c r="T155" s="94"/>
      <c r="U155" s="93">
        <f t="shared" si="77"/>
        <v>1</v>
      </c>
      <c r="V155" s="24">
        <v>1</v>
      </c>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row>
    <row r="156" spans="2:99" ht="13.5" customHeight="1">
      <c r="B156" s="20"/>
      <c r="C156" s="80" t="s">
        <v>1097</v>
      </c>
      <c r="D156" s="3" t="s">
        <v>1058</v>
      </c>
      <c r="E156" s="3" t="s">
        <v>1096</v>
      </c>
      <c r="G156" s="104"/>
      <c r="H156" s="104">
        <f>-H151/H150</f>
        <v>0.44660194174757284</v>
      </c>
      <c r="I156" s="104">
        <f>-I151/I150</f>
        <v>1.6428571428571428</v>
      </c>
      <c r="J156" s="104">
        <f>-J151/J150</f>
        <v>0.51351351351351349</v>
      </c>
      <c r="K156" s="104">
        <f>-K151/K150</f>
        <v>1.1585365853658536</v>
      </c>
      <c r="L156" s="96"/>
      <c r="M156" s="96"/>
      <c r="N156" s="96"/>
      <c r="O156" s="96"/>
      <c r="P156" s="96"/>
      <c r="Q156" s="96"/>
      <c r="R156" s="96"/>
      <c r="S156" s="96"/>
      <c r="T156" s="94"/>
      <c r="U156" s="93">
        <f t="shared" si="77"/>
        <v>1</v>
      </c>
      <c r="V156" s="24">
        <v>1</v>
      </c>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row>
    <row r="157" spans="2:99" ht="13.5" customHeight="1">
      <c r="B157" s="20"/>
      <c r="C157" s="80"/>
      <c r="G157" s="6"/>
      <c r="H157" s="6"/>
      <c r="I157" s="6"/>
      <c r="J157" s="6"/>
      <c r="K157" s="6"/>
      <c r="L157" s="6"/>
      <c r="M157" s="6"/>
      <c r="N157" s="6"/>
      <c r="O157" s="6"/>
      <c r="P157" s="6"/>
      <c r="Q157" s="6"/>
      <c r="R157" s="6"/>
      <c r="S157" s="6"/>
      <c r="T157" s="94"/>
      <c r="U157" s="93">
        <f t="shared" si="77"/>
        <v>0</v>
      </c>
      <c r="V157" s="24">
        <v>0</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row>
    <row r="158" spans="2:99" ht="13.5" customHeight="1">
      <c r="B158" s="20"/>
      <c r="C158" s="156" t="s">
        <v>1099</v>
      </c>
      <c r="D158" s="3" t="s">
        <v>1057</v>
      </c>
      <c r="E158" s="3" t="s">
        <v>1027</v>
      </c>
      <c r="G158" s="6"/>
      <c r="H158" s="6">
        <f>G162</f>
        <v>30.324000000000002</v>
      </c>
      <c r="I158" s="6">
        <f t="shared" ref="I158:K158" si="93">H162</f>
        <v>28.544</v>
      </c>
      <c r="J158" s="6">
        <f t="shared" si="93"/>
        <v>41.036999999999999</v>
      </c>
      <c r="K158" s="6">
        <f t="shared" si="93"/>
        <v>31.885999999999999</v>
      </c>
      <c r="L158" s="559">
        <f>K162</f>
        <v>27.887</v>
      </c>
      <c r="M158" s="559">
        <f t="shared" ref="M158:S158" si="94">L162</f>
        <v>27.887</v>
      </c>
      <c r="N158" s="559">
        <f t="shared" si="94"/>
        <v>27.887</v>
      </c>
      <c r="O158" s="559">
        <f t="shared" si="94"/>
        <v>27.887</v>
      </c>
      <c r="P158" s="559">
        <f t="shared" si="94"/>
        <v>27.887</v>
      </c>
      <c r="Q158" s="559">
        <f t="shared" si="94"/>
        <v>27.887</v>
      </c>
      <c r="R158" s="559">
        <f t="shared" si="94"/>
        <v>27.887</v>
      </c>
      <c r="S158" s="559">
        <f t="shared" si="94"/>
        <v>27.887</v>
      </c>
      <c r="T158" s="94"/>
      <c r="U158" s="93">
        <f t="shared" si="77"/>
        <v>1</v>
      </c>
      <c r="V158" s="24">
        <v>1</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row>
    <row r="159" spans="2:99" ht="13.5" customHeight="1">
      <c r="B159" s="20"/>
      <c r="C159" s="106" t="s">
        <v>1091</v>
      </c>
      <c r="D159" s="32" t="s">
        <v>1057</v>
      </c>
      <c r="E159" s="32" t="s">
        <v>1027</v>
      </c>
      <c r="F159" s="32"/>
      <c r="G159" s="552"/>
      <c r="H159" s="552">
        <v>165</v>
      </c>
      <c r="I159" s="552">
        <v>648</v>
      </c>
      <c r="J159" s="552">
        <v>301</v>
      </c>
      <c r="K159" s="552">
        <v>598</v>
      </c>
      <c r="L159" s="962">
        <f t="shared" ref="L159:S159" si="95">L164*L92</f>
        <v>0</v>
      </c>
      <c r="M159" s="962">
        <f t="shared" si="95"/>
        <v>0</v>
      </c>
      <c r="N159" s="962">
        <f t="shared" si="95"/>
        <v>0</v>
      </c>
      <c r="O159" s="962">
        <f t="shared" si="95"/>
        <v>0</v>
      </c>
      <c r="P159" s="962">
        <f t="shared" si="95"/>
        <v>0</v>
      </c>
      <c r="Q159" s="962">
        <f t="shared" si="95"/>
        <v>0</v>
      </c>
      <c r="R159" s="962">
        <f t="shared" si="95"/>
        <v>0</v>
      </c>
      <c r="S159" s="962">
        <f t="shared" si="95"/>
        <v>0</v>
      </c>
      <c r="T159" s="94"/>
      <c r="U159" s="93">
        <f t="shared" si="77"/>
        <v>1</v>
      </c>
      <c r="V159" s="24">
        <v>1</v>
      </c>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row>
    <row r="160" spans="2:99" ht="13.5" customHeight="1">
      <c r="B160" s="20"/>
      <c r="C160" s="80" t="s">
        <v>1100</v>
      </c>
      <c r="D160" s="3" t="s">
        <v>1057</v>
      </c>
      <c r="E160" s="3" t="s">
        <v>1027</v>
      </c>
      <c r="G160" s="82"/>
      <c r="H160" s="82">
        <f>-63-1219</f>
        <v>-1282</v>
      </c>
      <c r="I160" s="82">
        <f>-49</f>
        <v>-49</v>
      </c>
      <c r="J160" s="82">
        <f>-45-336</f>
        <v>-381</v>
      </c>
      <c r="K160" s="82">
        <f>-56-498</f>
        <v>-554</v>
      </c>
      <c r="L160" s="890">
        <f t="shared" ref="L160:S160" si="96">L159*-L165</f>
        <v>0</v>
      </c>
      <c r="M160" s="890">
        <f t="shared" si="96"/>
        <v>0</v>
      </c>
      <c r="N160" s="890">
        <f t="shared" si="96"/>
        <v>0</v>
      </c>
      <c r="O160" s="890">
        <f t="shared" si="96"/>
        <v>0</v>
      </c>
      <c r="P160" s="890">
        <f t="shared" si="96"/>
        <v>0</v>
      </c>
      <c r="Q160" s="890">
        <f t="shared" si="96"/>
        <v>0</v>
      </c>
      <c r="R160" s="890">
        <f t="shared" si="96"/>
        <v>0</v>
      </c>
      <c r="S160" s="890">
        <f t="shared" si="96"/>
        <v>0</v>
      </c>
      <c r="T160" s="94"/>
      <c r="U160" s="93">
        <f t="shared" si="77"/>
        <v>1</v>
      </c>
      <c r="V160" s="24">
        <v>1</v>
      </c>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row>
    <row r="161" spans="1:99" ht="13.5" customHeight="1">
      <c r="B161" s="20"/>
      <c r="C161" s="106" t="s">
        <v>1093</v>
      </c>
      <c r="D161" s="32" t="s">
        <v>1057</v>
      </c>
      <c r="E161" s="32" t="s">
        <v>1027</v>
      </c>
      <c r="F161" s="32"/>
      <c r="G161" s="77"/>
      <c r="H161" s="77">
        <f>H162-SUM(H158:H160)</f>
        <v>1115.22</v>
      </c>
      <c r="I161" s="77">
        <f>I162-SUM(I158:I160)</f>
        <v>-586.50699999999995</v>
      </c>
      <c r="J161" s="77">
        <f>J162-SUM(J158:J160)</f>
        <v>70.849000000000018</v>
      </c>
      <c r="K161" s="77">
        <f>K162-SUM(K158:K160)</f>
        <v>-47.998999999999967</v>
      </c>
      <c r="L161" s="574">
        <v>0</v>
      </c>
      <c r="M161" s="574">
        <v>0</v>
      </c>
      <c r="N161" s="574">
        <v>0</v>
      </c>
      <c r="O161" s="574">
        <v>0</v>
      </c>
      <c r="P161" s="574">
        <v>0</v>
      </c>
      <c r="Q161" s="574">
        <v>0</v>
      </c>
      <c r="R161" s="574">
        <v>0</v>
      </c>
      <c r="S161" s="574">
        <v>0</v>
      </c>
      <c r="T161" s="94"/>
      <c r="U161" s="93">
        <f t="shared" si="77"/>
        <v>1</v>
      </c>
      <c r="V161" s="24">
        <v>1</v>
      </c>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row>
    <row r="162" spans="1:99" ht="13.5" customHeight="1">
      <c r="B162" s="20"/>
      <c r="C162" s="80" t="s">
        <v>1094</v>
      </c>
      <c r="D162" s="3" t="s">
        <v>1057</v>
      </c>
      <c r="E162" s="3" t="s">
        <v>1027</v>
      </c>
      <c r="G162" s="6">
        <f>'DCF - Financials'!G122</f>
        <v>30.324000000000002</v>
      </c>
      <c r="H162" s="6">
        <f>'DCF - Financials'!H122</f>
        <v>28.544</v>
      </c>
      <c r="I162" s="6">
        <f>'DCF - Financials'!I122</f>
        <v>41.036999999999999</v>
      </c>
      <c r="J162" s="6">
        <f>'DCF - Financials'!J122</f>
        <v>31.885999999999999</v>
      </c>
      <c r="K162" s="6">
        <f>'DCF - Financials'!K122</f>
        <v>27.887</v>
      </c>
      <c r="L162" s="559">
        <f t="shared" ref="L162:S162" si="97">SUM(L158:L161)</f>
        <v>27.887</v>
      </c>
      <c r="M162" s="559">
        <f t="shared" si="97"/>
        <v>27.887</v>
      </c>
      <c r="N162" s="559">
        <f t="shared" si="97"/>
        <v>27.887</v>
      </c>
      <c r="O162" s="559">
        <f t="shared" si="97"/>
        <v>27.887</v>
      </c>
      <c r="P162" s="559">
        <f t="shared" si="97"/>
        <v>27.887</v>
      </c>
      <c r="Q162" s="559">
        <f t="shared" si="97"/>
        <v>27.887</v>
      </c>
      <c r="R162" s="559">
        <f t="shared" si="97"/>
        <v>27.887</v>
      </c>
      <c r="S162" s="559">
        <f t="shared" si="97"/>
        <v>27.887</v>
      </c>
      <c r="T162" s="94"/>
      <c r="U162" s="93">
        <f t="shared" si="77"/>
        <v>1</v>
      </c>
      <c r="V162" s="24">
        <v>1</v>
      </c>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row>
    <row r="163" spans="1:99" ht="13.5" customHeight="1">
      <c r="B163" s="20"/>
      <c r="C163" s="80"/>
      <c r="G163" s="6"/>
      <c r="H163" s="6"/>
      <c r="I163" s="6"/>
      <c r="J163" s="6"/>
      <c r="K163" s="6"/>
      <c r="L163"/>
      <c r="M163"/>
      <c r="N163"/>
      <c r="O163"/>
      <c r="P163"/>
      <c r="Q163"/>
      <c r="R163"/>
      <c r="S163"/>
      <c r="T163" s="94"/>
      <c r="U163" s="93">
        <f t="shared" si="77"/>
        <v>0</v>
      </c>
      <c r="V163" s="24">
        <v>0</v>
      </c>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row>
    <row r="164" spans="1:99" ht="13.5" customHeight="1">
      <c r="B164" s="20"/>
      <c r="C164" s="80" t="s">
        <v>1101</v>
      </c>
      <c r="D164" s="3" t="s">
        <v>1058</v>
      </c>
      <c r="E164" s="3" t="s">
        <v>1096</v>
      </c>
      <c r="G164" s="104"/>
      <c r="H164" s="104" t="e">
        <f ca="1">H159/H92</f>
        <v>#NAME?</v>
      </c>
      <c r="I164" s="104" t="e">
        <f ca="1">I159/I92</f>
        <v>#NAME?</v>
      </c>
      <c r="J164" s="104" t="e">
        <f ca="1">J159/J92</f>
        <v>#NAME?</v>
      </c>
      <c r="K164" s="104" t="e">
        <f ca="1">K159/K92</f>
        <v>#NAME?</v>
      </c>
      <c r="L164" s="96"/>
      <c r="M164" s="96"/>
      <c r="N164" s="96"/>
      <c r="O164" s="96"/>
      <c r="P164" s="96"/>
      <c r="Q164" s="96"/>
      <c r="R164" s="96"/>
      <c r="S164" s="96"/>
      <c r="T164" s="94"/>
      <c r="U164" s="93">
        <f t="shared" si="77"/>
        <v>1</v>
      </c>
      <c r="V164" s="24">
        <v>1</v>
      </c>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row>
    <row r="165" spans="1:99" ht="13.5" customHeight="1">
      <c r="B165" s="20"/>
      <c r="C165" s="80" t="s">
        <v>1102</v>
      </c>
      <c r="D165" s="3" t="s">
        <v>1058</v>
      </c>
      <c r="E165" s="3" t="s">
        <v>1096</v>
      </c>
      <c r="G165" s="104"/>
      <c r="H165" s="104">
        <f>-H160/H159</f>
        <v>7.7696969696969695</v>
      </c>
      <c r="I165" s="104">
        <f>-I160/I159</f>
        <v>7.5617283950617287E-2</v>
      </c>
      <c r="J165" s="104">
        <f>-J160/J159</f>
        <v>1.2657807308970099</v>
      </c>
      <c r="K165" s="104">
        <f>-K160/K159</f>
        <v>0.9264214046822743</v>
      </c>
      <c r="L165" s="96"/>
      <c r="M165" s="96"/>
      <c r="N165" s="96"/>
      <c r="O165" s="96"/>
      <c r="P165" s="96"/>
      <c r="Q165" s="96"/>
      <c r="R165" s="96"/>
      <c r="S165" s="96"/>
      <c r="T165" s="94"/>
      <c r="U165" s="93">
        <f t="shared" si="77"/>
        <v>1</v>
      </c>
      <c r="V165" s="24">
        <v>1</v>
      </c>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row>
    <row r="166" spans="1:99" ht="13.5" customHeight="1">
      <c r="B166" s="20"/>
      <c r="C166" s="80"/>
      <c r="G166" s="6"/>
      <c r="H166" s="6"/>
      <c r="I166" s="6"/>
      <c r="J166" s="6"/>
      <c r="K166" s="6"/>
      <c r="L166" s="6"/>
      <c r="M166" s="6"/>
      <c r="N166" s="6"/>
      <c r="O166" s="6"/>
      <c r="P166" s="6"/>
      <c r="Q166" s="6"/>
      <c r="R166" s="6"/>
      <c r="S166" s="6"/>
      <c r="T166" s="94"/>
      <c r="U166" s="93">
        <f t="shared" si="77"/>
        <v>0</v>
      </c>
      <c r="V166" s="24">
        <v>0</v>
      </c>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row>
    <row r="167" spans="1:99" ht="13.5" customHeight="1">
      <c r="B167" s="20"/>
      <c r="C167" s="576" t="s">
        <v>1103</v>
      </c>
      <c r="D167" s="32" t="s">
        <v>1057</v>
      </c>
      <c r="E167" s="32" t="s">
        <v>1027</v>
      </c>
      <c r="F167" s="78"/>
      <c r="G167" s="211"/>
      <c r="H167" s="211">
        <f>'DCF - Financials'!H64</f>
        <v>92.174999999999997</v>
      </c>
      <c r="I167" s="211">
        <f>'DCF - Financials'!I64</f>
        <v>107.056</v>
      </c>
      <c r="J167" s="211">
        <f>'DCF - Financials'!J64</f>
        <v>89.712999999999994</v>
      </c>
      <c r="K167" s="211">
        <f>'DCF - Financials'!K64</f>
        <v>68.028000000000006</v>
      </c>
      <c r="L167" s="961">
        <f>-SUM(L142,L151,L160)</f>
        <v>0</v>
      </c>
      <c r="M167" s="564">
        <f t="shared" ref="M167:S167" si="98">-SUM(M142,M151,M160)</f>
        <v>0</v>
      </c>
      <c r="N167" s="564">
        <f t="shared" si="98"/>
        <v>0</v>
      </c>
      <c r="O167" s="564">
        <f t="shared" si="98"/>
        <v>0</v>
      </c>
      <c r="P167" s="564">
        <f t="shared" si="98"/>
        <v>0</v>
      </c>
      <c r="Q167" s="564">
        <f t="shared" si="98"/>
        <v>0</v>
      </c>
      <c r="R167" s="564">
        <f t="shared" si="98"/>
        <v>0</v>
      </c>
      <c r="S167" s="564">
        <f t="shared" si="98"/>
        <v>0</v>
      </c>
      <c r="T167" s="94"/>
      <c r="U167" s="93">
        <f t="shared" ref="U167:U198" si="99">IF(NOT(ISBLANK(C167)), 1, 0)</f>
        <v>1</v>
      </c>
      <c r="V167" s="24">
        <v>1</v>
      </c>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row>
    <row r="168" spans="1:99" ht="13.5" customHeight="1">
      <c r="B168" s="20"/>
      <c r="C168" s="81"/>
      <c r="L168" s="6"/>
      <c r="M168" s="6"/>
      <c r="N168" s="6"/>
      <c r="O168" s="6"/>
      <c r="P168" s="6"/>
      <c r="Q168" s="6"/>
      <c r="R168" s="6"/>
      <c r="S168" s="6"/>
      <c r="T168" s="94"/>
      <c r="U168" s="93">
        <f t="shared" si="99"/>
        <v>0</v>
      </c>
      <c r="V168" s="24">
        <v>0</v>
      </c>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row>
    <row r="169" spans="1:99" ht="15.6">
      <c r="B169" s="115"/>
      <c r="C169" s="807" t="s">
        <v>1104</v>
      </c>
      <c r="D169" s="808"/>
      <c r="E169" s="808"/>
      <c r="F169" s="808"/>
      <c r="G169" s="808"/>
      <c r="H169" s="808"/>
      <c r="I169" s="808"/>
      <c r="J169" s="808"/>
      <c r="K169" s="808"/>
      <c r="L169" s="808"/>
      <c r="M169" s="808"/>
      <c r="N169" s="808"/>
      <c r="O169" s="808"/>
      <c r="P169" s="808"/>
      <c r="Q169" s="808"/>
      <c r="R169" s="808"/>
      <c r="S169" s="808"/>
      <c r="T169"/>
      <c r="U169" s="93">
        <f t="shared" si="99"/>
        <v>1</v>
      </c>
      <c r="V169" s="24">
        <v>1</v>
      </c>
    </row>
    <row r="170" spans="1:99" ht="13.5" customHeight="1">
      <c r="B170" s="20"/>
      <c r="C170" s="81"/>
      <c r="T170" s="94"/>
      <c r="U170" s="93">
        <f t="shared" si="99"/>
        <v>0</v>
      </c>
      <c r="V170" s="24">
        <v>0</v>
      </c>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row>
    <row r="171" spans="1:99" ht="13.5" customHeight="1" thickBot="1">
      <c r="B171" s="20"/>
      <c r="C171" s="98" t="s">
        <v>1105</v>
      </c>
      <c r="D171" s="57"/>
      <c r="E171" s="57"/>
      <c r="F171" s="57"/>
      <c r="G171" s="57"/>
      <c r="H171" s="57"/>
      <c r="I171" s="57"/>
      <c r="J171" s="57"/>
      <c r="K171" s="57"/>
      <c r="L171" s="57"/>
      <c r="M171" s="57"/>
      <c r="N171" s="57"/>
      <c r="O171" s="57"/>
      <c r="P171" s="57"/>
      <c r="Q171" s="57"/>
      <c r="R171" s="57"/>
      <c r="S171" s="57"/>
      <c r="T171" s="94"/>
      <c r="U171" s="93">
        <f t="shared" si="99"/>
        <v>1</v>
      </c>
      <c r="V171" s="24">
        <v>1</v>
      </c>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row>
    <row r="172" spans="1:99" ht="13.5" customHeight="1">
      <c r="B172" s="20"/>
      <c r="C172" s="81" t="s">
        <v>1106</v>
      </c>
      <c r="D172" s="3" t="s">
        <v>1057</v>
      </c>
      <c r="E172" s="3" t="s">
        <v>1027</v>
      </c>
      <c r="G172" s="3" t="e">
        <f>'DCF - Financials'!#REF!</f>
        <v>#REF!</v>
      </c>
      <c r="H172" s="6" t="e">
        <f>'DCF - Financials'!#REF!</f>
        <v>#REF!</v>
      </c>
      <c r="I172" s="6" t="e">
        <f>'DCF - Financials'!#REF!</f>
        <v>#REF!</v>
      </c>
      <c r="J172" s="6" t="e">
        <f>'DCF - Financials'!#REF!</f>
        <v>#REF!</v>
      </c>
      <c r="K172" s="6" t="e">
        <f>'DCF - Financials'!#REF!</f>
        <v>#REF!</v>
      </c>
      <c r="L172" s="559" t="e">
        <f>'DCF - Financials'!#REF!</f>
        <v>#REF!</v>
      </c>
      <c r="M172" s="559" t="e">
        <f>'DCF - Financials'!#REF!</f>
        <v>#REF!</v>
      </c>
      <c r="N172" s="559" t="e">
        <f>'DCF - Financials'!#REF!</f>
        <v>#REF!</v>
      </c>
      <c r="O172" s="559" t="e">
        <f>'DCF - Financials'!#REF!</f>
        <v>#REF!</v>
      </c>
      <c r="P172" s="559" t="e">
        <f>'DCF - Financials'!#REF!</f>
        <v>#REF!</v>
      </c>
      <c r="Q172" s="559" t="e">
        <f>'DCF - Financials'!#REF!</f>
        <v>#REF!</v>
      </c>
      <c r="R172" s="559" t="e">
        <f>'DCF - Financials'!#REF!</f>
        <v>#REF!</v>
      </c>
      <c r="S172" s="559" t="e">
        <f>'DCF - Financials'!#REF!</f>
        <v>#REF!</v>
      </c>
      <c r="T172" s="94"/>
      <c r="U172" s="93">
        <f t="shared" si="99"/>
        <v>1</v>
      </c>
      <c r="V172" s="24">
        <v>1</v>
      </c>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row>
    <row r="173" spans="1:99" ht="13.5" customHeight="1">
      <c r="B173" s="20"/>
      <c r="C173" s="81" t="s">
        <v>1107</v>
      </c>
      <c r="D173" s="3" t="s">
        <v>1058</v>
      </c>
      <c r="E173" s="3" t="s">
        <v>1020</v>
      </c>
      <c r="G173" s="97"/>
      <c r="H173" s="97" t="e">
        <f t="shared" ref="H173:J173" si="100">H174/G172</f>
        <v>#REF!</v>
      </c>
      <c r="I173" s="97" t="e">
        <f t="shared" si="100"/>
        <v>#REF!</v>
      </c>
      <c r="J173" s="97" t="e">
        <f t="shared" si="100"/>
        <v>#REF!</v>
      </c>
      <c r="K173" s="97" t="e">
        <f>K174/J172</f>
        <v>#REF!</v>
      </c>
      <c r="L173" s="96"/>
      <c r="M173" s="96"/>
      <c r="N173" s="96"/>
      <c r="O173" s="96"/>
      <c r="P173" s="96"/>
      <c r="Q173" s="96"/>
      <c r="R173" s="96"/>
      <c r="S173" s="96"/>
      <c r="T173" s="94"/>
      <c r="U173" s="93">
        <f t="shared" si="99"/>
        <v>1</v>
      </c>
      <c r="V173" s="24">
        <v>1</v>
      </c>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row>
    <row r="174" spans="1:99" ht="13.5" customHeight="1">
      <c r="B174" s="20"/>
      <c r="C174" s="101" t="s">
        <v>1108</v>
      </c>
      <c r="D174" s="32" t="s">
        <v>1057</v>
      </c>
      <c r="E174" s="32" t="s">
        <v>1027</v>
      </c>
      <c r="F174" s="32"/>
      <c r="G174" s="894">
        <v>232</v>
      </c>
      <c r="H174" s="552">
        <v>192</v>
      </c>
      <c r="I174" s="552">
        <v>119</v>
      </c>
      <c r="J174" s="552">
        <v>127</v>
      </c>
      <c r="K174" s="552">
        <v>160</v>
      </c>
      <c r="L174" s="574" t="e">
        <f>K172*L173</f>
        <v>#REF!</v>
      </c>
      <c r="M174" s="574" t="e">
        <f t="shared" ref="M174:S174" si="101">L172*M173</f>
        <v>#REF!</v>
      </c>
      <c r="N174" s="574" t="e">
        <f t="shared" si="101"/>
        <v>#REF!</v>
      </c>
      <c r="O174" s="574" t="e">
        <f t="shared" si="101"/>
        <v>#REF!</v>
      </c>
      <c r="P174" s="574" t="e">
        <f t="shared" si="101"/>
        <v>#REF!</v>
      </c>
      <c r="Q174" s="574" t="e">
        <f t="shared" si="101"/>
        <v>#REF!</v>
      </c>
      <c r="R174" s="574" t="e">
        <f t="shared" si="101"/>
        <v>#REF!</v>
      </c>
      <c r="S174" s="574" t="e">
        <f t="shared" si="101"/>
        <v>#REF!</v>
      </c>
      <c r="T174" s="94"/>
      <c r="U174" s="93">
        <f t="shared" si="99"/>
        <v>1</v>
      </c>
      <c r="V174" s="24">
        <v>1</v>
      </c>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row>
    <row r="175" spans="1:99" ht="13.5" customHeight="1">
      <c r="B175" s="20"/>
      <c r="C175" s="81" t="s">
        <v>931</v>
      </c>
      <c r="D175" s="3" t="s">
        <v>1057</v>
      </c>
      <c r="E175" s="3" t="s">
        <v>1027</v>
      </c>
      <c r="G175" s="223">
        <f>'DCF - Financials'!G30-'DCF - Assumptions (old)'!G174</f>
        <v>-232</v>
      </c>
      <c r="H175" s="223">
        <f>'DCF - Financials'!H30-'DCF - Assumptions (old)'!H174</f>
        <v>-214.084</v>
      </c>
      <c r="I175" s="223">
        <f>'DCF - Financials'!I30-'DCF - Assumptions (old)'!I174</f>
        <v>-143.57400000000001</v>
      </c>
      <c r="J175" s="223">
        <f>'DCF - Financials'!J30-'DCF - Assumptions (old)'!J174</f>
        <v>-151.06299999999999</v>
      </c>
      <c r="K175" s="223">
        <f>'DCF - Financials'!K30-'DCF - Assumptions (old)'!K174</f>
        <v>-181.53399999999999</v>
      </c>
      <c r="L175" s="559">
        <f>K175</f>
        <v>-181.53399999999999</v>
      </c>
      <c r="M175" s="559">
        <f t="shared" ref="M175:S175" si="102">L175</f>
        <v>-181.53399999999999</v>
      </c>
      <c r="N175" s="559">
        <f t="shared" si="102"/>
        <v>-181.53399999999999</v>
      </c>
      <c r="O175" s="559">
        <f t="shared" si="102"/>
        <v>-181.53399999999999</v>
      </c>
      <c r="P175" s="559">
        <f t="shared" si="102"/>
        <v>-181.53399999999999</v>
      </c>
      <c r="Q175" s="559">
        <f t="shared" si="102"/>
        <v>-181.53399999999999</v>
      </c>
      <c r="R175" s="559">
        <f t="shared" si="102"/>
        <v>-181.53399999999999</v>
      </c>
      <c r="S175" s="559">
        <f t="shared" si="102"/>
        <v>-181.53399999999999</v>
      </c>
      <c r="T175" s="94"/>
      <c r="U175" s="93">
        <f t="shared" si="99"/>
        <v>1</v>
      </c>
      <c r="V175" s="24">
        <v>1</v>
      </c>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row>
    <row r="176" spans="1:99" s="2" customFormat="1" ht="13.5" customHeight="1">
      <c r="A176" s="54"/>
      <c r="B176" s="54"/>
      <c r="C176" s="146" t="s">
        <v>1109</v>
      </c>
      <c r="D176" s="32" t="s">
        <v>1057</v>
      </c>
      <c r="E176" s="32" t="s">
        <v>1027</v>
      </c>
      <c r="F176" s="32"/>
      <c r="G176" s="100">
        <f>SUM(G174:G175)</f>
        <v>0</v>
      </c>
      <c r="H176" s="100">
        <f t="shared" ref="H176:S176" si="103">SUM(H174:H175)</f>
        <v>-22.084000000000003</v>
      </c>
      <c r="I176" s="100">
        <f t="shared" si="103"/>
        <v>-24.574000000000012</v>
      </c>
      <c r="J176" s="100">
        <f t="shared" si="103"/>
        <v>-24.062999999999988</v>
      </c>
      <c r="K176" s="100">
        <f t="shared" si="103"/>
        <v>-21.533999999999992</v>
      </c>
      <c r="L176" s="895" t="e">
        <f t="shared" si="103"/>
        <v>#REF!</v>
      </c>
      <c r="M176" s="895" t="e">
        <f t="shared" si="103"/>
        <v>#REF!</v>
      </c>
      <c r="N176" s="895" t="e">
        <f t="shared" si="103"/>
        <v>#REF!</v>
      </c>
      <c r="O176" s="895" t="e">
        <f t="shared" si="103"/>
        <v>#REF!</v>
      </c>
      <c r="P176" s="895" t="e">
        <f t="shared" si="103"/>
        <v>#REF!</v>
      </c>
      <c r="Q176" s="895" t="e">
        <f t="shared" si="103"/>
        <v>#REF!</v>
      </c>
      <c r="R176" s="895" t="e">
        <f t="shared" si="103"/>
        <v>#REF!</v>
      </c>
      <c r="S176" s="895" t="e">
        <f t="shared" si="103"/>
        <v>#REF!</v>
      </c>
      <c r="U176" s="93">
        <f t="shared" si="99"/>
        <v>1</v>
      </c>
      <c r="V176" s="93">
        <v>1</v>
      </c>
    </row>
    <row r="177" spans="1:99" ht="13.5" customHeight="1">
      <c r="A177"/>
      <c r="B177" s="20"/>
      <c r="C177" s="81"/>
      <c r="G177" s="97"/>
      <c r="H177" s="97"/>
      <c r="I177" s="97"/>
      <c r="J177" s="97"/>
      <c r="K177" s="97"/>
      <c r="L177" s="123"/>
      <c r="M177" s="123"/>
      <c r="N177" s="123"/>
      <c r="O177" s="123"/>
      <c r="P177" s="123"/>
      <c r="Q177" s="123"/>
      <c r="R177" s="123"/>
      <c r="S177" s="123"/>
      <c r="T177" s="94"/>
      <c r="U177" s="93">
        <f t="shared" si="99"/>
        <v>0</v>
      </c>
      <c r="V177" s="24">
        <v>0</v>
      </c>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row>
    <row r="178" spans="1:99" ht="13.5" customHeight="1" thickBot="1">
      <c r="B178" s="20"/>
      <c r="C178" s="98" t="s">
        <v>1110</v>
      </c>
      <c r="D178" s="57"/>
      <c r="E178" s="57"/>
      <c r="F178" s="57"/>
      <c r="G178" s="57"/>
      <c r="H178" s="57"/>
      <c r="I178" s="57"/>
      <c r="J178" s="57"/>
      <c r="K178" s="57"/>
      <c r="L178" s="57"/>
      <c r="M178" s="57"/>
      <c r="N178" s="57"/>
      <c r="O178" s="57"/>
      <c r="P178" s="57"/>
      <c r="Q178" s="57"/>
      <c r="R178" s="57"/>
      <c r="S178" s="57"/>
      <c r="T178" s="94"/>
      <c r="U178" s="93">
        <f t="shared" si="99"/>
        <v>1</v>
      </c>
      <c r="V178" s="24">
        <v>1</v>
      </c>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row>
    <row r="179" spans="1:99" ht="13.5" customHeight="1">
      <c r="B179" s="20"/>
      <c r="C179" s="81" t="s">
        <v>1111</v>
      </c>
      <c r="D179" s="3" t="s">
        <v>1058</v>
      </c>
      <c r="E179" s="3" t="s">
        <v>1020</v>
      </c>
      <c r="G179" s="97">
        <f>'DCF - Financials'!G33/-'DCF - Financials'!G31</f>
        <v>6.6730447261420703E-2</v>
      </c>
      <c r="H179" s="97">
        <f>'DCF - Financials'!H33/-'DCF - Financials'!H31</f>
        <v>-6.3247201138166578E-2</v>
      </c>
      <c r="I179" s="97">
        <f>'DCF - Financials'!I33/-'DCF - Financials'!I31</f>
        <v>2.8049033613714554</v>
      </c>
      <c r="J179" s="97">
        <f>'DCF - Financials'!J33/-'DCF - Financials'!J31</f>
        <v>-3.0762838924113533E-2</v>
      </c>
      <c r="K179" s="97">
        <f>'DCF - Financials'!K33/-'DCF - Financials'!K31</f>
        <v>1.352319879290879</v>
      </c>
      <c r="L179" s="96"/>
      <c r="M179" s="96"/>
      <c r="N179" s="96"/>
      <c r="O179" s="96"/>
      <c r="P179" s="96"/>
      <c r="Q179" s="96"/>
      <c r="R179" s="96"/>
      <c r="S179" s="96"/>
      <c r="T179" s="94"/>
      <c r="U179" s="93">
        <f t="shared" si="99"/>
        <v>1</v>
      </c>
      <c r="V179" s="24">
        <v>1</v>
      </c>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row>
    <row r="180" spans="1:99" s="2" customFormat="1" ht="13.5" customHeight="1">
      <c r="B180" s="3"/>
      <c r="C180" s="101" t="s">
        <v>1112</v>
      </c>
      <c r="D180" s="32" t="s">
        <v>1058</v>
      </c>
      <c r="E180" s="32" t="s">
        <v>1020</v>
      </c>
      <c r="F180" s="114"/>
      <c r="G180" s="77"/>
      <c r="H180" s="77"/>
      <c r="I180" s="77"/>
      <c r="J180" s="77"/>
      <c r="K180" s="77"/>
      <c r="L180" s="555"/>
      <c r="M180" s="555"/>
      <c r="N180" s="555"/>
      <c r="O180" s="555"/>
      <c r="P180" s="555"/>
      <c r="Q180" s="555"/>
      <c r="R180" s="555"/>
      <c r="S180" s="555"/>
      <c r="T180"/>
      <c r="U180" s="93">
        <f t="shared" si="99"/>
        <v>1</v>
      </c>
      <c r="V180" s="24">
        <v>1</v>
      </c>
    </row>
    <row r="181" spans="1:99" s="2" customFormat="1" ht="13.5" customHeight="1">
      <c r="B181" s="3"/>
      <c r="C181" s="81" t="s">
        <v>1113</v>
      </c>
      <c r="D181" s="3" t="s">
        <v>1025</v>
      </c>
      <c r="E181" s="3" t="s">
        <v>1027</v>
      </c>
      <c r="F181" s="116"/>
      <c r="G181" s="6"/>
      <c r="H181" s="6"/>
      <c r="I181" s="6"/>
      <c r="J181" s="6"/>
      <c r="K181" s="556">
        <v>1</v>
      </c>
      <c r="L181" s="645">
        <f>K181*(1+L180)</f>
        <v>1</v>
      </c>
      <c r="M181" s="645">
        <f t="shared" ref="M181:S181" si="104">L181*(1+M180)</f>
        <v>1</v>
      </c>
      <c r="N181" s="645">
        <f t="shared" si="104"/>
        <v>1</v>
      </c>
      <c r="O181" s="645">
        <f t="shared" si="104"/>
        <v>1</v>
      </c>
      <c r="P181" s="645">
        <f t="shared" si="104"/>
        <v>1</v>
      </c>
      <c r="Q181" s="645">
        <f t="shared" si="104"/>
        <v>1</v>
      </c>
      <c r="R181" s="645">
        <f t="shared" si="104"/>
        <v>1</v>
      </c>
      <c r="S181" s="645">
        <f t="shared" si="104"/>
        <v>1</v>
      </c>
      <c r="T181"/>
      <c r="U181" s="93">
        <f t="shared" si="99"/>
        <v>1</v>
      </c>
      <c r="V181" s="24">
        <v>1</v>
      </c>
    </row>
    <row r="182" spans="1:99" s="1" customFormat="1" ht="13.5" customHeight="1">
      <c r="B182" s="20"/>
      <c r="C182" s="80"/>
      <c r="D182" s="3"/>
      <c r="E182" s="3"/>
      <c r="F182" s="3"/>
      <c r="G182" s="95"/>
      <c r="H182" s="95"/>
      <c r="I182" s="95"/>
      <c r="J182" s="95"/>
      <c r="K182" s="95"/>
      <c r="L182" s="822"/>
      <c r="M182" s="822"/>
      <c r="N182" s="822"/>
      <c r="O182" s="822"/>
      <c r="P182" s="822"/>
      <c r="Q182" s="822"/>
      <c r="R182" s="822"/>
      <c r="S182" s="822"/>
      <c r="T182" s="94"/>
      <c r="U182" s="93">
        <f t="shared" si="99"/>
        <v>0</v>
      </c>
      <c r="V182" s="24">
        <v>0</v>
      </c>
    </row>
    <row r="183" spans="1:99" ht="13.5" customHeight="1" thickBot="1">
      <c r="B183" s="20"/>
      <c r="C183" s="98" t="s">
        <v>1114</v>
      </c>
      <c r="D183" s="57"/>
      <c r="E183" s="57"/>
      <c r="F183" s="57"/>
      <c r="G183" s="57"/>
      <c r="H183" s="57"/>
      <c r="I183" s="57"/>
      <c r="J183" s="57"/>
      <c r="K183" s="57"/>
      <c r="L183" s="57"/>
      <c r="M183" s="57"/>
      <c r="N183" s="57"/>
      <c r="O183" s="57"/>
      <c r="P183" s="57"/>
      <c r="Q183" s="57"/>
      <c r="R183" s="57"/>
      <c r="S183" s="57"/>
      <c r="T183" s="94"/>
      <c r="U183" s="93">
        <f t="shared" si="99"/>
        <v>1</v>
      </c>
      <c r="V183" s="24">
        <v>1</v>
      </c>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row>
    <row r="184" spans="1:99" s="2" customFormat="1" ht="13.5" customHeight="1">
      <c r="A184" s="54"/>
      <c r="B184" s="54"/>
      <c r="C184" s="81" t="s">
        <v>1115</v>
      </c>
      <c r="D184" s="3" t="s">
        <v>1057</v>
      </c>
      <c r="E184" s="3" t="s">
        <v>1027</v>
      </c>
      <c r="G184" s="95"/>
      <c r="H184" s="883">
        <v>-123</v>
      </c>
      <c r="I184" s="883">
        <v>-126</v>
      </c>
      <c r="J184" s="883">
        <v>-346</v>
      </c>
      <c r="K184" s="883">
        <v>-102</v>
      </c>
      <c r="L184" s="103">
        <v>0</v>
      </c>
      <c r="M184" s="103">
        <v>0</v>
      </c>
      <c r="N184" s="103">
        <v>0</v>
      </c>
      <c r="O184" s="103">
        <v>0</v>
      </c>
      <c r="P184" s="103">
        <v>0</v>
      </c>
      <c r="Q184" s="103">
        <v>0</v>
      </c>
      <c r="R184" s="103">
        <v>0</v>
      </c>
      <c r="S184" s="103">
        <v>0</v>
      </c>
      <c r="U184" s="93">
        <f t="shared" si="99"/>
        <v>1</v>
      </c>
      <c r="V184" s="93">
        <v>1</v>
      </c>
    </row>
    <row r="185" spans="1:99" s="2" customFormat="1" ht="13.5" customHeight="1">
      <c r="A185" s="54"/>
      <c r="B185" s="54"/>
      <c r="C185" s="81" t="s">
        <v>932</v>
      </c>
      <c r="D185" s="3" t="s">
        <v>1057</v>
      </c>
      <c r="E185" s="3" t="s">
        <v>1027</v>
      </c>
      <c r="G185" s="95"/>
      <c r="H185" s="883">
        <v>-71</v>
      </c>
      <c r="I185" s="883">
        <v>-60</v>
      </c>
      <c r="J185" s="883">
        <v>-98</v>
      </c>
      <c r="K185" s="883">
        <v>-76</v>
      </c>
      <c r="L185" s="103">
        <f t="shared" ref="L185:S185" si="105">K185</f>
        <v>-76</v>
      </c>
      <c r="M185" s="103">
        <f t="shared" si="105"/>
        <v>-76</v>
      </c>
      <c r="N185" s="103">
        <f t="shared" si="105"/>
        <v>-76</v>
      </c>
      <c r="O185" s="103">
        <f t="shared" si="105"/>
        <v>-76</v>
      </c>
      <c r="P185" s="103">
        <f t="shared" si="105"/>
        <v>-76</v>
      </c>
      <c r="Q185" s="103">
        <f t="shared" si="105"/>
        <v>-76</v>
      </c>
      <c r="R185" s="103">
        <f t="shared" si="105"/>
        <v>-76</v>
      </c>
      <c r="S185" s="103">
        <f t="shared" si="105"/>
        <v>-76</v>
      </c>
      <c r="U185" s="93">
        <f t="shared" si="99"/>
        <v>1</v>
      </c>
      <c r="V185" s="93">
        <v>1</v>
      </c>
    </row>
    <row r="186" spans="1:99" s="2" customFormat="1" ht="13.5" customHeight="1">
      <c r="A186" s="54"/>
      <c r="B186" s="54"/>
      <c r="C186" s="146" t="s">
        <v>1116</v>
      </c>
      <c r="D186" s="32" t="s">
        <v>1057</v>
      </c>
      <c r="E186" s="32" t="s">
        <v>1027</v>
      </c>
      <c r="F186" s="32"/>
      <c r="G186" s="100"/>
      <c r="H186" s="145">
        <f t="shared" ref="H186:S186" si="106">SUM(H184:H185)</f>
        <v>-194</v>
      </c>
      <c r="I186" s="145">
        <f t="shared" si="106"/>
        <v>-186</v>
      </c>
      <c r="J186" s="145">
        <f t="shared" si="106"/>
        <v>-444</v>
      </c>
      <c r="K186" s="145">
        <f t="shared" si="106"/>
        <v>-178</v>
      </c>
      <c r="L186" s="144">
        <f t="shared" si="106"/>
        <v>-76</v>
      </c>
      <c r="M186" s="144">
        <f t="shared" si="106"/>
        <v>-76</v>
      </c>
      <c r="N186" s="144">
        <f t="shared" si="106"/>
        <v>-76</v>
      </c>
      <c r="O186" s="144">
        <f t="shared" si="106"/>
        <v>-76</v>
      </c>
      <c r="P186" s="144">
        <f t="shared" si="106"/>
        <v>-76</v>
      </c>
      <c r="Q186" s="144">
        <f t="shared" si="106"/>
        <v>-76</v>
      </c>
      <c r="R186" s="144">
        <f t="shared" si="106"/>
        <v>-76</v>
      </c>
      <c r="S186" s="144">
        <f t="shared" si="106"/>
        <v>-76</v>
      </c>
      <c r="U186" s="93">
        <f t="shared" si="99"/>
        <v>1</v>
      </c>
      <c r="V186" s="93">
        <v>1</v>
      </c>
    </row>
    <row r="187" spans="1:99" s="2" customFormat="1" ht="13.5" customHeight="1">
      <c r="A187" s="54"/>
      <c r="B187" s="54"/>
      <c r="C187" s="146"/>
      <c r="D187" s="32"/>
      <c r="E187" s="32"/>
      <c r="F187" s="32"/>
      <c r="G187" s="100"/>
      <c r="H187" s="145"/>
      <c r="I187" s="145"/>
      <c r="J187" s="145"/>
      <c r="K187" s="145"/>
      <c r="L187" s="145"/>
      <c r="M187" s="145"/>
      <c r="N187" s="145"/>
      <c r="O187" s="145"/>
      <c r="P187" s="145"/>
      <c r="Q187" s="145"/>
      <c r="R187" s="145"/>
      <c r="S187" s="145"/>
      <c r="U187" s="93">
        <f t="shared" si="99"/>
        <v>0</v>
      </c>
      <c r="V187" s="93">
        <v>0</v>
      </c>
    </row>
    <row r="188" spans="1:99" ht="13.5" customHeight="1" thickBot="1">
      <c r="B188" s="20"/>
      <c r="C188" s="98" t="s">
        <v>1117</v>
      </c>
      <c r="D188" s="901"/>
      <c r="E188" s="57"/>
      <c r="F188" s="57"/>
      <c r="G188" s="57"/>
      <c r="H188" s="57"/>
      <c r="I188" s="57"/>
      <c r="J188" s="57"/>
      <c r="K188" s="57"/>
      <c r="L188" s="57"/>
      <c r="M188" s="57"/>
      <c r="N188" s="57"/>
      <c r="O188" s="57"/>
      <c r="P188" s="57"/>
      <c r="Q188" s="57"/>
      <c r="R188" s="57"/>
      <c r="S188" s="57"/>
      <c r="T188" s="94"/>
      <c r="U188" s="93">
        <f t="shared" si="99"/>
        <v>1</v>
      </c>
      <c r="V188" s="24">
        <v>1</v>
      </c>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row>
    <row r="189" spans="1:99" ht="13.5" customHeight="1">
      <c r="B189" s="900"/>
      <c r="C189" s="81" t="s">
        <v>1118</v>
      </c>
      <c r="D189" s="3" t="s">
        <v>1057</v>
      </c>
      <c r="E189" s="3" t="s">
        <v>1027</v>
      </c>
      <c r="H189" s="6" t="str">
        <f>G197</f>
        <v>n.a.</v>
      </c>
      <c r="I189" s="6">
        <f t="shared" ref="I189:S189" si="107">H197</f>
        <v>2909.3</v>
      </c>
      <c r="J189" s="6">
        <f t="shared" si="107"/>
        <v>213.7</v>
      </c>
      <c r="K189" s="6">
        <f t="shared" si="107"/>
        <v>129.4</v>
      </c>
      <c r="L189" s="6">
        <f t="shared" si="107"/>
        <v>134.9</v>
      </c>
      <c r="M189" s="6">
        <f t="shared" si="107"/>
        <v>141.9</v>
      </c>
      <c r="N189" s="6">
        <f t="shared" si="107"/>
        <v>148.9</v>
      </c>
      <c r="O189" s="6">
        <f t="shared" si="107"/>
        <v>155.9</v>
      </c>
      <c r="P189" s="6">
        <f t="shared" si="107"/>
        <v>162.9</v>
      </c>
      <c r="Q189" s="6">
        <f t="shared" si="107"/>
        <v>169.9</v>
      </c>
      <c r="R189" s="6">
        <f t="shared" si="107"/>
        <v>176.9</v>
      </c>
      <c r="S189" s="6">
        <f t="shared" si="107"/>
        <v>183.9</v>
      </c>
      <c r="T189" s="94"/>
      <c r="U189" s="93">
        <f t="shared" si="99"/>
        <v>1</v>
      </c>
      <c r="V189" s="24">
        <v>1</v>
      </c>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row>
    <row r="190" spans="1:99" ht="13.5" customHeight="1">
      <c r="B190" s="900"/>
      <c r="C190" s="81" t="s">
        <v>1119</v>
      </c>
      <c r="D190" s="3" t="s">
        <v>1057</v>
      </c>
      <c r="E190" s="3" t="s">
        <v>1027</v>
      </c>
      <c r="G190" s="95"/>
      <c r="H190" s="95">
        <f>'DCF - Financials'!H88</f>
        <v>-360</v>
      </c>
      <c r="I190" s="95">
        <f>'DCF - Financials'!I88</f>
        <v>0</v>
      </c>
      <c r="J190" s="95">
        <f>'DCF - Financials'!J88</f>
        <v>0</v>
      </c>
      <c r="K190" s="95">
        <f>'DCF - Financials'!K88</f>
        <v>0</v>
      </c>
      <c r="L190" s="917">
        <f>'DCF - Capital Structure'!L134</f>
        <v>0</v>
      </c>
      <c r="M190" s="917">
        <f>'DCF - Capital Structure'!M134</f>
        <v>0</v>
      </c>
      <c r="N190" s="917">
        <f>'DCF - Capital Structure'!N134</f>
        <v>0</v>
      </c>
      <c r="O190" s="917">
        <f>'DCF - Capital Structure'!O134</f>
        <v>0</v>
      </c>
      <c r="P190" s="917">
        <f>'DCF - Capital Structure'!P134</f>
        <v>0</v>
      </c>
      <c r="Q190" s="917">
        <f>'DCF - Capital Structure'!Q134</f>
        <v>0</v>
      </c>
      <c r="R190" s="917">
        <f>'DCF - Capital Structure'!R134</f>
        <v>0</v>
      </c>
      <c r="S190" s="917">
        <f>'DCF - Capital Structure'!S134</f>
        <v>0</v>
      </c>
      <c r="T190" s="94"/>
      <c r="U190" s="93">
        <f t="shared" si="99"/>
        <v>1</v>
      </c>
      <c r="V190" s="24">
        <v>1</v>
      </c>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row>
    <row r="191" spans="1:99" ht="13.5" customHeight="1">
      <c r="B191" s="900"/>
      <c r="C191" s="81" t="s">
        <v>1120</v>
      </c>
      <c r="D191" s="3" t="s">
        <v>1057</v>
      </c>
      <c r="E191" s="3" t="s">
        <v>1027</v>
      </c>
      <c r="G191" s="914"/>
      <c r="H191" s="914">
        <v>-39</v>
      </c>
      <c r="I191" s="914">
        <v>-3.2</v>
      </c>
      <c r="J191" s="914">
        <v>-61.2</v>
      </c>
      <c r="K191" s="914">
        <v>-37.799999999999997</v>
      </c>
      <c r="L191" s="916" t="str">
        <f>IFERROR(-L190/L192,"")</f>
        <v/>
      </c>
      <c r="M191" s="916" t="str">
        <f t="shared" ref="M191:S191" si="108">IFERROR(-M190/M192,"")</f>
        <v/>
      </c>
      <c r="N191" s="916" t="str">
        <f t="shared" si="108"/>
        <v/>
      </c>
      <c r="O191" s="916" t="str">
        <f t="shared" si="108"/>
        <v/>
      </c>
      <c r="P191" s="916" t="str">
        <f t="shared" si="108"/>
        <v/>
      </c>
      <c r="Q191" s="916" t="str">
        <f t="shared" si="108"/>
        <v/>
      </c>
      <c r="R191" s="916" t="str">
        <f t="shared" si="108"/>
        <v/>
      </c>
      <c r="S191" s="916" t="str">
        <f t="shared" si="108"/>
        <v/>
      </c>
      <c r="T191" s="94"/>
      <c r="U191" s="93">
        <f t="shared" si="99"/>
        <v>1</v>
      </c>
      <c r="V191" s="24">
        <v>1</v>
      </c>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row>
    <row r="192" spans="1:99" ht="13.5" customHeight="1">
      <c r="B192" s="900"/>
      <c r="C192" s="81" t="s">
        <v>1121</v>
      </c>
      <c r="D192" s="3" t="s">
        <v>1057</v>
      </c>
      <c r="E192" s="3" t="s">
        <v>1027</v>
      </c>
      <c r="G192" s="915"/>
      <c r="H192" s="915">
        <f t="shared" ref="H192:J192" si="109">-H190/H191</f>
        <v>-9.2307692307692299</v>
      </c>
      <c r="I192" s="915">
        <f t="shared" si="109"/>
        <v>0</v>
      </c>
      <c r="J192" s="915">
        <f t="shared" si="109"/>
        <v>0</v>
      </c>
      <c r="K192" s="915">
        <f>-K190/K191</f>
        <v>0</v>
      </c>
      <c r="L192" s="982"/>
      <c r="M192" s="982"/>
      <c r="N192" s="982"/>
      <c r="O192" s="982"/>
      <c r="P192" s="982"/>
      <c r="Q192" s="982"/>
      <c r="R192" s="982"/>
      <c r="S192" s="982"/>
      <c r="T192" s="94"/>
      <c r="U192" s="93">
        <f t="shared" si="99"/>
        <v>1</v>
      </c>
      <c r="V192" s="24">
        <v>1</v>
      </c>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row>
    <row r="193" spans="2:259" ht="13.5" customHeight="1">
      <c r="B193" s="900"/>
      <c r="C193" s="81" t="s">
        <v>1122</v>
      </c>
      <c r="D193" s="3" t="s">
        <v>1057</v>
      </c>
      <c r="E193" s="3" t="s">
        <v>1027</v>
      </c>
      <c r="G193" s="95"/>
      <c r="H193" s="95">
        <f>'DCF - Financials'!H89</f>
        <v>0</v>
      </c>
      <c r="I193" s="95">
        <f>'DCF - Financials'!I89</f>
        <v>2358.3710000000001</v>
      </c>
      <c r="J193" s="95">
        <f>'DCF - Financials'!J89</f>
        <v>0</v>
      </c>
      <c r="K193" s="95">
        <f>'DCF - Financials'!K89</f>
        <v>0</v>
      </c>
      <c r="L193" s="917">
        <v>0</v>
      </c>
      <c r="M193" s="917">
        <v>0</v>
      </c>
      <c r="N193" s="917">
        <v>0</v>
      </c>
      <c r="O193" s="917">
        <v>0</v>
      </c>
      <c r="P193" s="917">
        <v>0</v>
      </c>
      <c r="Q193" s="917">
        <v>0</v>
      </c>
      <c r="R193" s="917">
        <v>0</v>
      </c>
      <c r="S193" s="917">
        <v>0</v>
      </c>
      <c r="T193" s="94"/>
      <c r="U193" s="93">
        <f t="shared" si="99"/>
        <v>1</v>
      </c>
      <c r="V193" s="24">
        <v>1</v>
      </c>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row>
    <row r="194" spans="2:259" ht="13.5" customHeight="1">
      <c r="B194" s="900"/>
      <c r="C194" s="81" t="s">
        <v>1123</v>
      </c>
      <c r="D194" s="3" t="s">
        <v>1057</v>
      </c>
      <c r="E194" s="3" t="s">
        <v>1027</v>
      </c>
      <c r="G194" s="915"/>
      <c r="H194" s="915">
        <v>0</v>
      </c>
      <c r="I194" s="915">
        <v>0</v>
      </c>
      <c r="J194" s="915">
        <v>0</v>
      </c>
      <c r="K194" s="915">
        <v>0</v>
      </c>
      <c r="L194" s="916">
        <v>0</v>
      </c>
      <c r="M194" s="916">
        <v>0</v>
      </c>
      <c r="N194" s="916">
        <v>0</v>
      </c>
      <c r="O194" s="916">
        <v>0</v>
      </c>
      <c r="P194" s="916">
        <v>0</v>
      </c>
      <c r="Q194" s="916">
        <v>0</v>
      </c>
      <c r="R194" s="916">
        <v>0</v>
      </c>
      <c r="S194" s="916">
        <v>0</v>
      </c>
      <c r="T194" s="94"/>
      <c r="U194" s="93">
        <f t="shared" si="99"/>
        <v>1</v>
      </c>
      <c r="V194" s="24">
        <v>1</v>
      </c>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row>
    <row r="195" spans="2:259" ht="13.5" customHeight="1">
      <c r="B195" s="900"/>
      <c r="C195" s="81" t="s">
        <v>1124</v>
      </c>
      <c r="D195" s="3" t="s">
        <v>1057</v>
      </c>
      <c r="E195" s="3" t="s">
        <v>1027</v>
      </c>
      <c r="G195" s="883"/>
      <c r="H195" s="883">
        <v>8</v>
      </c>
      <c r="I195" s="883">
        <v>8</v>
      </c>
      <c r="J195" s="883">
        <v>7</v>
      </c>
      <c r="K195" s="883">
        <v>7</v>
      </c>
      <c r="L195" s="917">
        <f>K195</f>
        <v>7</v>
      </c>
      <c r="M195" s="917">
        <f t="shared" ref="M195:S195" si="110">L195</f>
        <v>7</v>
      </c>
      <c r="N195" s="917">
        <f t="shared" si="110"/>
        <v>7</v>
      </c>
      <c r="O195" s="917">
        <f t="shared" si="110"/>
        <v>7</v>
      </c>
      <c r="P195" s="917">
        <f t="shared" si="110"/>
        <v>7</v>
      </c>
      <c r="Q195" s="917">
        <f t="shared" si="110"/>
        <v>7</v>
      </c>
      <c r="R195" s="917">
        <f t="shared" si="110"/>
        <v>7</v>
      </c>
      <c r="S195" s="917">
        <f t="shared" si="110"/>
        <v>7</v>
      </c>
      <c r="T195" s="94"/>
      <c r="U195" s="93">
        <f t="shared" si="99"/>
        <v>1</v>
      </c>
      <c r="V195" s="24">
        <v>1</v>
      </c>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row>
    <row r="196" spans="2:259" ht="13.5" customHeight="1">
      <c r="B196" s="900"/>
      <c r="C196" s="81" t="s">
        <v>1125</v>
      </c>
      <c r="D196" s="3" t="s">
        <v>1057</v>
      </c>
      <c r="E196" s="3" t="s">
        <v>1027</v>
      </c>
      <c r="G196" s="1122"/>
      <c r="H196" s="1103" t="e">
        <f>H197-H195-H191-H189</f>
        <v>#VALUE!</v>
      </c>
      <c r="I196" s="1103">
        <f t="shared" ref="I196:K196" si="111">I197-I195-I191-I189</f>
        <v>-2700.4</v>
      </c>
      <c r="J196" s="1103">
        <f t="shared" si="111"/>
        <v>-30.099999999999966</v>
      </c>
      <c r="K196" s="1103">
        <f t="shared" si="111"/>
        <v>36.299999999999983</v>
      </c>
      <c r="L196" s="1123">
        <v>0</v>
      </c>
      <c r="M196" s="1123">
        <v>0</v>
      </c>
      <c r="N196" s="1123">
        <v>0</v>
      </c>
      <c r="O196" s="1123">
        <v>0</v>
      </c>
      <c r="P196" s="1123">
        <v>0</v>
      </c>
      <c r="Q196" s="1123">
        <v>0</v>
      </c>
      <c r="R196" s="1123">
        <v>0</v>
      </c>
      <c r="S196" s="1123">
        <v>0</v>
      </c>
      <c r="T196" s="94"/>
      <c r="U196" s="93">
        <f t="shared" si="99"/>
        <v>1</v>
      </c>
      <c r="V196" s="24">
        <v>1</v>
      </c>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row>
    <row r="197" spans="2:259" ht="13.5" customHeight="1">
      <c r="B197" s="20"/>
      <c r="C197" s="633" t="str">
        <f>'DCF - Financials'!C39</f>
        <v>Diluted shares outstanding (mm)</v>
      </c>
      <c r="D197" s="15" t="s">
        <v>1057</v>
      </c>
      <c r="E197" s="15" t="s">
        <v>1027</v>
      </c>
      <c r="F197" s="15"/>
      <c r="G197" s="557" t="str">
        <f>'DCF - Financials'!G39</f>
        <v>n.a.</v>
      </c>
      <c r="H197" s="557">
        <f>'DCF - Financials'!H39</f>
        <v>2909.3</v>
      </c>
      <c r="I197" s="557">
        <f>'DCF - Financials'!I39</f>
        <v>213.7</v>
      </c>
      <c r="J197" s="557">
        <f>'DCF - Financials'!J39</f>
        <v>129.4</v>
      </c>
      <c r="K197" s="557">
        <f>'DCF - Financials'!K39</f>
        <v>134.9</v>
      </c>
      <c r="L197" s="902">
        <f>SUM(L195,L189,L194,L191)</f>
        <v>141.9</v>
      </c>
      <c r="M197" s="902">
        <f t="shared" ref="M197:S197" si="112">SUM(M195,M189,M194,M191)</f>
        <v>148.9</v>
      </c>
      <c r="N197" s="902">
        <f t="shared" si="112"/>
        <v>155.9</v>
      </c>
      <c r="O197" s="902">
        <f t="shared" si="112"/>
        <v>162.9</v>
      </c>
      <c r="P197" s="902">
        <f t="shared" si="112"/>
        <v>169.9</v>
      </c>
      <c r="Q197" s="902">
        <f t="shared" si="112"/>
        <v>176.9</v>
      </c>
      <c r="R197" s="902">
        <f t="shared" si="112"/>
        <v>183.9</v>
      </c>
      <c r="S197" s="902">
        <f t="shared" si="112"/>
        <v>190.9</v>
      </c>
      <c r="T197" s="94"/>
      <c r="U197" s="93">
        <f t="shared" si="99"/>
        <v>1</v>
      </c>
      <c r="V197" s="24">
        <v>1</v>
      </c>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row>
    <row r="198" spans="2:259" s="2" customFormat="1" ht="11.25" customHeight="1">
      <c r="B198" s="54"/>
      <c r="C198" s="80"/>
      <c r="D198" s="3"/>
      <c r="E198" s="3"/>
      <c r="F198" s="3"/>
      <c r="G198" s="91"/>
      <c r="H198" s="92"/>
      <c r="I198" s="92"/>
      <c r="J198" s="92"/>
      <c r="K198" s="91"/>
      <c r="L198" s="90"/>
      <c r="M198" s="90"/>
      <c r="N198" s="90"/>
      <c r="O198" s="90"/>
      <c r="P198" s="90"/>
      <c r="Q198" s="90"/>
      <c r="R198" s="90"/>
      <c r="S198" s="90"/>
      <c r="T198"/>
      <c r="U198" s="93">
        <f t="shared" si="99"/>
        <v>0</v>
      </c>
      <c r="V198">
        <v>0</v>
      </c>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row>
    <row r="199" spans="2:259" s="1" customFormat="1" ht="12.75" hidden="1" customHeight="1">
      <c r="B199" s="89"/>
      <c r="C199" s="80"/>
      <c r="D199" s="3"/>
      <c r="E199" s="3"/>
      <c r="F199" s="3"/>
      <c r="G199" s="2"/>
      <c r="H199" s="2"/>
      <c r="I199" s="2"/>
      <c r="J199" s="2"/>
      <c r="K199" s="2"/>
      <c r="L199" s="2"/>
      <c r="M199" s="2"/>
      <c r="N199" s="2"/>
      <c r="O199" s="2"/>
      <c r="P199" s="2"/>
      <c r="Q199" s="2"/>
      <c r="R199" s="2"/>
      <c r="S199" s="2"/>
      <c r="T199"/>
      <c r="U199" s="93">
        <f t="shared" ref="U199:U231" si="113">IF(NOT(ISBLANK(C199)), 1, 0)</f>
        <v>0</v>
      </c>
      <c r="V199">
        <v>0</v>
      </c>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c r="AX199" s="88"/>
      <c r="AY199" s="88"/>
      <c r="AZ199" s="88"/>
      <c r="BA199" s="88"/>
      <c r="BB199" s="88"/>
      <c r="BC199" s="88"/>
      <c r="BD199" s="88"/>
      <c r="BE199" s="88"/>
      <c r="BF199" s="88"/>
      <c r="BG199" s="88"/>
      <c r="BH199" s="88"/>
      <c r="BI199" s="88"/>
      <c r="BJ199" s="88"/>
      <c r="BK199" s="88"/>
      <c r="BL199" s="88"/>
      <c r="BM199" s="88"/>
      <c r="BN199" s="88"/>
      <c r="BO199" s="88"/>
      <c r="BP199" s="88"/>
      <c r="BQ199" s="88"/>
      <c r="BR199" s="88"/>
      <c r="BS199" s="88"/>
      <c r="BT199" s="88"/>
      <c r="BU199" s="88"/>
      <c r="BV199" s="88"/>
      <c r="BW199" s="88"/>
      <c r="BX199" s="88"/>
      <c r="BY199" s="88"/>
      <c r="BZ199" s="88"/>
      <c r="CA199" s="88"/>
      <c r="CB199" s="88"/>
      <c r="CC199" s="88"/>
      <c r="CD199" s="88"/>
      <c r="CE199" s="88"/>
      <c r="CF199" s="88"/>
      <c r="CG199" s="88"/>
      <c r="CH199" s="88"/>
      <c r="CI199" s="88"/>
      <c r="CJ199" s="88"/>
      <c r="CK199" s="88"/>
      <c r="CL199" s="88"/>
      <c r="CM199" s="88"/>
      <c r="CN199" s="88"/>
      <c r="CO199" s="88"/>
      <c r="CP199" s="88"/>
      <c r="CQ199" s="88"/>
      <c r="CR199" s="88"/>
      <c r="CS199" s="88"/>
      <c r="CT199" s="88"/>
      <c r="CU199" s="88"/>
    </row>
    <row r="200" spans="2:259" ht="14.4" hidden="1">
      <c r="C200" s="80"/>
      <c r="G200" s="2"/>
      <c r="H200" s="2"/>
      <c r="I200" s="2"/>
      <c r="J200" s="2"/>
      <c r="K200" s="2"/>
      <c r="L200" s="2"/>
      <c r="M200" s="2"/>
      <c r="N200" s="2"/>
      <c r="O200" s="2"/>
      <c r="P200" s="2"/>
      <c r="Q200" s="2"/>
      <c r="R200" s="2"/>
      <c r="S200" s="2"/>
      <c r="T200"/>
      <c r="U200" s="93">
        <f t="shared" si="113"/>
        <v>0</v>
      </c>
      <c r="V200">
        <v>0</v>
      </c>
    </row>
    <row r="201" spans="2:259" ht="14.4" hidden="1">
      <c r="C201" s="80"/>
      <c r="G201" s="2"/>
      <c r="H201" s="2"/>
      <c r="I201" s="2"/>
      <c r="J201" s="2"/>
      <c r="K201" s="2"/>
      <c r="L201" s="2"/>
      <c r="M201" s="2"/>
      <c r="N201" s="2"/>
      <c r="O201" s="2"/>
      <c r="P201" s="2"/>
      <c r="Q201" s="2"/>
      <c r="R201" s="2"/>
      <c r="S201" s="2"/>
      <c r="T201"/>
      <c r="U201" s="93">
        <f t="shared" si="113"/>
        <v>0</v>
      </c>
      <c r="V201">
        <v>0</v>
      </c>
    </row>
    <row r="202" spans="2:259" ht="14.4" hidden="1">
      <c r="C202" s="80"/>
      <c r="G202" s="2"/>
      <c r="H202" s="2"/>
      <c r="I202" s="2"/>
      <c r="J202" s="2"/>
      <c r="K202" s="2"/>
      <c r="L202" s="2"/>
      <c r="M202" s="2"/>
      <c r="N202" s="2"/>
      <c r="O202" s="2"/>
      <c r="P202" s="2"/>
      <c r="Q202" s="2"/>
      <c r="R202" s="2"/>
      <c r="S202" s="2"/>
      <c r="T202"/>
      <c r="U202" s="93">
        <f t="shared" si="113"/>
        <v>0</v>
      </c>
      <c r="V202" s="2">
        <v>0</v>
      </c>
      <c r="CJ202" s="3"/>
      <c r="CK202" s="3"/>
      <c r="CL202" s="3"/>
      <c r="CM202" s="3"/>
      <c r="CN202" s="3"/>
      <c r="CO202" s="3"/>
      <c r="CP202" s="3"/>
      <c r="CQ202" s="3"/>
      <c r="CR202" s="3"/>
      <c r="CS202" s="3"/>
      <c r="CT202" s="3"/>
      <c r="CU202" s="3"/>
    </row>
    <row r="203" spans="2:259" ht="14.4" hidden="1">
      <c r="C203" s="80"/>
      <c r="G203" s="2"/>
      <c r="H203" s="2"/>
      <c r="I203" s="2"/>
      <c r="J203" s="2"/>
      <c r="K203" s="2"/>
      <c r="L203" s="2"/>
      <c r="M203" s="2"/>
      <c r="N203" s="2"/>
      <c r="O203" s="2"/>
      <c r="P203" s="2"/>
      <c r="Q203" s="2"/>
      <c r="R203" s="2"/>
      <c r="S203" s="2"/>
      <c r="T203"/>
      <c r="U203" s="93">
        <f t="shared" si="113"/>
        <v>0</v>
      </c>
      <c r="V203" s="2">
        <v>0</v>
      </c>
      <c r="CJ203" s="3"/>
      <c r="CK203" s="3"/>
      <c r="CL203" s="3"/>
      <c r="CM203" s="3"/>
      <c r="CN203" s="3"/>
      <c r="CO203" s="3"/>
      <c r="CP203" s="3"/>
      <c r="CQ203" s="3"/>
      <c r="CR203" s="3"/>
      <c r="CS203" s="3"/>
      <c r="CT203" s="3"/>
      <c r="CU203" s="3"/>
    </row>
    <row r="204" spans="2:259" ht="14.4" hidden="1">
      <c r="C204" s="80"/>
      <c r="G204" s="2"/>
      <c r="H204" s="2"/>
      <c r="I204" s="2"/>
      <c r="J204" s="2"/>
      <c r="K204" s="2"/>
      <c r="L204" s="2"/>
      <c r="M204" s="2"/>
      <c r="N204" s="2"/>
      <c r="O204" s="2"/>
      <c r="P204" s="2"/>
      <c r="Q204" s="2"/>
      <c r="R204" s="2"/>
      <c r="S204" s="2"/>
      <c r="T204"/>
      <c r="U204" s="93">
        <f t="shared" si="113"/>
        <v>0</v>
      </c>
      <c r="V204" s="2">
        <v>0</v>
      </c>
      <c r="CJ204" s="3"/>
      <c r="CK204" s="3"/>
      <c r="CL204" s="3"/>
      <c r="CM204" s="3"/>
      <c r="CN204" s="3"/>
      <c r="CO204" s="3"/>
      <c r="CP204" s="3"/>
      <c r="CQ204" s="3"/>
      <c r="CR204" s="3"/>
      <c r="CS204" s="3"/>
      <c r="CT204" s="3"/>
      <c r="CU204" s="3"/>
    </row>
    <row r="205" spans="2:259" ht="14.4" hidden="1">
      <c r="C205" s="80"/>
      <c r="G205" s="2"/>
      <c r="H205" s="2"/>
      <c r="I205" s="2"/>
      <c r="J205" s="2"/>
      <c r="K205" s="2"/>
      <c r="L205" s="2"/>
      <c r="M205" s="2"/>
      <c r="N205" s="2"/>
      <c r="O205" s="2"/>
      <c r="P205" s="2"/>
      <c r="Q205" s="2"/>
      <c r="R205" s="2"/>
      <c r="S205" s="2"/>
      <c r="T205"/>
      <c r="U205" s="93">
        <f t="shared" si="113"/>
        <v>0</v>
      </c>
      <c r="V205" s="2">
        <v>0</v>
      </c>
      <c r="CJ205" s="3"/>
      <c r="CK205" s="3"/>
      <c r="CL205" s="3"/>
      <c r="CM205" s="3"/>
      <c r="CN205" s="3"/>
      <c r="CO205" s="3"/>
      <c r="CP205" s="3"/>
      <c r="CQ205" s="3"/>
      <c r="CR205" s="3"/>
      <c r="CS205" s="3"/>
      <c r="CT205" s="3"/>
      <c r="CU205" s="3"/>
    </row>
    <row r="206" spans="2:259" ht="14.4" hidden="1">
      <c r="C206" s="80"/>
      <c r="G206" s="2"/>
      <c r="H206" s="2"/>
      <c r="I206" s="2"/>
      <c r="J206" s="2"/>
      <c r="K206" s="2"/>
      <c r="L206" s="2"/>
      <c r="M206" s="2"/>
      <c r="N206" s="2"/>
      <c r="O206" s="2"/>
      <c r="P206" s="2"/>
      <c r="Q206" s="2"/>
      <c r="R206" s="2"/>
      <c r="S206" s="2"/>
      <c r="T206"/>
      <c r="U206" s="93">
        <f t="shared" si="113"/>
        <v>0</v>
      </c>
      <c r="V206" s="2">
        <v>0</v>
      </c>
      <c r="CJ206" s="3"/>
      <c r="CK206" s="3"/>
      <c r="CL206" s="3"/>
      <c r="CM206" s="3"/>
      <c r="CN206" s="3"/>
      <c r="CO206" s="3"/>
      <c r="CP206" s="3"/>
      <c r="CQ206" s="3"/>
      <c r="CR206" s="3"/>
      <c r="CS206" s="3"/>
      <c r="CT206" s="3"/>
      <c r="CU206" s="3"/>
    </row>
    <row r="207" spans="2:259" ht="14.4" hidden="1">
      <c r="C207" s="80"/>
      <c r="G207" s="2"/>
      <c r="H207" s="2"/>
      <c r="I207" s="2"/>
      <c r="J207" s="2"/>
      <c r="K207" s="2"/>
      <c r="L207" s="2"/>
      <c r="M207" s="2"/>
      <c r="N207" s="2"/>
      <c r="O207" s="2"/>
      <c r="P207" s="2"/>
      <c r="Q207" s="2"/>
      <c r="R207" s="2"/>
      <c r="S207" s="2"/>
      <c r="T207"/>
      <c r="U207" s="93">
        <f t="shared" si="113"/>
        <v>0</v>
      </c>
      <c r="V207" s="2">
        <v>0</v>
      </c>
      <c r="CJ207" s="3"/>
      <c r="CK207" s="3"/>
      <c r="CL207" s="3"/>
      <c r="CM207" s="3"/>
      <c r="CN207" s="3"/>
      <c r="CO207" s="3"/>
      <c r="CP207" s="3"/>
      <c r="CQ207" s="3"/>
      <c r="CR207" s="3"/>
      <c r="CS207" s="3"/>
      <c r="CT207" s="3"/>
      <c r="CU207" s="3"/>
    </row>
    <row r="208" spans="2:259" ht="14.4" hidden="1">
      <c r="C208" s="80"/>
      <c r="G208" s="2"/>
      <c r="H208" s="2"/>
      <c r="I208" s="2"/>
      <c r="J208" s="2"/>
      <c r="K208" s="2"/>
      <c r="L208" s="2"/>
      <c r="M208" s="2"/>
      <c r="N208" s="2"/>
      <c r="O208" s="2"/>
      <c r="P208" s="2"/>
      <c r="Q208" s="2"/>
      <c r="R208" s="2"/>
      <c r="S208" s="2"/>
      <c r="T208"/>
      <c r="U208" s="93">
        <f t="shared" si="113"/>
        <v>0</v>
      </c>
      <c r="V208" s="2">
        <v>0</v>
      </c>
      <c r="CJ208" s="3"/>
      <c r="CK208" s="3"/>
      <c r="CL208" s="3"/>
      <c r="CM208" s="3"/>
      <c r="CN208" s="3"/>
      <c r="CO208" s="3"/>
      <c r="CP208" s="3"/>
      <c r="CQ208" s="3"/>
      <c r="CR208" s="3"/>
      <c r="CS208" s="3"/>
      <c r="CT208" s="3"/>
      <c r="CU208" s="3"/>
    </row>
    <row r="209" spans="20:99" ht="14.4" hidden="1">
      <c r="T209"/>
      <c r="U209" s="93">
        <f t="shared" si="113"/>
        <v>0</v>
      </c>
      <c r="V209" s="2">
        <v>0</v>
      </c>
    </row>
    <row r="210" spans="20:99" ht="14.4" hidden="1">
      <c r="T210"/>
      <c r="U210" s="93">
        <f t="shared" si="113"/>
        <v>0</v>
      </c>
      <c r="V210" s="2">
        <v>0</v>
      </c>
    </row>
    <row r="211" spans="20:99" ht="14.4" hidden="1">
      <c r="T211"/>
      <c r="U211" s="93">
        <f t="shared" si="113"/>
        <v>0</v>
      </c>
      <c r="V211" s="2">
        <v>0</v>
      </c>
    </row>
    <row r="212" spans="20:99" ht="14.4" hidden="1">
      <c r="T212"/>
      <c r="U212" s="93">
        <f t="shared" si="113"/>
        <v>0</v>
      </c>
      <c r="V212" s="2">
        <v>0</v>
      </c>
    </row>
    <row r="213" spans="20:99" ht="14.4" hidden="1">
      <c r="T213"/>
      <c r="U213" s="93">
        <f t="shared" si="113"/>
        <v>0</v>
      </c>
      <c r="V213" s="2">
        <v>0</v>
      </c>
    </row>
    <row r="214" spans="20:99" ht="14.4" hidden="1">
      <c r="T214"/>
      <c r="U214" s="93">
        <f t="shared" si="113"/>
        <v>0</v>
      </c>
      <c r="V214" s="2">
        <v>0</v>
      </c>
    </row>
    <row r="215" spans="20:99" ht="14.4" hidden="1">
      <c r="T215"/>
      <c r="U215" s="93">
        <f t="shared" si="113"/>
        <v>0</v>
      </c>
      <c r="V215" s="3">
        <v>0</v>
      </c>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row>
    <row r="216" spans="20:99" ht="14.4" hidden="1">
      <c r="T216"/>
      <c r="U216" s="93">
        <f t="shared" si="113"/>
        <v>0</v>
      </c>
      <c r="V216" s="3">
        <v>0</v>
      </c>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row>
    <row r="217" spans="20:99" ht="14.4" hidden="1">
      <c r="T217"/>
      <c r="U217" s="93">
        <f t="shared" si="113"/>
        <v>0</v>
      </c>
      <c r="V217" s="3">
        <v>0</v>
      </c>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row>
    <row r="218" spans="20:99" ht="14.4" hidden="1">
      <c r="T218"/>
      <c r="U218" s="93">
        <f t="shared" si="113"/>
        <v>0</v>
      </c>
      <c r="V218" s="3">
        <v>0</v>
      </c>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row>
    <row r="219" spans="20:99" ht="14.4" hidden="1">
      <c r="T219"/>
      <c r="U219" s="93">
        <f t="shared" si="113"/>
        <v>0</v>
      </c>
      <c r="V219" s="3">
        <v>0</v>
      </c>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row>
    <row r="220" spans="20:99" ht="14.4" hidden="1">
      <c r="T220"/>
      <c r="U220" s="93">
        <f t="shared" si="113"/>
        <v>0</v>
      </c>
      <c r="V220" s="3">
        <v>0</v>
      </c>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row>
    <row r="221" spans="20:99" ht="14.4" hidden="1">
      <c r="T221"/>
      <c r="U221" s="93">
        <f t="shared" si="113"/>
        <v>0</v>
      </c>
      <c r="V221" s="3">
        <v>0</v>
      </c>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row>
    <row r="222" spans="20:99" ht="14.4" hidden="1">
      <c r="T222"/>
      <c r="U222" s="93">
        <f t="shared" si="113"/>
        <v>0</v>
      </c>
      <c r="V222" s="3">
        <v>0</v>
      </c>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row>
    <row r="223" spans="20:99" ht="14.4" hidden="1">
      <c r="T223"/>
      <c r="U223" s="93">
        <f t="shared" si="113"/>
        <v>0</v>
      </c>
      <c r="V223" s="3">
        <v>0</v>
      </c>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row>
    <row r="224" spans="20:99" ht="14.4" hidden="1">
      <c r="T224"/>
      <c r="U224" s="93">
        <f t="shared" si="113"/>
        <v>0</v>
      </c>
      <c r="V224" s="3">
        <v>0</v>
      </c>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row>
    <row r="225" spans="12:99" ht="14.4" hidden="1">
      <c r="L225" s="3" t="e">
        <f>'DCF - Assumptions (old)'!#REF!*'DCF - Financials'!L9</f>
        <v>#REF!</v>
      </c>
      <c r="T225"/>
      <c r="U225" s="93">
        <f t="shared" si="113"/>
        <v>0</v>
      </c>
      <c r="V225" s="3">
        <v>0</v>
      </c>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row>
    <row r="226" spans="12:99" ht="14.4" hidden="1">
      <c r="T226"/>
      <c r="U226" s="93">
        <f t="shared" si="113"/>
        <v>0</v>
      </c>
      <c r="V226" s="3">
        <v>0</v>
      </c>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row>
    <row r="227" spans="12:99" ht="14.4" hidden="1">
      <c r="L227" s="3">
        <v>1744</v>
      </c>
      <c r="T227"/>
      <c r="U227" s="93">
        <f t="shared" si="113"/>
        <v>0</v>
      </c>
      <c r="V227" s="3">
        <v>0</v>
      </c>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row>
    <row r="228" spans="12:99" ht="14.4" hidden="1">
      <c r="L228" s="3">
        <f>$K$228</f>
        <v>0</v>
      </c>
      <c r="M228" s="3">
        <f>$K$228</f>
        <v>0</v>
      </c>
      <c r="T228"/>
      <c r="U228" s="93">
        <f t="shared" si="113"/>
        <v>0</v>
      </c>
      <c r="V228" s="3">
        <v>0</v>
      </c>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row>
    <row r="229" spans="12:99" ht="14.4" hidden="1">
      <c r="M229" s="86" t="e">
        <f>L229+#REF!</f>
        <v>#REF!</v>
      </c>
      <c r="T229"/>
      <c r="U229" s="93">
        <f t="shared" si="113"/>
        <v>0</v>
      </c>
      <c r="V229" s="3">
        <v>0</v>
      </c>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row>
    <row r="230" spans="12:99" ht="14.4" hidden="1">
      <c r="L230" s="6" t="e">
        <f>K230+#REF!</f>
        <v>#REF!</v>
      </c>
      <c r="M230" s="6" t="e">
        <f>L230</f>
        <v>#REF!</v>
      </c>
      <c r="T230"/>
      <c r="U230" s="93">
        <f t="shared" si="113"/>
        <v>0</v>
      </c>
      <c r="V230" s="3">
        <v>0</v>
      </c>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row>
    <row r="231" spans="12:99" ht="14.4" hidden="1">
      <c r="T231"/>
      <c r="U231" s="93">
        <f t="shared" si="113"/>
        <v>0</v>
      </c>
      <c r="V231" s="3">
        <v>0</v>
      </c>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row>
    <row r="232" spans="12:99" ht="14.4" hidden="1">
      <c r="T232"/>
      <c r="U232" s="93">
        <f t="shared" ref="U232:U295" si="114">IF(NOT(ISBLANK(C232)), 1, 0)</f>
        <v>0</v>
      </c>
      <c r="V232" s="3">
        <v>0</v>
      </c>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row>
    <row r="233" spans="12:99" ht="14.4" hidden="1">
      <c r="T233"/>
      <c r="U233" s="93">
        <f t="shared" si="114"/>
        <v>0</v>
      </c>
      <c r="V233" s="3">
        <v>0</v>
      </c>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row>
    <row r="234" spans="12:99" ht="14.4" hidden="1">
      <c r="T234"/>
      <c r="U234" s="93">
        <f t="shared" si="114"/>
        <v>0</v>
      </c>
      <c r="V234" s="3">
        <v>0</v>
      </c>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row>
    <row r="235" spans="12:99" ht="14.4" hidden="1">
      <c r="T235"/>
      <c r="U235" s="93">
        <f t="shared" si="114"/>
        <v>0</v>
      </c>
      <c r="V235" s="3">
        <v>0</v>
      </c>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row>
    <row r="236" spans="12:99" ht="14.4" hidden="1">
      <c r="T236"/>
      <c r="U236" s="93">
        <f t="shared" si="114"/>
        <v>0</v>
      </c>
      <c r="V236" s="3">
        <v>0</v>
      </c>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row>
    <row r="237" spans="12:99" ht="14.4" hidden="1">
      <c r="T237"/>
      <c r="U237" s="93">
        <f t="shared" si="114"/>
        <v>0</v>
      </c>
      <c r="V237" s="3">
        <v>0</v>
      </c>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row>
    <row r="238" spans="12:99" ht="14.4" hidden="1">
      <c r="T238"/>
      <c r="U238" s="93">
        <f t="shared" si="114"/>
        <v>0</v>
      </c>
      <c r="V238" s="3">
        <v>0</v>
      </c>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row>
    <row r="239" spans="12:99" ht="14.4" hidden="1">
      <c r="T239"/>
      <c r="U239" s="93">
        <f t="shared" si="114"/>
        <v>0</v>
      </c>
      <c r="V239" s="3">
        <v>0</v>
      </c>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row>
    <row r="240" spans="12:99" ht="14.4" hidden="1">
      <c r="T240"/>
      <c r="U240" s="93">
        <f t="shared" si="114"/>
        <v>0</v>
      </c>
      <c r="V240" s="3">
        <v>0</v>
      </c>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row>
    <row r="241" spans="20:99" ht="14.4" hidden="1">
      <c r="T241"/>
      <c r="U241" s="93">
        <f t="shared" si="114"/>
        <v>0</v>
      </c>
      <c r="V241" s="3">
        <v>0</v>
      </c>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row>
    <row r="242" spans="20:99" ht="14.4" hidden="1">
      <c r="T242"/>
      <c r="U242" s="93">
        <f t="shared" si="114"/>
        <v>0</v>
      </c>
      <c r="V242" s="3">
        <v>0</v>
      </c>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row>
    <row r="243" spans="20:99" ht="14.4" hidden="1">
      <c r="T243"/>
      <c r="U243" s="93">
        <f t="shared" si="114"/>
        <v>0</v>
      </c>
      <c r="V243" s="3">
        <v>0</v>
      </c>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row>
    <row r="244" spans="20:99" ht="14.4" hidden="1">
      <c r="T244"/>
      <c r="U244" s="93">
        <f t="shared" si="114"/>
        <v>0</v>
      </c>
      <c r="V244" s="3">
        <v>0</v>
      </c>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row>
    <row r="245" spans="20:99" ht="14.4" hidden="1">
      <c r="T245"/>
      <c r="U245" s="93">
        <f t="shared" si="114"/>
        <v>0</v>
      </c>
      <c r="V245" s="3">
        <v>0</v>
      </c>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row>
    <row r="246" spans="20:99" ht="14.4" hidden="1">
      <c r="T246"/>
      <c r="U246" s="93">
        <f t="shared" si="114"/>
        <v>0</v>
      </c>
      <c r="V246" s="3">
        <v>0</v>
      </c>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row>
    <row r="247" spans="20:99" ht="14.4" hidden="1">
      <c r="T247"/>
      <c r="U247" s="93">
        <f t="shared" si="114"/>
        <v>0</v>
      </c>
      <c r="V247" s="3">
        <v>0</v>
      </c>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row>
    <row r="248" spans="20:99" ht="14.4" hidden="1">
      <c r="T248"/>
      <c r="U248" s="93">
        <f t="shared" si="114"/>
        <v>0</v>
      </c>
      <c r="V248" s="3">
        <v>0</v>
      </c>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row>
    <row r="249" spans="20:99" ht="14.4" hidden="1">
      <c r="T249"/>
      <c r="U249" s="93">
        <f t="shared" si="114"/>
        <v>0</v>
      </c>
      <c r="V249" s="3">
        <v>0</v>
      </c>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row>
    <row r="250" spans="20:99" ht="14.4" hidden="1">
      <c r="T250"/>
      <c r="U250" s="93">
        <f t="shared" si="114"/>
        <v>0</v>
      </c>
      <c r="V250" s="3">
        <v>0</v>
      </c>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row>
    <row r="251" spans="20:99" ht="14.4" hidden="1">
      <c r="T251"/>
      <c r="U251" s="93">
        <f t="shared" si="114"/>
        <v>0</v>
      </c>
      <c r="V251" s="3">
        <v>0</v>
      </c>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row>
    <row r="252" spans="20:99" ht="14.4" hidden="1">
      <c r="T252"/>
      <c r="U252" s="93">
        <f t="shared" si="114"/>
        <v>0</v>
      </c>
      <c r="V252" s="3">
        <v>0</v>
      </c>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row>
    <row r="253" spans="20:99" ht="14.4" hidden="1">
      <c r="T253"/>
      <c r="U253" s="93">
        <f t="shared" si="114"/>
        <v>0</v>
      </c>
      <c r="V253" s="3">
        <v>0</v>
      </c>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row>
    <row r="254" spans="20:99" ht="14.4" hidden="1">
      <c r="T254"/>
      <c r="U254" s="93">
        <f t="shared" si="114"/>
        <v>0</v>
      </c>
      <c r="V254" s="3">
        <v>0</v>
      </c>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row>
    <row r="255" spans="20:99" ht="14.4" hidden="1">
      <c r="T255"/>
      <c r="U255" s="93">
        <f t="shared" si="114"/>
        <v>0</v>
      </c>
      <c r="V255" s="3">
        <v>0</v>
      </c>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row>
    <row r="256" spans="20:99" ht="14.4" hidden="1">
      <c r="T256"/>
      <c r="U256" s="93">
        <f t="shared" si="114"/>
        <v>0</v>
      </c>
      <c r="V256" s="2">
        <v>0</v>
      </c>
    </row>
    <row r="257" spans="20:22" ht="14.4" hidden="1">
      <c r="T257"/>
      <c r="U257" s="93">
        <f t="shared" si="114"/>
        <v>0</v>
      </c>
      <c r="V257" s="2">
        <v>0</v>
      </c>
    </row>
    <row r="258" spans="20:22" ht="14.4" hidden="1">
      <c r="T258"/>
      <c r="U258" s="93">
        <f t="shared" si="114"/>
        <v>0</v>
      </c>
      <c r="V258" s="2">
        <v>0</v>
      </c>
    </row>
    <row r="259" spans="20:22" ht="14.4" hidden="1">
      <c r="T259"/>
      <c r="U259" s="93">
        <f t="shared" si="114"/>
        <v>0</v>
      </c>
      <c r="V259" s="2">
        <v>0</v>
      </c>
    </row>
    <row r="260" spans="20:22" ht="14.4" hidden="1">
      <c r="T260"/>
      <c r="U260" s="93">
        <f t="shared" si="114"/>
        <v>0</v>
      </c>
      <c r="V260" s="2">
        <v>0</v>
      </c>
    </row>
    <row r="261" spans="20:22" ht="14.4" hidden="1">
      <c r="T261"/>
      <c r="U261" s="93">
        <f t="shared" si="114"/>
        <v>0</v>
      </c>
      <c r="V261" s="2">
        <v>0</v>
      </c>
    </row>
    <row r="262" spans="20:22" ht="14.4" hidden="1">
      <c r="T262"/>
      <c r="U262" s="93">
        <f t="shared" si="114"/>
        <v>0</v>
      </c>
      <c r="V262" s="2">
        <v>0</v>
      </c>
    </row>
    <row r="263" spans="20:22" ht="14.4" hidden="1">
      <c r="T263"/>
      <c r="U263" s="93">
        <f t="shared" si="114"/>
        <v>0</v>
      </c>
      <c r="V263" s="2">
        <v>0</v>
      </c>
    </row>
    <row r="264" spans="20:22" ht="14.4" hidden="1">
      <c r="T264"/>
      <c r="U264" s="93">
        <f t="shared" si="114"/>
        <v>0</v>
      </c>
      <c r="V264" s="2">
        <v>0</v>
      </c>
    </row>
    <row r="265" spans="20:22" ht="14.4" hidden="1">
      <c r="T265"/>
      <c r="U265" s="93">
        <f t="shared" si="114"/>
        <v>0</v>
      </c>
      <c r="V265" s="2">
        <v>0</v>
      </c>
    </row>
    <row r="266" spans="20:22" ht="14.4" hidden="1">
      <c r="T266"/>
      <c r="U266" s="93">
        <f t="shared" si="114"/>
        <v>0</v>
      </c>
      <c r="V266" s="2">
        <v>0</v>
      </c>
    </row>
    <row r="267" spans="20:22" ht="14.4" hidden="1">
      <c r="T267"/>
      <c r="U267" s="93">
        <f t="shared" si="114"/>
        <v>0</v>
      </c>
      <c r="V267" s="2">
        <v>0</v>
      </c>
    </row>
    <row r="268" spans="20:22" ht="14.4" hidden="1">
      <c r="T268"/>
      <c r="U268" s="93">
        <f t="shared" si="114"/>
        <v>0</v>
      </c>
      <c r="V268" s="2">
        <v>0</v>
      </c>
    </row>
    <row r="269" spans="20:22" ht="14.4" hidden="1">
      <c r="T269"/>
      <c r="U269" s="93">
        <f t="shared" si="114"/>
        <v>0</v>
      </c>
      <c r="V269" s="2">
        <v>0</v>
      </c>
    </row>
    <row r="270" spans="20:22" ht="14.4" hidden="1">
      <c r="T270"/>
      <c r="U270" s="93">
        <f t="shared" si="114"/>
        <v>0</v>
      </c>
      <c r="V270" s="2">
        <v>0</v>
      </c>
    </row>
    <row r="271" spans="20:22" ht="14.4" hidden="1">
      <c r="T271"/>
      <c r="U271" s="93">
        <f t="shared" si="114"/>
        <v>0</v>
      </c>
      <c r="V271" s="2">
        <v>0</v>
      </c>
    </row>
    <row r="272" spans="20:22" ht="14.4" hidden="1">
      <c r="T272"/>
      <c r="U272" s="93">
        <f t="shared" si="114"/>
        <v>0</v>
      </c>
      <c r="V272" s="2">
        <v>0</v>
      </c>
    </row>
    <row r="273" spans="20:22" ht="14.4" hidden="1">
      <c r="T273"/>
      <c r="U273" s="93">
        <f t="shared" si="114"/>
        <v>0</v>
      </c>
      <c r="V273" s="2">
        <v>0</v>
      </c>
    </row>
    <row r="274" spans="20:22" ht="14.4" hidden="1">
      <c r="T274"/>
      <c r="U274" s="93">
        <f t="shared" si="114"/>
        <v>0</v>
      </c>
      <c r="V274" s="2">
        <v>0</v>
      </c>
    </row>
    <row r="275" spans="20:22" ht="14.4" hidden="1">
      <c r="T275"/>
      <c r="U275" s="93">
        <f t="shared" si="114"/>
        <v>0</v>
      </c>
      <c r="V275" s="2">
        <v>0</v>
      </c>
    </row>
    <row r="276" spans="20:22" ht="14.4" hidden="1">
      <c r="T276"/>
      <c r="U276" s="93">
        <f t="shared" si="114"/>
        <v>0</v>
      </c>
      <c r="V276" s="2">
        <v>0</v>
      </c>
    </row>
    <row r="277" spans="20:22" ht="14.4" hidden="1">
      <c r="T277"/>
      <c r="U277" s="93">
        <f t="shared" si="114"/>
        <v>0</v>
      </c>
      <c r="V277" s="2">
        <v>0</v>
      </c>
    </row>
    <row r="278" spans="20:22" ht="14.4" hidden="1">
      <c r="T278"/>
      <c r="U278" s="93">
        <f t="shared" si="114"/>
        <v>0</v>
      </c>
      <c r="V278" s="2">
        <v>0</v>
      </c>
    </row>
    <row r="279" spans="20:22" ht="14.4" hidden="1">
      <c r="T279"/>
      <c r="U279" s="93">
        <f t="shared" si="114"/>
        <v>0</v>
      </c>
      <c r="V279" s="2">
        <v>0</v>
      </c>
    </row>
    <row r="280" spans="20:22" ht="14.4" hidden="1">
      <c r="T280"/>
      <c r="U280" s="93">
        <f t="shared" si="114"/>
        <v>0</v>
      </c>
      <c r="V280" s="2">
        <v>0</v>
      </c>
    </row>
    <row r="281" spans="20:22" ht="14.4" hidden="1">
      <c r="T281"/>
      <c r="U281" s="93">
        <f t="shared" si="114"/>
        <v>0</v>
      </c>
      <c r="V281" s="2">
        <v>0</v>
      </c>
    </row>
    <row r="282" spans="20:22" ht="14.4" hidden="1">
      <c r="T282"/>
      <c r="U282" s="93">
        <f t="shared" si="114"/>
        <v>0</v>
      </c>
      <c r="V282" s="2">
        <v>0</v>
      </c>
    </row>
    <row r="283" spans="20:22" ht="14.4" hidden="1">
      <c r="T283"/>
      <c r="U283" s="93">
        <f t="shared" si="114"/>
        <v>0</v>
      </c>
      <c r="V283" s="2">
        <v>0</v>
      </c>
    </row>
    <row r="284" spans="20:22" ht="14.4" hidden="1">
      <c r="T284"/>
      <c r="U284" s="93">
        <f t="shared" si="114"/>
        <v>0</v>
      </c>
      <c r="V284" s="2">
        <v>0</v>
      </c>
    </row>
    <row r="285" spans="20:22" ht="14.4" hidden="1">
      <c r="T285"/>
      <c r="U285" s="93">
        <f t="shared" si="114"/>
        <v>0</v>
      </c>
      <c r="V285" s="2">
        <v>0</v>
      </c>
    </row>
    <row r="286" spans="20:22" ht="14.4" hidden="1">
      <c r="T286"/>
      <c r="U286" s="93">
        <f t="shared" si="114"/>
        <v>0</v>
      </c>
      <c r="V286" s="2">
        <v>0</v>
      </c>
    </row>
    <row r="287" spans="20:22" ht="14.4" hidden="1">
      <c r="T287"/>
      <c r="U287" s="93">
        <f t="shared" si="114"/>
        <v>0</v>
      </c>
      <c r="V287" s="2">
        <v>0</v>
      </c>
    </row>
    <row r="288" spans="20:22" ht="14.4" hidden="1">
      <c r="T288"/>
      <c r="U288" s="93">
        <f t="shared" si="114"/>
        <v>0</v>
      </c>
      <c r="V288" s="2">
        <v>0</v>
      </c>
    </row>
    <row r="289" spans="20:22" ht="14.4" hidden="1">
      <c r="T289"/>
      <c r="U289" s="93">
        <f t="shared" si="114"/>
        <v>0</v>
      </c>
      <c r="V289" s="2">
        <v>0</v>
      </c>
    </row>
    <row r="290" spans="20:22" ht="14.4" hidden="1">
      <c r="T290"/>
      <c r="U290" s="93">
        <f t="shared" si="114"/>
        <v>0</v>
      </c>
      <c r="V290" s="2">
        <v>0</v>
      </c>
    </row>
    <row r="291" spans="20:22" ht="14.4" hidden="1">
      <c r="T291"/>
      <c r="U291" s="93">
        <f t="shared" si="114"/>
        <v>0</v>
      </c>
      <c r="V291" s="2">
        <v>0</v>
      </c>
    </row>
    <row r="292" spans="20:22" ht="14.4" hidden="1">
      <c r="T292"/>
      <c r="U292" s="93">
        <f t="shared" si="114"/>
        <v>0</v>
      </c>
      <c r="V292" s="2">
        <v>0</v>
      </c>
    </row>
    <row r="293" spans="20:22" ht="14.4" hidden="1">
      <c r="T293"/>
      <c r="U293" s="93">
        <f t="shared" si="114"/>
        <v>0</v>
      </c>
      <c r="V293" s="2">
        <v>0</v>
      </c>
    </row>
    <row r="294" spans="20:22" ht="14.4" hidden="1">
      <c r="T294"/>
      <c r="U294" s="93">
        <f t="shared" si="114"/>
        <v>0</v>
      </c>
      <c r="V294" s="2">
        <v>0</v>
      </c>
    </row>
    <row r="295" spans="20:22" ht="14.4" hidden="1">
      <c r="T295"/>
      <c r="U295" s="93">
        <f t="shared" si="114"/>
        <v>0</v>
      </c>
      <c r="V295" s="2">
        <v>0</v>
      </c>
    </row>
    <row r="296" spans="20:22" ht="14.4" hidden="1">
      <c r="T296"/>
      <c r="U296" s="93">
        <f t="shared" ref="U296:U359" si="115">IF(NOT(ISBLANK(C296)), 1, 0)</f>
        <v>0</v>
      </c>
      <c r="V296" s="2">
        <v>0</v>
      </c>
    </row>
    <row r="297" spans="20:22" ht="14.4" hidden="1">
      <c r="T297"/>
      <c r="U297" s="93">
        <f t="shared" si="115"/>
        <v>0</v>
      </c>
      <c r="V297" s="2">
        <v>0</v>
      </c>
    </row>
    <row r="298" spans="20:22" ht="14.4" hidden="1">
      <c r="T298"/>
      <c r="U298" s="93">
        <f t="shared" si="115"/>
        <v>0</v>
      </c>
      <c r="V298" s="2">
        <v>0</v>
      </c>
    </row>
    <row r="299" spans="20:22" ht="14.4" hidden="1">
      <c r="T299"/>
      <c r="U299" s="93">
        <f t="shared" si="115"/>
        <v>0</v>
      </c>
      <c r="V299" s="2">
        <v>0</v>
      </c>
    </row>
    <row r="300" spans="20:22" ht="14.4" hidden="1">
      <c r="T300"/>
      <c r="U300" s="93">
        <f t="shared" si="115"/>
        <v>0</v>
      </c>
      <c r="V300" s="2">
        <v>0</v>
      </c>
    </row>
    <row r="301" spans="20:22" ht="14.4" hidden="1">
      <c r="T301"/>
      <c r="U301" s="93">
        <f t="shared" si="115"/>
        <v>0</v>
      </c>
      <c r="V301" s="2">
        <v>0</v>
      </c>
    </row>
    <row r="302" spans="20:22" ht="14.4" hidden="1">
      <c r="T302"/>
      <c r="U302" s="93">
        <f t="shared" si="115"/>
        <v>0</v>
      </c>
      <c r="V302" s="2">
        <v>0</v>
      </c>
    </row>
    <row r="303" spans="20:22" ht="14.4" hidden="1">
      <c r="T303"/>
      <c r="U303" s="93">
        <f t="shared" si="115"/>
        <v>0</v>
      </c>
      <c r="V303" s="2">
        <v>0</v>
      </c>
    </row>
    <row r="304" spans="20:22" ht="14.4" hidden="1">
      <c r="T304"/>
      <c r="U304" s="93">
        <f t="shared" si="115"/>
        <v>0</v>
      </c>
      <c r="V304" s="2">
        <v>0</v>
      </c>
    </row>
    <row r="305" spans="20:22" ht="14.4" hidden="1">
      <c r="T305"/>
      <c r="U305" s="93">
        <f t="shared" si="115"/>
        <v>0</v>
      </c>
      <c r="V305" s="2">
        <v>0</v>
      </c>
    </row>
    <row r="306" spans="20:22" ht="14.4" hidden="1">
      <c r="T306"/>
      <c r="U306" s="93">
        <f t="shared" si="115"/>
        <v>0</v>
      </c>
      <c r="V306" s="2">
        <v>0</v>
      </c>
    </row>
    <row r="307" spans="20:22" ht="14.4" hidden="1">
      <c r="T307"/>
      <c r="U307" s="93">
        <f t="shared" si="115"/>
        <v>0</v>
      </c>
      <c r="V307" s="2">
        <v>0</v>
      </c>
    </row>
    <row r="308" spans="20:22" ht="14.4" hidden="1">
      <c r="T308"/>
      <c r="U308" s="93">
        <f t="shared" si="115"/>
        <v>0</v>
      </c>
      <c r="V308" s="2">
        <v>0</v>
      </c>
    </row>
    <row r="309" spans="20:22" ht="14.4" hidden="1">
      <c r="T309"/>
      <c r="U309" s="93">
        <f t="shared" si="115"/>
        <v>0</v>
      </c>
      <c r="V309" s="2">
        <v>0</v>
      </c>
    </row>
    <row r="310" spans="20:22" ht="14.4" hidden="1">
      <c r="T310"/>
      <c r="U310" s="93">
        <f t="shared" si="115"/>
        <v>0</v>
      </c>
      <c r="V310" s="2">
        <v>0</v>
      </c>
    </row>
    <row r="311" spans="20:22" ht="14.4" hidden="1">
      <c r="T311"/>
      <c r="U311" s="93">
        <f t="shared" si="115"/>
        <v>0</v>
      </c>
      <c r="V311" s="2">
        <v>0</v>
      </c>
    </row>
    <row r="312" spans="20:22" ht="14.4" hidden="1">
      <c r="T312"/>
      <c r="U312" s="93">
        <f t="shared" si="115"/>
        <v>0</v>
      </c>
      <c r="V312" s="2">
        <v>0</v>
      </c>
    </row>
    <row r="313" spans="20:22" ht="14.4" hidden="1">
      <c r="T313"/>
      <c r="U313" s="93">
        <f t="shared" si="115"/>
        <v>0</v>
      </c>
      <c r="V313" s="2">
        <v>0</v>
      </c>
    </row>
    <row r="314" spans="20:22" ht="14.4" hidden="1">
      <c r="T314"/>
      <c r="U314" s="93">
        <f t="shared" si="115"/>
        <v>0</v>
      </c>
      <c r="V314" s="2">
        <v>0</v>
      </c>
    </row>
    <row r="315" spans="20:22" ht="14.4" hidden="1">
      <c r="T315"/>
      <c r="U315" s="93">
        <f t="shared" si="115"/>
        <v>0</v>
      </c>
      <c r="V315" s="2">
        <v>0</v>
      </c>
    </row>
    <row r="316" spans="20:22" ht="14.4" hidden="1">
      <c r="T316"/>
      <c r="U316" s="93">
        <f t="shared" si="115"/>
        <v>0</v>
      </c>
      <c r="V316" s="2">
        <v>0</v>
      </c>
    </row>
    <row r="317" spans="20:22" ht="14.4" hidden="1">
      <c r="T317"/>
      <c r="U317" s="93">
        <f t="shared" si="115"/>
        <v>0</v>
      </c>
      <c r="V317" s="2">
        <v>0</v>
      </c>
    </row>
    <row r="318" spans="20:22" ht="14.4" hidden="1">
      <c r="T318"/>
      <c r="U318" s="93">
        <f t="shared" si="115"/>
        <v>0</v>
      </c>
      <c r="V318" s="2">
        <v>0</v>
      </c>
    </row>
    <row r="319" spans="20:22" ht="14.4" hidden="1">
      <c r="T319"/>
      <c r="U319" s="93">
        <f t="shared" si="115"/>
        <v>0</v>
      </c>
      <c r="V319" s="2">
        <v>0</v>
      </c>
    </row>
    <row r="320" spans="20:22" ht="14.4" hidden="1">
      <c r="T320"/>
      <c r="U320" s="93">
        <f t="shared" si="115"/>
        <v>0</v>
      </c>
      <c r="V320" s="2">
        <v>0</v>
      </c>
    </row>
    <row r="321" spans="20:22" ht="14.4" hidden="1">
      <c r="T321"/>
      <c r="U321" s="93">
        <f t="shared" si="115"/>
        <v>0</v>
      </c>
      <c r="V321" s="2">
        <v>0</v>
      </c>
    </row>
    <row r="322" spans="20:22" ht="14.4" hidden="1">
      <c r="T322"/>
      <c r="U322" s="93">
        <f t="shared" si="115"/>
        <v>0</v>
      </c>
      <c r="V322" s="2">
        <v>0</v>
      </c>
    </row>
    <row r="323" spans="20:22" ht="14.4" hidden="1">
      <c r="T323"/>
      <c r="U323" s="93">
        <f t="shared" si="115"/>
        <v>0</v>
      </c>
      <c r="V323" s="2">
        <v>0</v>
      </c>
    </row>
    <row r="324" spans="20:22" ht="14.4" hidden="1">
      <c r="T324"/>
      <c r="U324" s="93">
        <f t="shared" si="115"/>
        <v>0</v>
      </c>
      <c r="V324" s="2">
        <v>0</v>
      </c>
    </row>
    <row r="325" spans="20:22" ht="14.4" hidden="1">
      <c r="T325"/>
      <c r="U325" s="93">
        <f t="shared" si="115"/>
        <v>0</v>
      </c>
      <c r="V325" s="2">
        <v>0</v>
      </c>
    </row>
    <row r="326" spans="20:22" ht="14.4" hidden="1">
      <c r="T326"/>
      <c r="U326" s="93">
        <f t="shared" si="115"/>
        <v>0</v>
      </c>
      <c r="V326" s="2">
        <v>0</v>
      </c>
    </row>
    <row r="327" spans="20:22" ht="14.4" hidden="1">
      <c r="T327"/>
      <c r="U327" s="93">
        <f t="shared" si="115"/>
        <v>0</v>
      </c>
      <c r="V327" s="2">
        <v>0</v>
      </c>
    </row>
    <row r="328" spans="20:22" ht="14.4" hidden="1">
      <c r="T328"/>
      <c r="U328" s="93">
        <f t="shared" si="115"/>
        <v>0</v>
      </c>
      <c r="V328" s="2">
        <v>0</v>
      </c>
    </row>
    <row r="329" spans="20:22" ht="14.4" hidden="1">
      <c r="T329"/>
      <c r="U329" s="93">
        <f t="shared" si="115"/>
        <v>0</v>
      </c>
      <c r="V329" s="2">
        <v>0</v>
      </c>
    </row>
    <row r="330" spans="20:22" ht="14.4" hidden="1">
      <c r="T330"/>
      <c r="U330" s="93">
        <f t="shared" si="115"/>
        <v>0</v>
      </c>
      <c r="V330" s="2">
        <v>0</v>
      </c>
    </row>
    <row r="331" spans="20:22" ht="14.4" hidden="1">
      <c r="T331"/>
      <c r="U331" s="93">
        <f t="shared" si="115"/>
        <v>0</v>
      </c>
      <c r="V331" s="2">
        <v>0</v>
      </c>
    </row>
    <row r="332" spans="20:22" ht="14.4" hidden="1">
      <c r="T332"/>
      <c r="U332" s="93">
        <f t="shared" si="115"/>
        <v>0</v>
      </c>
      <c r="V332" s="2">
        <v>0</v>
      </c>
    </row>
    <row r="333" spans="20:22" ht="14.4" hidden="1">
      <c r="T333"/>
      <c r="U333" s="93">
        <f t="shared" si="115"/>
        <v>0</v>
      </c>
      <c r="V333" s="2">
        <v>0</v>
      </c>
    </row>
    <row r="334" spans="20:22" ht="14.4" hidden="1">
      <c r="T334"/>
      <c r="U334" s="93">
        <f t="shared" si="115"/>
        <v>0</v>
      </c>
      <c r="V334" s="2">
        <v>0</v>
      </c>
    </row>
    <row r="335" spans="20:22" ht="14.4" hidden="1">
      <c r="T335"/>
      <c r="U335" s="93">
        <f t="shared" si="115"/>
        <v>0</v>
      </c>
      <c r="V335" s="2">
        <v>0</v>
      </c>
    </row>
    <row r="336" spans="20:22" ht="14.4" hidden="1">
      <c r="T336"/>
      <c r="U336" s="93">
        <f t="shared" si="115"/>
        <v>0</v>
      </c>
      <c r="V336" s="2">
        <v>0</v>
      </c>
    </row>
    <row r="337" spans="20:22" ht="14.4" hidden="1">
      <c r="T337"/>
      <c r="U337" s="93">
        <f t="shared" si="115"/>
        <v>0</v>
      </c>
      <c r="V337" s="2">
        <v>0</v>
      </c>
    </row>
    <row r="338" spans="20:22" ht="14.4" hidden="1">
      <c r="T338"/>
      <c r="U338" s="93">
        <f t="shared" si="115"/>
        <v>0</v>
      </c>
      <c r="V338" s="2">
        <v>0</v>
      </c>
    </row>
    <row r="339" spans="20:22" ht="14.4" hidden="1">
      <c r="T339"/>
      <c r="U339" s="93">
        <f t="shared" si="115"/>
        <v>0</v>
      </c>
      <c r="V339" s="2">
        <v>0</v>
      </c>
    </row>
    <row r="340" spans="20:22" ht="14.4" hidden="1">
      <c r="T340"/>
      <c r="U340" s="93">
        <f t="shared" si="115"/>
        <v>0</v>
      </c>
      <c r="V340" s="2">
        <v>0</v>
      </c>
    </row>
    <row r="341" spans="20:22" ht="14.4" hidden="1">
      <c r="T341"/>
      <c r="U341" s="93">
        <f t="shared" si="115"/>
        <v>0</v>
      </c>
      <c r="V341" s="2">
        <v>0</v>
      </c>
    </row>
    <row r="342" spans="20:22" ht="14.4" hidden="1">
      <c r="T342"/>
      <c r="U342" s="93">
        <f t="shared" si="115"/>
        <v>0</v>
      </c>
      <c r="V342" s="2">
        <v>0</v>
      </c>
    </row>
    <row r="343" spans="20:22" ht="14.4" hidden="1">
      <c r="T343"/>
      <c r="U343" s="93">
        <f t="shared" si="115"/>
        <v>0</v>
      </c>
      <c r="V343" s="2">
        <v>0</v>
      </c>
    </row>
    <row r="344" spans="20:22" ht="14.4" hidden="1">
      <c r="T344"/>
      <c r="U344" s="93">
        <f t="shared" si="115"/>
        <v>0</v>
      </c>
      <c r="V344" s="2">
        <v>0</v>
      </c>
    </row>
    <row r="345" spans="20:22" ht="14.4" hidden="1">
      <c r="T345"/>
      <c r="U345" s="93">
        <f t="shared" si="115"/>
        <v>0</v>
      </c>
      <c r="V345" s="2">
        <v>0</v>
      </c>
    </row>
    <row r="346" spans="20:22" ht="14.4" hidden="1">
      <c r="T346"/>
      <c r="U346" s="93">
        <f t="shared" si="115"/>
        <v>0</v>
      </c>
      <c r="V346" s="2">
        <v>0</v>
      </c>
    </row>
    <row r="347" spans="20:22" ht="14.4" hidden="1">
      <c r="T347"/>
      <c r="U347" s="93">
        <f t="shared" si="115"/>
        <v>0</v>
      </c>
      <c r="V347" s="2">
        <v>0</v>
      </c>
    </row>
    <row r="348" spans="20:22" ht="14.4" hidden="1">
      <c r="T348"/>
      <c r="U348" s="93">
        <f t="shared" si="115"/>
        <v>0</v>
      </c>
      <c r="V348" s="2">
        <v>0</v>
      </c>
    </row>
    <row r="349" spans="20:22" ht="14.4" hidden="1">
      <c r="T349"/>
      <c r="U349" s="93">
        <f t="shared" si="115"/>
        <v>0</v>
      </c>
      <c r="V349" s="2">
        <v>0</v>
      </c>
    </row>
    <row r="350" spans="20:22" ht="14.4" hidden="1">
      <c r="T350"/>
      <c r="U350" s="93">
        <f t="shared" si="115"/>
        <v>0</v>
      </c>
      <c r="V350" s="2">
        <v>0</v>
      </c>
    </row>
    <row r="351" spans="20:22" ht="14.4" hidden="1">
      <c r="T351"/>
      <c r="U351" s="93">
        <f t="shared" si="115"/>
        <v>0</v>
      </c>
      <c r="V351" s="2">
        <v>0</v>
      </c>
    </row>
    <row r="352" spans="20:22" ht="14.4" hidden="1">
      <c r="T352"/>
      <c r="U352" s="93">
        <f t="shared" si="115"/>
        <v>0</v>
      </c>
      <c r="V352" s="2">
        <v>0</v>
      </c>
    </row>
    <row r="353" spans="20:22" ht="14.4" hidden="1">
      <c r="T353"/>
      <c r="U353" s="93">
        <f t="shared" si="115"/>
        <v>0</v>
      </c>
      <c r="V353" s="2">
        <v>0</v>
      </c>
    </row>
    <row r="354" spans="20:22" ht="14.4" hidden="1">
      <c r="T354"/>
      <c r="U354" s="93">
        <f t="shared" si="115"/>
        <v>0</v>
      </c>
      <c r="V354" s="2">
        <v>0</v>
      </c>
    </row>
    <row r="355" spans="20:22" ht="14.4" hidden="1">
      <c r="T355"/>
      <c r="U355" s="93">
        <f t="shared" si="115"/>
        <v>0</v>
      </c>
      <c r="V355" s="2">
        <v>0</v>
      </c>
    </row>
    <row r="356" spans="20:22" ht="14.4" hidden="1">
      <c r="T356"/>
      <c r="U356" s="93">
        <f t="shared" si="115"/>
        <v>0</v>
      </c>
      <c r="V356" s="2">
        <v>0</v>
      </c>
    </row>
    <row r="357" spans="20:22" ht="14.4" hidden="1">
      <c r="T357"/>
      <c r="U357" s="93">
        <f t="shared" si="115"/>
        <v>0</v>
      </c>
      <c r="V357" s="2">
        <v>0</v>
      </c>
    </row>
    <row r="358" spans="20:22" ht="14.4" hidden="1">
      <c r="T358"/>
      <c r="U358" s="93">
        <f t="shared" si="115"/>
        <v>0</v>
      </c>
      <c r="V358" s="2">
        <v>0</v>
      </c>
    </row>
    <row r="359" spans="20:22" ht="14.4" hidden="1">
      <c r="T359"/>
      <c r="U359" s="93">
        <f t="shared" si="115"/>
        <v>0</v>
      </c>
      <c r="V359" s="2">
        <v>0</v>
      </c>
    </row>
    <row r="360" spans="20:22" ht="14.4" hidden="1">
      <c r="T360"/>
      <c r="U360" s="93">
        <f t="shared" ref="U360:U422" si="116">IF(NOT(ISBLANK(C360)), 1, 0)</f>
        <v>0</v>
      </c>
      <c r="V360" s="2">
        <v>0</v>
      </c>
    </row>
    <row r="361" spans="20:22" ht="14.4" hidden="1">
      <c r="T361"/>
      <c r="U361" s="93">
        <f t="shared" si="116"/>
        <v>0</v>
      </c>
      <c r="V361" s="2">
        <v>0</v>
      </c>
    </row>
    <row r="362" spans="20:22" ht="14.4" hidden="1">
      <c r="T362"/>
      <c r="U362" s="93">
        <f t="shared" si="116"/>
        <v>0</v>
      </c>
      <c r="V362" s="2">
        <v>0</v>
      </c>
    </row>
    <row r="363" spans="20:22" ht="14.4" hidden="1">
      <c r="T363"/>
      <c r="U363" s="93">
        <f t="shared" si="116"/>
        <v>0</v>
      </c>
      <c r="V363" s="2">
        <v>0</v>
      </c>
    </row>
    <row r="364" spans="20:22" ht="14.4" hidden="1">
      <c r="T364"/>
      <c r="U364" s="93">
        <f t="shared" si="116"/>
        <v>0</v>
      </c>
      <c r="V364" s="2">
        <v>0</v>
      </c>
    </row>
    <row r="365" spans="20:22" ht="14.4" hidden="1">
      <c r="T365"/>
      <c r="U365" s="93">
        <f t="shared" si="116"/>
        <v>0</v>
      </c>
      <c r="V365" s="2">
        <v>0</v>
      </c>
    </row>
    <row r="366" spans="20:22" ht="14.4" hidden="1">
      <c r="T366"/>
      <c r="U366" s="93">
        <f t="shared" si="116"/>
        <v>0</v>
      </c>
      <c r="V366" s="2">
        <v>0</v>
      </c>
    </row>
    <row r="367" spans="20:22" ht="14.4" hidden="1">
      <c r="T367"/>
      <c r="U367" s="93">
        <f t="shared" si="116"/>
        <v>0</v>
      </c>
      <c r="V367" s="2">
        <v>0</v>
      </c>
    </row>
    <row r="368" spans="20:22" ht="14.4" hidden="1">
      <c r="T368"/>
      <c r="U368" s="93">
        <f t="shared" si="116"/>
        <v>0</v>
      </c>
      <c r="V368" s="2">
        <v>0</v>
      </c>
    </row>
    <row r="369" spans="20:22" ht="14.4" hidden="1">
      <c r="T369"/>
      <c r="U369" s="93">
        <f t="shared" si="116"/>
        <v>0</v>
      </c>
      <c r="V369" s="2">
        <v>0</v>
      </c>
    </row>
    <row r="370" spans="20:22" ht="14.4" hidden="1">
      <c r="T370"/>
      <c r="U370" s="93">
        <f t="shared" si="116"/>
        <v>0</v>
      </c>
      <c r="V370" s="2">
        <v>0</v>
      </c>
    </row>
    <row r="371" spans="20:22" ht="14.4" hidden="1">
      <c r="T371"/>
      <c r="U371" s="93">
        <f t="shared" si="116"/>
        <v>0</v>
      </c>
      <c r="V371" s="2">
        <v>0</v>
      </c>
    </row>
    <row r="372" spans="20:22" ht="14.4" hidden="1">
      <c r="T372"/>
      <c r="U372" s="93">
        <f t="shared" si="116"/>
        <v>0</v>
      </c>
      <c r="V372" s="2">
        <v>0</v>
      </c>
    </row>
    <row r="373" spans="20:22" ht="14.4" hidden="1">
      <c r="T373"/>
      <c r="U373" s="93">
        <f t="shared" si="116"/>
        <v>0</v>
      </c>
      <c r="V373" s="2">
        <v>0</v>
      </c>
    </row>
    <row r="374" spans="20:22" ht="14.4" hidden="1">
      <c r="T374"/>
      <c r="U374" s="93">
        <f t="shared" si="116"/>
        <v>0</v>
      </c>
      <c r="V374" s="2">
        <v>0</v>
      </c>
    </row>
    <row r="375" spans="20:22" ht="14.4" hidden="1">
      <c r="T375"/>
      <c r="U375" s="93">
        <f t="shared" si="116"/>
        <v>0</v>
      </c>
      <c r="V375" s="2">
        <v>0</v>
      </c>
    </row>
    <row r="376" spans="20:22" ht="14.4" hidden="1">
      <c r="T376"/>
      <c r="U376" s="93">
        <f t="shared" si="116"/>
        <v>0</v>
      </c>
      <c r="V376" s="2">
        <v>0</v>
      </c>
    </row>
    <row r="377" spans="20:22" ht="14.4" hidden="1">
      <c r="T377"/>
      <c r="U377" s="93">
        <f t="shared" si="116"/>
        <v>0</v>
      </c>
      <c r="V377" s="2">
        <v>0</v>
      </c>
    </row>
    <row r="378" spans="20:22" ht="14.4" hidden="1">
      <c r="T378"/>
      <c r="U378" s="93">
        <f t="shared" si="116"/>
        <v>0</v>
      </c>
      <c r="V378" s="2">
        <v>0</v>
      </c>
    </row>
    <row r="379" spans="20:22" hidden="1">
      <c r="U379" s="93">
        <f t="shared" si="116"/>
        <v>0</v>
      </c>
      <c r="V379" s="2">
        <v>0</v>
      </c>
    </row>
    <row r="380" spans="20:22" hidden="1">
      <c r="U380" s="93">
        <f t="shared" si="116"/>
        <v>0</v>
      </c>
      <c r="V380" s="2">
        <v>0</v>
      </c>
    </row>
    <row r="381" spans="20:22" hidden="1">
      <c r="U381" s="93">
        <f t="shared" si="116"/>
        <v>0</v>
      </c>
      <c r="V381" s="2">
        <v>0</v>
      </c>
    </row>
    <row r="382" spans="20:22" hidden="1">
      <c r="U382" s="93">
        <f t="shared" si="116"/>
        <v>0</v>
      </c>
      <c r="V382" s="2">
        <v>0</v>
      </c>
    </row>
    <row r="383" spans="20:22" hidden="1">
      <c r="U383" s="93">
        <f t="shared" si="116"/>
        <v>0</v>
      </c>
      <c r="V383" s="2">
        <v>0</v>
      </c>
    </row>
    <row r="384" spans="20:22" hidden="1">
      <c r="U384" s="93">
        <f t="shared" si="116"/>
        <v>0</v>
      </c>
      <c r="V384" s="2">
        <v>0</v>
      </c>
    </row>
    <row r="385" spans="21:22" hidden="1">
      <c r="U385" s="93">
        <f t="shared" si="116"/>
        <v>0</v>
      </c>
      <c r="V385" s="2">
        <v>0</v>
      </c>
    </row>
    <row r="386" spans="21:22" hidden="1">
      <c r="U386" s="93">
        <f t="shared" si="116"/>
        <v>0</v>
      </c>
      <c r="V386" s="2">
        <v>0</v>
      </c>
    </row>
    <row r="387" spans="21:22" hidden="1">
      <c r="U387" s="93">
        <f t="shared" si="116"/>
        <v>0</v>
      </c>
      <c r="V387" s="2">
        <v>0</v>
      </c>
    </row>
    <row r="388" spans="21:22" hidden="1">
      <c r="U388" s="93">
        <f t="shared" si="116"/>
        <v>0</v>
      </c>
      <c r="V388" s="2">
        <v>0</v>
      </c>
    </row>
    <row r="389" spans="21:22" hidden="1">
      <c r="U389" s="93">
        <f t="shared" si="116"/>
        <v>0</v>
      </c>
      <c r="V389" s="2">
        <v>0</v>
      </c>
    </row>
    <row r="390" spans="21:22" hidden="1">
      <c r="U390" s="93">
        <f t="shared" si="116"/>
        <v>0</v>
      </c>
      <c r="V390" s="2">
        <v>0</v>
      </c>
    </row>
    <row r="391" spans="21:22" hidden="1">
      <c r="U391" s="93">
        <f t="shared" si="116"/>
        <v>0</v>
      </c>
      <c r="V391" s="2">
        <v>0</v>
      </c>
    </row>
    <row r="392" spans="21:22" hidden="1">
      <c r="U392" s="93">
        <f t="shared" si="116"/>
        <v>0</v>
      </c>
      <c r="V392" s="2">
        <v>0</v>
      </c>
    </row>
    <row r="393" spans="21:22" hidden="1">
      <c r="U393" s="93">
        <f t="shared" si="116"/>
        <v>0</v>
      </c>
      <c r="V393" s="2">
        <v>0</v>
      </c>
    </row>
    <row r="394" spans="21:22" hidden="1">
      <c r="U394" s="93">
        <f t="shared" si="116"/>
        <v>0</v>
      </c>
      <c r="V394" s="2">
        <v>0</v>
      </c>
    </row>
    <row r="395" spans="21:22" hidden="1">
      <c r="U395" s="93">
        <f t="shared" si="116"/>
        <v>0</v>
      </c>
      <c r="V395" s="2">
        <v>0</v>
      </c>
    </row>
    <row r="396" spans="21:22" hidden="1">
      <c r="U396" s="93">
        <f t="shared" si="116"/>
        <v>0</v>
      </c>
      <c r="V396" s="2">
        <v>0</v>
      </c>
    </row>
    <row r="397" spans="21:22" hidden="1">
      <c r="U397" s="93">
        <f t="shared" si="116"/>
        <v>0</v>
      </c>
      <c r="V397" s="2">
        <v>0</v>
      </c>
    </row>
    <row r="398" spans="21:22" hidden="1">
      <c r="U398" s="93">
        <f t="shared" si="116"/>
        <v>0</v>
      </c>
      <c r="V398" s="2">
        <v>0</v>
      </c>
    </row>
    <row r="399" spans="21:22" hidden="1">
      <c r="U399" s="93">
        <f t="shared" si="116"/>
        <v>0</v>
      </c>
      <c r="V399" s="2">
        <v>0</v>
      </c>
    </row>
    <row r="400" spans="21:22" hidden="1">
      <c r="U400" s="93">
        <f t="shared" si="116"/>
        <v>0</v>
      </c>
      <c r="V400" s="2">
        <v>0</v>
      </c>
    </row>
    <row r="401" spans="21:22" hidden="1">
      <c r="U401" s="93">
        <f t="shared" si="116"/>
        <v>0</v>
      </c>
      <c r="V401" s="2">
        <v>0</v>
      </c>
    </row>
    <row r="402" spans="21:22" hidden="1">
      <c r="U402" s="93">
        <f t="shared" si="116"/>
        <v>0</v>
      </c>
      <c r="V402" s="2">
        <v>0</v>
      </c>
    </row>
    <row r="403" spans="21:22" hidden="1">
      <c r="U403" s="93">
        <f t="shared" si="116"/>
        <v>0</v>
      </c>
      <c r="V403" s="2">
        <v>0</v>
      </c>
    </row>
    <row r="404" spans="21:22" hidden="1">
      <c r="U404" s="93">
        <f t="shared" si="116"/>
        <v>0</v>
      </c>
      <c r="V404" s="2">
        <v>0</v>
      </c>
    </row>
    <row r="405" spans="21:22" hidden="1">
      <c r="U405" s="93">
        <f t="shared" si="116"/>
        <v>0</v>
      </c>
      <c r="V405" s="2">
        <v>0</v>
      </c>
    </row>
    <row r="406" spans="21:22" hidden="1">
      <c r="U406" s="93">
        <f t="shared" si="116"/>
        <v>0</v>
      </c>
      <c r="V406" s="2">
        <v>0</v>
      </c>
    </row>
    <row r="407" spans="21:22" hidden="1">
      <c r="U407" s="93">
        <f t="shared" si="116"/>
        <v>0</v>
      </c>
      <c r="V407" s="2">
        <v>0</v>
      </c>
    </row>
    <row r="408" spans="21:22" hidden="1">
      <c r="U408" s="93">
        <f t="shared" si="116"/>
        <v>0</v>
      </c>
      <c r="V408" s="2">
        <v>0</v>
      </c>
    </row>
    <row r="409" spans="21:22" hidden="1">
      <c r="U409" s="93">
        <f t="shared" si="116"/>
        <v>0</v>
      </c>
      <c r="V409" s="2">
        <v>0</v>
      </c>
    </row>
    <row r="410" spans="21:22" hidden="1">
      <c r="U410" s="93">
        <f t="shared" si="116"/>
        <v>0</v>
      </c>
      <c r="V410" s="2">
        <v>0</v>
      </c>
    </row>
    <row r="411" spans="21:22" hidden="1">
      <c r="U411" s="93">
        <f t="shared" si="116"/>
        <v>0</v>
      </c>
      <c r="V411" s="2">
        <v>0</v>
      </c>
    </row>
    <row r="412" spans="21:22" hidden="1">
      <c r="U412" s="93">
        <f t="shared" si="116"/>
        <v>0</v>
      </c>
      <c r="V412" s="2">
        <v>0</v>
      </c>
    </row>
    <row r="413" spans="21:22" hidden="1">
      <c r="U413" s="93">
        <f t="shared" si="116"/>
        <v>0</v>
      </c>
      <c r="V413" s="2">
        <v>0</v>
      </c>
    </row>
    <row r="414" spans="21:22" hidden="1">
      <c r="U414" s="93">
        <f t="shared" si="116"/>
        <v>0</v>
      </c>
      <c r="V414" s="2">
        <v>0</v>
      </c>
    </row>
    <row r="415" spans="21:22" hidden="1">
      <c r="U415" s="93">
        <f t="shared" si="116"/>
        <v>0</v>
      </c>
      <c r="V415" s="2">
        <v>0</v>
      </c>
    </row>
    <row r="416" spans="21:22" hidden="1">
      <c r="U416" s="93">
        <f t="shared" si="116"/>
        <v>0</v>
      </c>
      <c r="V416" s="2">
        <v>0</v>
      </c>
    </row>
    <row r="417" spans="21:22" hidden="1">
      <c r="U417" s="93">
        <f t="shared" si="116"/>
        <v>0</v>
      </c>
      <c r="V417" s="2">
        <v>0</v>
      </c>
    </row>
    <row r="418" spans="21:22" hidden="1">
      <c r="U418" s="93">
        <f t="shared" si="116"/>
        <v>0</v>
      </c>
      <c r="V418" s="2">
        <v>0</v>
      </c>
    </row>
    <row r="419" spans="21:22" hidden="1">
      <c r="U419" s="93">
        <f t="shared" si="116"/>
        <v>0</v>
      </c>
      <c r="V419" s="2">
        <v>0</v>
      </c>
    </row>
    <row r="420" spans="21:22" hidden="1">
      <c r="U420" s="93">
        <f t="shared" si="116"/>
        <v>0</v>
      </c>
      <c r="V420" s="2">
        <v>0</v>
      </c>
    </row>
    <row r="421" spans="21:22" hidden="1">
      <c r="U421" s="93">
        <f t="shared" si="116"/>
        <v>0</v>
      </c>
      <c r="V421" s="2">
        <v>0</v>
      </c>
    </row>
    <row r="422" spans="21:22" hidden="1">
      <c r="U422" s="93">
        <f t="shared" si="116"/>
        <v>0</v>
      </c>
      <c r="V422" s="2">
        <v>0</v>
      </c>
    </row>
    <row r="423" spans="21:22" hidden="1">
      <c r="U423" s="93">
        <f t="shared" ref="U423:U435" si="117">IF(NOT(ISBLANK(C423)), 1, 0)</f>
        <v>0</v>
      </c>
      <c r="V423" s="2">
        <v>0</v>
      </c>
    </row>
    <row r="424" spans="21:22" hidden="1">
      <c r="U424" s="93">
        <f t="shared" si="117"/>
        <v>0</v>
      </c>
      <c r="V424" s="2">
        <v>0</v>
      </c>
    </row>
    <row r="425" spans="21:22" hidden="1">
      <c r="U425" s="93">
        <f t="shared" si="117"/>
        <v>0</v>
      </c>
      <c r="V425" s="2">
        <v>0</v>
      </c>
    </row>
    <row r="426" spans="21:22" hidden="1">
      <c r="U426" s="93">
        <f t="shared" si="117"/>
        <v>0</v>
      </c>
      <c r="V426" s="2">
        <v>0</v>
      </c>
    </row>
    <row r="427" spans="21:22" hidden="1">
      <c r="U427" s="93">
        <f t="shared" si="117"/>
        <v>0</v>
      </c>
      <c r="V427" s="2">
        <v>0</v>
      </c>
    </row>
    <row r="428" spans="21:22" hidden="1">
      <c r="U428" s="93">
        <f t="shared" si="117"/>
        <v>0</v>
      </c>
      <c r="V428" s="2">
        <v>0</v>
      </c>
    </row>
    <row r="429" spans="21:22" hidden="1">
      <c r="U429" s="93">
        <f t="shared" si="117"/>
        <v>0</v>
      </c>
      <c r="V429" s="2">
        <v>0</v>
      </c>
    </row>
    <row r="430" spans="21:22" hidden="1">
      <c r="U430" s="93">
        <f t="shared" si="117"/>
        <v>0</v>
      </c>
      <c r="V430" s="2">
        <v>0</v>
      </c>
    </row>
    <row r="431" spans="21:22" hidden="1">
      <c r="U431" s="93">
        <f t="shared" si="117"/>
        <v>0</v>
      </c>
      <c r="V431" s="2">
        <v>0</v>
      </c>
    </row>
    <row r="432" spans="21:22" hidden="1">
      <c r="U432" s="93">
        <f t="shared" si="117"/>
        <v>0</v>
      </c>
      <c r="V432" s="2">
        <v>0</v>
      </c>
    </row>
    <row r="433" spans="21:22" hidden="1">
      <c r="U433" s="93">
        <f t="shared" si="117"/>
        <v>0</v>
      </c>
      <c r="V433" s="2">
        <v>0</v>
      </c>
    </row>
    <row r="434" spans="21:22" hidden="1">
      <c r="U434" s="93">
        <f t="shared" si="117"/>
        <v>0</v>
      </c>
      <c r="V434" s="2">
        <v>0</v>
      </c>
    </row>
    <row r="435" spans="21:22" hidden="1">
      <c r="U435" s="93">
        <f t="shared" si="117"/>
        <v>0</v>
      </c>
      <c r="V435" s="2">
        <v>0</v>
      </c>
    </row>
  </sheetData>
  <conditionalFormatting sqref="G4:J4">
    <cfRule type="cellIs" dxfId="58" priority="1" stopIfTrue="1" operator="equal">
      <formula>#REF!</formula>
    </cfRule>
  </conditionalFormatting>
  <conditionalFormatting sqref="K4">
    <cfRule type="cellIs" dxfId="57" priority="2" stopIfTrue="1" operator="equal">
      <formula>#REF!</formula>
    </cfRule>
  </conditionalFormatting>
  <conditionalFormatting sqref="U1:V1">
    <cfRule type="cellIs" dxfId="56" priority="3" operator="equal">
      <formula>"Check"</formula>
    </cfRule>
  </conditionalFormatting>
  <pageMargins left="0.74803149606299213" right="0.74803149606299213" top="0.98425196850393704" bottom="0.98425196850393704" header="0.51181102362204722" footer="0.51181102362204722"/>
  <pageSetup orientation="portrait" r:id="rId1"/>
  <headerFooter alignWithMargins="0">
    <oddFooter>&amp;LIB-Competition Preliminary Case&amp;RPage &amp;P</oddFooter>
  </headerFooter>
  <ignoredErrors>
    <ignoredError sqref="L62:S62" unlocked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6654A"/>
  </sheetPr>
  <dimension ref="A1:CV89"/>
  <sheetViews>
    <sheetView showGridLines="0" topLeftCell="A63" zoomScale="135" workbookViewId="0">
      <selection activeCell="G84" sqref="G84"/>
    </sheetView>
  </sheetViews>
  <sheetFormatPr defaultColWidth="0" defaultRowHeight="14.4" zeroHeight="1"/>
  <cols>
    <col min="1" max="1" width="2.44140625" customWidth="1"/>
    <col min="2" max="2" width="1" customWidth="1"/>
    <col min="3" max="3" width="35.6640625" customWidth="1"/>
    <col min="4" max="4" width="6.44140625" customWidth="1"/>
    <col min="5" max="6" width="0" hidden="1" customWidth="1"/>
    <col min="7" max="8" width="7.33203125" customWidth="1"/>
    <col min="9" max="12" width="8" customWidth="1"/>
    <col min="13" max="17" width="8.44140625" customWidth="1"/>
    <col min="18" max="18" width="7.44140625" customWidth="1"/>
    <col min="19" max="20" width="7.33203125" customWidth="1"/>
    <col min="21" max="21" width="3.44140625" customWidth="1"/>
    <col min="22" max="22" width="6.33203125" bestFit="1" customWidth="1"/>
    <col min="23" max="23" width="5.44140625" customWidth="1"/>
    <col min="24" max="24" width="2.33203125" customWidth="1"/>
    <col min="25" max="100" width="0" hidden="1" customWidth="1"/>
    <col min="101" max="16384" width="8.6640625" hidden="1"/>
  </cols>
  <sheetData>
    <row r="1" spans="1:100" s="26" customFormat="1" ht="13.2">
      <c r="A1" s="36"/>
      <c r="B1" s="36" t="str">
        <f>'DCF - Assumptions (old)'!$F$8&amp;" | Discounted Cash Flows - Outputs"</f>
        <v>Bumble INC | Discounted Cash Flows - Outputs</v>
      </c>
      <c r="C1" s="35"/>
      <c r="V1" s="34" t="str">
        <f>IF(V6=W6,"OK","Check")</f>
        <v>OK</v>
      </c>
      <c r="W1" s="34" t="str">
        <f>IF(V5=W5,"OK","Check")</f>
        <v>OK</v>
      </c>
    </row>
    <row r="2" spans="1:100" s="32" customFormat="1" ht="2.25" customHeight="1">
      <c r="A2" s="33"/>
      <c r="B2" s="33"/>
      <c r="U2" s="31"/>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spans="1:100" s="28" customFormat="1" ht="3" customHeight="1">
      <c r="A3" s="29"/>
      <c r="B3" s="29"/>
      <c r="U3" s="27"/>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row>
    <row r="4" spans="1:100" s="3" customFormat="1" ht="11.25" customHeight="1">
      <c r="A4" s="25"/>
      <c r="B4" s="25"/>
      <c r="C4" s="2"/>
      <c r="D4" s="2"/>
      <c r="E4" s="2"/>
      <c r="F4" s="2"/>
      <c r="G4" s="2"/>
      <c r="H4" s="2"/>
      <c r="I4" s="2"/>
      <c r="J4" s="2"/>
      <c r="K4" s="2"/>
      <c r="L4" s="2"/>
      <c r="M4" s="2"/>
      <c r="N4" s="2"/>
      <c r="O4" s="2"/>
      <c r="P4" s="2"/>
      <c r="Q4" s="2"/>
      <c r="R4" s="2"/>
      <c r="S4" s="2"/>
      <c r="T4" s="2"/>
      <c r="U4" s="1"/>
      <c r="V4" s="1"/>
      <c r="W4" s="1"/>
      <c r="X4" s="1"/>
    </row>
    <row r="5" spans="1:100">
      <c r="C5" s="1147" t="s">
        <v>1126</v>
      </c>
      <c r="D5" s="1148"/>
      <c r="E5" s="1148"/>
      <c r="F5" s="1148"/>
      <c r="G5" s="1148"/>
      <c r="H5" s="1148"/>
      <c r="I5" s="1148"/>
      <c r="J5" s="1148"/>
      <c r="K5" s="1148"/>
      <c r="L5" s="1148"/>
      <c r="M5" s="1148"/>
      <c r="N5" s="1148"/>
      <c r="O5" s="1148"/>
      <c r="P5" s="1148"/>
      <c r="Q5" s="1148"/>
      <c r="R5" s="1148"/>
      <c r="S5" s="1148"/>
      <c r="T5" s="1148"/>
      <c r="U5" s="1"/>
      <c r="V5" s="5">
        <f>ROWS(C5:C78)</f>
        <v>74</v>
      </c>
      <c r="W5" s="24">
        <v>74</v>
      </c>
      <c r="X5" s="1"/>
    </row>
    <row r="6" spans="1:100">
      <c r="C6" s="482"/>
      <c r="D6" s="482"/>
      <c r="E6" s="482"/>
      <c r="F6" s="482"/>
      <c r="G6" s="482"/>
      <c r="H6" s="482"/>
      <c r="I6" s="482"/>
      <c r="J6" s="482"/>
      <c r="K6" s="658"/>
      <c r="L6" s="658"/>
      <c r="M6" s="658" t="s">
        <v>1127</v>
      </c>
      <c r="N6" s="946"/>
      <c r="O6" s="946"/>
      <c r="P6" s="946"/>
      <c r="Q6" s="946"/>
      <c r="R6" s="946"/>
      <c r="S6" s="946"/>
      <c r="T6" s="946"/>
      <c r="U6" s="1"/>
      <c r="V6" s="5">
        <f>SUM(V7:V83)</f>
        <v>64</v>
      </c>
      <c r="W6" s="24">
        <v>64</v>
      </c>
      <c r="X6" s="1"/>
    </row>
    <row r="7" spans="1:100">
      <c r="C7" s="1025" t="s">
        <v>1128</v>
      </c>
      <c r="D7" s="948"/>
      <c r="E7" s="948"/>
      <c r="F7" s="948"/>
      <c r="G7" s="948"/>
      <c r="H7" s="948">
        <f>'DCF - Assumptions (old)'!G$7</f>
        <v>2019</v>
      </c>
      <c r="I7" s="948">
        <f>'DCF - Assumptions (old)'!H$7</f>
        <v>2020</v>
      </c>
      <c r="J7" s="948">
        <f>'DCF - Assumptions (old)'!I$7</f>
        <v>2021</v>
      </c>
      <c r="K7" s="948">
        <f>'DCF - Assumptions (old)'!J$7</f>
        <v>2022</v>
      </c>
      <c r="L7" s="948">
        <f>'DCF - Assumptions (old)'!K$7</f>
        <v>2023</v>
      </c>
      <c r="M7" s="994">
        <f>'DCF - Assumptions (old)'!L$7</f>
        <v>2024</v>
      </c>
      <c r="N7" s="949">
        <f>'DCF - Assumptions (old)'!M$7</f>
        <v>2025</v>
      </c>
      <c r="O7" s="949">
        <f>'DCF - Assumptions (old)'!N$7</f>
        <v>2026</v>
      </c>
      <c r="P7" s="949">
        <f>'DCF - Assumptions (old)'!O$7</f>
        <v>2027</v>
      </c>
      <c r="Q7" s="949">
        <f>'DCF - Assumptions (old)'!P$7</f>
        <v>2028</v>
      </c>
      <c r="R7" s="950">
        <f>'DCF - Assumptions (old)'!Q$7</f>
        <v>2029</v>
      </c>
      <c r="S7" s="949">
        <f>'DCF - Assumptions (old)'!R$7</f>
        <v>2030</v>
      </c>
      <c r="T7" s="950">
        <f>'DCF - Assumptions (old)'!S$7</f>
        <v>2031</v>
      </c>
      <c r="U7" s="1"/>
      <c r="V7" s="5">
        <v>1</v>
      </c>
      <c r="W7" s="24">
        <v>1</v>
      </c>
      <c r="X7" s="1"/>
    </row>
    <row r="8" spans="1:100">
      <c r="C8" s="668"/>
      <c r="D8" s="669"/>
      <c r="E8" s="669"/>
      <c r="F8" s="669"/>
      <c r="G8" s="669"/>
      <c r="H8" s="669"/>
      <c r="I8" s="669"/>
      <c r="J8" s="669"/>
      <c r="K8" s="669"/>
      <c r="L8" s="669"/>
      <c r="M8" s="670"/>
      <c r="N8" s="670"/>
      <c r="O8" s="670"/>
      <c r="P8" s="670"/>
      <c r="Q8" s="670"/>
      <c r="R8" s="671"/>
      <c r="S8" s="670"/>
      <c r="T8" s="671"/>
      <c r="U8" s="1"/>
      <c r="V8" s="5">
        <v>0</v>
      </c>
      <c r="W8" s="24">
        <v>0</v>
      </c>
      <c r="X8" s="1"/>
    </row>
    <row r="9" spans="1:100">
      <c r="C9" s="796" t="str">
        <f>'DCF - Assumptions'!C85</f>
        <v>Other App Revenue</v>
      </c>
      <c r="D9" s="797"/>
      <c r="E9" s="797"/>
      <c r="F9" s="797"/>
      <c r="G9" s="797"/>
      <c r="H9" s="974">
        <f>'DCF - Assumptions'!G85</f>
        <v>0</v>
      </c>
      <c r="I9" s="974">
        <f>'DCF - Assumptions'!H85</f>
        <v>0</v>
      </c>
      <c r="J9" s="974">
        <f>'DCF - Assumptions'!I85</f>
        <v>0</v>
      </c>
      <c r="K9" s="974">
        <f>'DCF - Assumptions'!J85</f>
        <v>0</v>
      </c>
      <c r="L9" s="974">
        <f>'DCF - Assumptions'!K85</f>
        <v>0</v>
      </c>
      <c r="M9" s="974">
        <f>'DCF - Assumptions'!L85</f>
        <v>0</v>
      </c>
      <c r="N9" s="974">
        <f>'DCF - Assumptions'!M85</f>
        <v>0</v>
      </c>
      <c r="O9" s="974">
        <f>'DCF - Assumptions'!N85</f>
        <v>0</v>
      </c>
      <c r="P9" s="974">
        <f>'DCF - Assumptions'!O85</f>
        <v>0</v>
      </c>
      <c r="Q9" s="974">
        <f>'DCF - Assumptions'!P85</f>
        <v>0</v>
      </c>
      <c r="R9" s="974">
        <f>'DCF - Assumptions'!Q85</f>
        <v>0</v>
      </c>
      <c r="S9" s="974">
        <f>'DCF - Assumptions'!R85</f>
        <v>0</v>
      </c>
      <c r="T9" s="974">
        <f>'DCF - Assumptions'!S85</f>
        <v>0</v>
      </c>
      <c r="U9" s="1"/>
      <c r="V9" s="5">
        <v>1</v>
      </c>
      <c r="W9" s="24">
        <v>1</v>
      </c>
      <c r="X9" s="1"/>
    </row>
    <row r="10" spans="1:100">
      <c r="C10" s="972" t="str">
        <f>'DCF - Assumptions'!C90</f>
        <v>Badoo + Other App Revenue</v>
      </c>
      <c r="D10" s="973"/>
      <c r="E10" s="973"/>
      <c r="F10" s="973"/>
      <c r="G10" s="973"/>
      <c r="H10" s="974">
        <f>'DCF - Assumptions'!G90</f>
        <v>0</v>
      </c>
      <c r="I10" s="974">
        <f>'DCF - Assumptions'!H90</f>
        <v>0</v>
      </c>
      <c r="J10" s="974">
        <f>'DCF - Assumptions'!I90</f>
        <v>0</v>
      </c>
      <c r="K10" s="974">
        <f>'DCF - Assumptions'!J90</f>
        <v>0</v>
      </c>
      <c r="L10" s="974">
        <f>'DCF - Assumptions'!K90</f>
        <v>0</v>
      </c>
      <c r="M10" s="974">
        <f>'DCF - Assumptions'!L90</f>
        <v>168.69480253150283</v>
      </c>
      <c r="N10" s="974">
        <f>'DCF - Assumptions'!M90</f>
        <v>155.47631094304143</v>
      </c>
      <c r="O10" s="974">
        <f>'DCF - Assumptions'!N90</f>
        <v>134.99463777887996</v>
      </c>
      <c r="P10" s="974">
        <f>'DCF - Assumptions'!O90</f>
        <v>121.79897380364982</v>
      </c>
      <c r="Q10" s="974">
        <f>'DCF - Assumptions'!P90</f>
        <v>101.78152411972864</v>
      </c>
      <c r="R10" s="974">
        <f>'DCF - Assumptions'!Q90</f>
        <v>87.82704529047696</v>
      </c>
      <c r="S10" s="974">
        <f>'DCF - Assumptions'!R90</f>
        <v>70.711137378340155</v>
      </c>
      <c r="T10" s="974">
        <f>'DCF - Assumptions'!S90</f>
        <v>58.721829822956401</v>
      </c>
      <c r="U10" s="1"/>
      <c r="V10" s="5">
        <v>1</v>
      </c>
      <c r="W10" s="24">
        <v>1</v>
      </c>
      <c r="X10" s="1"/>
    </row>
    <row r="11" spans="1:100">
      <c r="C11" s="484" t="s">
        <v>661</v>
      </c>
      <c r="D11" s="484"/>
      <c r="E11" s="484"/>
      <c r="F11" s="484"/>
      <c r="G11" s="476"/>
      <c r="H11" s="476">
        <f t="shared" ref="H11:T11" si="0">SUM(H9:H10)</f>
        <v>0</v>
      </c>
      <c r="I11" s="476">
        <f t="shared" si="0"/>
        <v>0</v>
      </c>
      <c r="J11" s="476">
        <f t="shared" si="0"/>
        <v>0</v>
      </c>
      <c r="K11" s="476">
        <f t="shared" si="0"/>
        <v>0</v>
      </c>
      <c r="L11" s="476">
        <f t="shared" si="0"/>
        <v>0</v>
      </c>
      <c r="M11" s="476">
        <f t="shared" si="0"/>
        <v>168.69480253150283</v>
      </c>
      <c r="N11" s="476">
        <f t="shared" si="0"/>
        <v>155.47631094304143</v>
      </c>
      <c r="O11" s="476">
        <f t="shared" si="0"/>
        <v>134.99463777887996</v>
      </c>
      <c r="P11" s="476">
        <f t="shared" si="0"/>
        <v>121.79897380364982</v>
      </c>
      <c r="Q11" s="476">
        <f t="shared" si="0"/>
        <v>101.78152411972864</v>
      </c>
      <c r="R11" s="476">
        <f t="shared" si="0"/>
        <v>87.82704529047696</v>
      </c>
      <c r="S11" s="476">
        <f t="shared" si="0"/>
        <v>70.711137378340155</v>
      </c>
      <c r="T11" s="476">
        <f t="shared" si="0"/>
        <v>58.721829822956401</v>
      </c>
      <c r="U11" s="1"/>
      <c r="V11" s="5">
        <v>1</v>
      </c>
      <c r="W11" s="24">
        <v>1</v>
      </c>
      <c r="X11" s="1"/>
    </row>
    <row r="12" spans="1:100">
      <c r="C12" s="659" t="s">
        <v>1129</v>
      </c>
      <c r="D12" s="660"/>
      <c r="E12" s="660"/>
      <c r="F12" s="660"/>
      <c r="G12" s="661"/>
      <c r="H12" s="661"/>
      <c r="I12" s="661">
        <f>IFERROR(I11/H11-1,0)</f>
        <v>0</v>
      </c>
      <c r="J12" s="661">
        <f t="shared" ref="J12:T12" si="1">IFERROR(J11/I11-1,0)</f>
        <v>0</v>
      </c>
      <c r="K12" s="661">
        <f t="shared" si="1"/>
        <v>0</v>
      </c>
      <c r="L12" s="661">
        <f t="shared" si="1"/>
        <v>0</v>
      </c>
      <c r="M12" s="661">
        <f t="shared" si="1"/>
        <v>0</v>
      </c>
      <c r="N12" s="661">
        <f t="shared" si="1"/>
        <v>-7.8357432417000106E-2</v>
      </c>
      <c r="O12" s="661">
        <f t="shared" si="1"/>
        <v>-0.1317350086320539</v>
      </c>
      <c r="P12" s="661">
        <f t="shared" si="1"/>
        <v>-9.7749541702867759E-2</v>
      </c>
      <c r="Q12" s="661">
        <f t="shared" si="1"/>
        <v>-0.16434826221270948</v>
      </c>
      <c r="R12" s="661">
        <f t="shared" si="1"/>
        <v>-0.13710227813877707</v>
      </c>
      <c r="S12" s="661">
        <f t="shared" si="1"/>
        <v>-0.19488197349151481</v>
      </c>
      <c r="T12" s="661">
        <f t="shared" si="1"/>
        <v>-0.16955331224888837</v>
      </c>
      <c r="U12" s="2"/>
      <c r="V12" s="5">
        <v>1</v>
      </c>
      <c r="W12" s="24">
        <v>1</v>
      </c>
      <c r="X12" s="1"/>
    </row>
    <row r="13" spans="1:100">
      <c r="C13" s="475" t="str">
        <f>'DCF - Financials'!C12</f>
        <v>Cost of Sales</v>
      </c>
      <c r="D13" s="475"/>
      <c r="E13" s="475"/>
      <c r="F13" s="475"/>
      <c r="G13" s="480"/>
      <c r="H13" s="480">
        <f>'DCF - Financials'!G13</f>
        <v>-139.767</v>
      </c>
      <c r="I13" s="480">
        <f>'DCF - Financials'!H13</f>
        <v>-157.41900000000001</v>
      </c>
      <c r="J13" s="480">
        <f>'DCF - Financials'!I13</f>
        <v>-205.17099999999999</v>
      </c>
      <c r="K13" s="480">
        <f>'DCF - Financials'!J13</f>
        <v>-249.49</v>
      </c>
      <c r="L13" s="480">
        <f>'DCF - Financials'!K13</f>
        <v>-307.83499999999998</v>
      </c>
      <c r="M13" s="480">
        <f>'DCF - Financials'!L13</f>
        <v>-363.97059928918515</v>
      </c>
      <c r="N13" s="480">
        <f>'DCF - Financials'!M13</f>
        <v>-459.63110434297454</v>
      </c>
      <c r="O13" s="480">
        <f>'DCF - Financials'!N13</f>
        <v>-576.9056335011735</v>
      </c>
      <c r="P13" s="480">
        <f>'DCF - Financials'!O13</f>
        <v>-727.11663315757085</v>
      </c>
      <c r="Q13" s="480">
        <f>'DCF - Financials'!P13</f>
        <v>-917.18623571024602</v>
      </c>
      <c r="R13" s="480">
        <f>'DCF - Financials'!Q13</f>
        <v>-1183.4411036912516</v>
      </c>
      <c r="S13" s="480">
        <f>'DCF - Financials'!R13</f>
        <v>-1525.9939288744188</v>
      </c>
      <c r="T13" s="480">
        <f>'DCF - Financials'!S13</f>
        <v>-1965.8723210903297</v>
      </c>
      <c r="U13" s="1"/>
      <c r="V13" s="5">
        <v>1</v>
      </c>
      <c r="W13" s="24">
        <v>1</v>
      </c>
      <c r="X13" s="1"/>
    </row>
    <row r="14" spans="1:100">
      <c r="C14" s="798" t="s">
        <v>900</v>
      </c>
      <c r="D14" s="798"/>
      <c r="E14" s="798"/>
      <c r="F14" s="798"/>
      <c r="G14" s="799"/>
      <c r="H14" s="799">
        <f t="shared" ref="H14:T14" si="2">SUM(H13:H13)</f>
        <v>-139.767</v>
      </c>
      <c r="I14" s="799">
        <f t="shared" si="2"/>
        <v>-157.41900000000001</v>
      </c>
      <c r="J14" s="799">
        <f t="shared" si="2"/>
        <v>-205.17099999999999</v>
      </c>
      <c r="K14" s="799">
        <f t="shared" si="2"/>
        <v>-249.49</v>
      </c>
      <c r="L14" s="799">
        <f t="shared" si="2"/>
        <v>-307.83499999999998</v>
      </c>
      <c r="M14" s="799">
        <f t="shared" si="2"/>
        <v>-363.97059928918515</v>
      </c>
      <c r="N14" s="799">
        <f t="shared" si="2"/>
        <v>-459.63110434297454</v>
      </c>
      <c r="O14" s="799">
        <f t="shared" si="2"/>
        <v>-576.9056335011735</v>
      </c>
      <c r="P14" s="799">
        <f t="shared" si="2"/>
        <v>-727.11663315757085</v>
      </c>
      <c r="Q14" s="799">
        <f t="shared" si="2"/>
        <v>-917.18623571024602</v>
      </c>
      <c r="R14" s="799">
        <f t="shared" si="2"/>
        <v>-1183.4411036912516</v>
      </c>
      <c r="S14" s="799">
        <f t="shared" si="2"/>
        <v>-1525.9939288744188</v>
      </c>
      <c r="T14" s="799">
        <f t="shared" si="2"/>
        <v>-1965.8723210903297</v>
      </c>
      <c r="V14" s="5">
        <v>1</v>
      </c>
      <c r="W14" s="24">
        <v>1</v>
      </c>
      <c r="X14" s="1"/>
    </row>
    <row r="15" spans="1:100">
      <c r="C15" s="475" t="str">
        <f>'DCF - Financials'!C19</f>
        <v>Selling &amp; Marketing</v>
      </c>
      <c r="D15" s="475"/>
      <c r="E15" s="475"/>
      <c r="F15" s="475"/>
      <c r="G15" s="480"/>
      <c r="H15" s="480">
        <f>'DCF - Financials'!G19</f>
        <v>-142.90199999999999</v>
      </c>
      <c r="I15" s="480">
        <f>'DCF - Financials'!H19</f>
        <v>-163.745</v>
      </c>
      <c r="J15" s="480">
        <f>'DCF - Financials'!I19</f>
        <v>-211.71100000000001</v>
      </c>
      <c r="K15" s="480">
        <f>'DCF - Financials'!J19</f>
        <v>-249.26900000000001</v>
      </c>
      <c r="L15" s="480">
        <f>'DCF - Financials'!K19</f>
        <v>-270.38</v>
      </c>
      <c r="M15" s="480">
        <f>'DCF - Financials'!L19</f>
        <v>-326.16252316395611</v>
      </c>
      <c r="N15" s="480">
        <f>'DCF - Financials'!M19</f>
        <v>-388.11089907268178</v>
      </c>
      <c r="O15" s="480">
        <f>'DCF - Financials'!N19</f>
        <v>-459.83439386780077</v>
      </c>
      <c r="P15" s="480">
        <f>'DCF - Financials'!O19</f>
        <v>-552.82596085648527</v>
      </c>
      <c r="Q15" s="480">
        <f>'DCF - Financials'!P19</f>
        <v>-678.42293110177786</v>
      </c>
      <c r="R15" s="480">
        <f>'DCF - Financials'!Q19</f>
        <v>-824.83702160947189</v>
      </c>
      <c r="S15" s="480">
        <f>'DCF - Financials'!R19</f>
        <v>-1020.0204686232343</v>
      </c>
      <c r="T15" s="480">
        <f>'DCF - Financials'!S19</f>
        <v>-1261.8420304882086</v>
      </c>
      <c r="V15" s="5">
        <v>1</v>
      </c>
      <c r="W15" s="24">
        <v>1</v>
      </c>
      <c r="X15" s="1"/>
    </row>
    <row r="16" spans="1:100">
      <c r="C16" s="475" t="str">
        <f>'DCF - Financials'!C20</f>
        <v>General &amp; Administrative</v>
      </c>
      <c r="D16" s="475"/>
      <c r="E16" s="475"/>
      <c r="F16" s="475"/>
      <c r="G16" s="480"/>
      <c r="H16" s="480">
        <f>'DCF - Financials'!G20</f>
        <v>-67.078999999999994</v>
      </c>
      <c r="I16" s="480">
        <f>'DCF - Financials'!H20</f>
        <v>-223.52199999999999</v>
      </c>
      <c r="J16" s="480">
        <f>'DCF - Financials'!I20</f>
        <v>-265.738</v>
      </c>
      <c r="K16" s="480">
        <f>'DCF - Financials'!J20</f>
        <v>-319.3</v>
      </c>
      <c r="L16" s="480">
        <f>'DCF - Financials'!K20</f>
        <v>-221.649</v>
      </c>
      <c r="M16" s="480">
        <f>'DCF - Financials'!L20</f>
        <v>-399.86785364805661</v>
      </c>
      <c r="N16" s="480">
        <f>'DCF - Financials'!M20</f>
        <v>-539.67714673093099</v>
      </c>
      <c r="O16" s="480">
        <f>'DCF - Financials'!N20</f>
        <v>-634.47516944979805</v>
      </c>
      <c r="P16" s="480">
        <f>'DCF - Financials'!O20</f>
        <v>-764.89556368272042</v>
      </c>
      <c r="Q16" s="480">
        <f>'DCF - Financials'!P20</f>
        <v>-917.87694625942709</v>
      </c>
      <c r="R16" s="480">
        <f>'DCF - Financials'!Q20</f>
        <v>-1213.6974955340961</v>
      </c>
      <c r="S16" s="480">
        <f>'DCF - Financials'!R20</f>
        <v>-1555.7867150179795</v>
      </c>
      <c r="T16" s="480">
        <f>'DCF - Financials'!S20</f>
        <v>-1952.0182721322026</v>
      </c>
      <c r="V16" s="5">
        <v>1</v>
      </c>
      <c r="W16" s="24">
        <v>1</v>
      </c>
      <c r="X16" s="1"/>
    </row>
    <row r="17" spans="3:24">
      <c r="C17" s="475" t="str">
        <f>'DCF - Financials'!C21</f>
        <v>Product Development Expense</v>
      </c>
      <c r="D17" s="475"/>
      <c r="E17" s="475"/>
      <c r="F17" s="475"/>
      <c r="G17" s="480"/>
      <c r="H17" s="480">
        <f>'DCF - Financials'!G21</f>
        <v>-39.204999999999998</v>
      </c>
      <c r="I17" s="480">
        <f>'DCF - Financials'!H21</f>
        <v>-51.081000000000003</v>
      </c>
      <c r="J17" s="480">
        <f>'DCF - Financials'!I21</f>
        <v>-105.917</v>
      </c>
      <c r="K17" s="480">
        <f>'DCF - Financials'!J21</f>
        <v>-98.575000000000003</v>
      </c>
      <c r="L17" s="480">
        <f>'DCF - Financials'!K21</f>
        <v>-130.565</v>
      </c>
      <c r="M17" s="480">
        <f>'DCF - Financials'!L21</f>
        <v>-158.93850043715815</v>
      </c>
      <c r="N17" s="480">
        <f>'DCF - Financials'!M21</f>
        <v>-204.2630620666836</v>
      </c>
      <c r="O17" s="480">
        <f>'DCF - Financials'!N21</f>
        <v>-262.19737396178726</v>
      </c>
      <c r="P17" s="480">
        <f>'DCF - Financials'!O21</f>
        <v>-314.76380946468493</v>
      </c>
      <c r="Q17" s="480">
        <f>'DCF - Financials'!P21</f>
        <v>-397.41498695150079</v>
      </c>
      <c r="R17" s="480">
        <f>'DCF - Financials'!Q21</f>
        <v>-492.98916658187784</v>
      </c>
      <c r="S17" s="480">
        <f>'DCF - Financials'!R21</f>
        <v>-634.54446019854265</v>
      </c>
      <c r="T17" s="480">
        <f>'DCF - Financials'!S21</f>
        <v>-808.46150348932804</v>
      </c>
      <c r="V17" s="5">
        <v>1</v>
      </c>
      <c r="W17" s="24">
        <v>1</v>
      </c>
      <c r="X17" s="1"/>
    </row>
    <row r="18" spans="3:24">
      <c r="C18" s="475" t="str">
        <f>'DCF - Financials'!C22</f>
        <v>Depreciation &amp; Amortization</v>
      </c>
      <c r="D18" s="475"/>
      <c r="E18" s="475"/>
      <c r="F18" s="475"/>
      <c r="G18" s="480"/>
      <c r="H18" s="480">
        <f>'DCF - Financials'!G22</f>
        <v>-6.734</v>
      </c>
      <c r="I18" s="480">
        <f>'DCF - Financials'!H22</f>
        <v>-92.174999999999997</v>
      </c>
      <c r="J18" s="480">
        <f>'DCF - Financials'!I22</f>
        <v>-107.056</v>
      </c>
      <c r="K18" s="480">
        <f>'DCF - Financials'!J22</f>
        <v>-89.712999999999994</v>
      </c>
      <c r="L18" s="480">
        <f>'DCF - Financials'!K22</f>
        <v>-68.028000000000006</v>
      </c>
      <c r="M18" s="480">
        <f>'DCF - Financials'!L22</f>
        <v>-203.83878048475535</v>
      </c>
      <c r="N18" s="480">
        <f>'DCF - Financials'!M22</f>
        <v>-203.82205409597324</v>
      </c>
      <c r="O18" s="480">
        <f>'DCF - Financials'!N22</f>
        <v>-268.40363584398705</v>
      </c>
      <c r="P18" s="480">
        <f>'DCF - Financials'!O22</f>
        <v>-310.42940488004342</v>
      </c>
      <c r="Q18" s="480">
        <f>'DCF - Financials'!P22</f>
        <v>-410.21705209086457</v>
      </c>
      <c r="R18" s="480">
        <f>'DCF - Financials'!Q22</f>
        <v>-506.83412298944961</v>
      </c>
      <c r="S18" s="480">
        <f>'DCF - Financials'!R22</f>
        <v>-645.71796627474282</v>
      </c>
      <c r="T18" s="480">
        <f>'DCF - Financials'!S22</f>
        <v>-819.22860716997479</v>
      </c>
      <c r="V18" s="5">
        <v>1</v>
      </c>
      <c r="W18" s="24">
        <v>1</v>
      </c>
      <c r="X18" s="1"/>
    </row>
    <row r="19" spans="3:24">
      <c r="C19" s="798" t="s">
        <v>1078</v>
      </c>
      <c r="D19" s="798"/>
      <c r="E19" s="798"/>
      <c r="F19" s="798"/>
      <c r="G19" s="799"/>
      <c r="H19" s="799">
        <f>SUM(H15:H18)</f>
        <v>-255.92</v>
      </c>
      <c r="I19" s="799">
        <f>SUM(I15:I18)</f>
        <v>-530.52300000000002</v>
      </c>
      <c r="J19" s="799">
        <f t="shared" ref="J19:T19" si="3">SUM(J15:J18)</f>
        <v>-690.42200000000003</v>
      </c>
      <c r="K19" s="799">
        <f t="shared" si="3"/>
        <v>-756.85699999999997</v>
      </c>
      <c r="L19" s="799">
        <f t="shared" si="3"/>
        <v>-690.62200000000007</v>
      </c>
      <c r="M19" s="799">
        <f t="shared" si="3"/>
        <v>-1088.8076577339261</v>
      </c>
      <c r="N19" s="799">
        <f t="shared" si="3"/>
        <v>-1335.8731619662697</v>
      </c>
      <c r="O19" s="799">
        <f t="shared" si="3"/>
        <v>-1624.9105731233731</v>
      </c>
      <c r="P19" s="799">
        <f t="shared" si="3"/>
        <v>-1942.9147388839342</v>
      </c>
      <c r="Q19" s="799">
        <f t="shared" si="3"/>
        <v>-2403.9319164035701</v>
      </c>
      <c r="R19" s="799">
        <f t="shared" si="3"/>
        <v>-3038.3578067148951</v>
      </c>
      <c r="S19" s="799">
        <f t="shared" si="3"/>
        <v>-3856.0696101144995</v>
      </c>
      <c r="T19" s="799">
        <f t="shared" si="3"/>
        <v>-4841.5504132797141</v>
      </c>
      <c r="V19" s="5">
        <v>1</v>
      </c>
      <c r="W19" s="24">
        <v>1</v>
      </c>
      <c r="X19" s="1"/>
    </row>
    <row r="20" spans="3:24">
      <c r="C20" s="475"/>
      <c r="D20" s="475"/>
      <c r="E20" s="475"/>
      <c r="F20" s="475"/>
      <c r="G20" s="480"/>
      <c r="H20" s="480"/>
      <c r="I20" s="480"/>
      <c r="J20" s="480"/>
      <c r="K20" s="480"/>
      <c r="L20" s="480"/>
      <c r="M20" s="480"/>
      <c r="N20" s="480"/>
      <c r="O20" s="480"/>
      <c r="P20" s="480"/>
      <c r="Q20" s="480"/>
      <c r="R20" s="480"/>
      <c r="S20" s="480"/>
      <c r="T20" s="480"/>
      <c r="V20" s="5">
        <v>0</v>
      </c>
      <c r="W20" s="24">
        <v>0</v>
      </c>
      <c r="X20" s="1"/>
    </row>
    <row r="21" spans="3:24">
      <c r="C21" s="484" t="s">
        <v>640</v>
      </c>
      <c r="D21" s="476"/>
      <c r="E21" s="476"/>
      <c r="F21" s="476"/>
      <c r="G21" s="476"/>
      <c r="H21" s="476">
        <f>'DCF - Financials'!G53</f>
        <v>121.845</v>
      </c>
      <c r="I21" s="476">
        <f>'DCF - Financials'!H53</f>
        <v>20.764000000000042</v>
      </c>
      <c r="J21" s="476">
        <f>'DCF - Financials'!I53</f>
        <v>68.208000000000041</v>
      </c>
      <c r="K21" s="476">
        <f>'DCF - Financials'!J53</f>
        <v>63.499000000000038</v>
      </c>
      <c r="L21" s="476">
        <f>'DCF - Financials'!K53</f>
        <v>228.08399999999983</v>
      </c>
      <c r="M21" s="476">
        <f>'DCF - Financials'!L53</f>
        <v>104.35564190156782</v>
      </c>
      <c r="N21" s="476">
        <f>'DCF - Financials'!M53</f>
        <v>62.177476730226687</v>
      </c>
      <c r="O21" s="476">
        <f>'DCF - Financials'!N53</f>
        <v>96.95328784773379</v>
      </c>
      <c r="P21" s="476">
        <f>'DCF - Financials'!O53</f>
        <v>164.34007790514497</v>
      </c>
      <c r="Q21" s="476">
        <f>'DCF - Financials'!P53</f>
        <v>244.68758901803909</v>
      </c>
      <c r="R21" s="476">
        <f>'DCF - Financials'!Q53</f>
        <v>256.00403665939569</v>
      </c>
      <c r="S21" s="476">
        <f>'DCF - Financials'!R53</f>
        <v>320.23322236620498</v>
      </c>
      <c r="T21" s="476">
        <f>'DCF - Financials'!S53</f>
        <v>434.01374076047722</v>
      </c>
      <c r="V21" s="5">
        <v>1</v>
      </c>
      <c r="W21" s="24">
        <v>1</v>
      </c>
      <c r="X21" s="2"/>
    </row>
    <row r="22" spans="3:24">
      <c r="C22" s="475" t="str">
        <f>'DCF - Financials'!C55</f>
        <v>Other Adjustments</v>
      </c>
      <c r="D22" s="475"/>
      <c r="E22" s="475"/>
      <c r="F22" s="475"/>
      <c r="G22" s="480"/>
      <c r="H22" s="480">
        <f>'DCF - Financials'!G55</f>
        <v>0</v>
      </c>
      <c r="I22" s="480">
        <f>'DCF - Financials'!H55</f>
        <v>0</v>
      </c>
      <c r="J22" s="480">
        <f>'DCF - Financials'!I55</f>
        <v>0</v>
      </c>
      <c r="K22" s="480">
        <f>'DCF - Financials'!J55</f>
        <v>0</v>
      </c>
      <c r="L22" s="480">
        <f>'DCF - Financials'!K55</f>
        <v>0</v>
      </c>
      <c r="M22" s="480">
        <f>'DCF - Financials'!L55</f>
        <v>0</v>
      </c>
      <c r="N22" s="480">
        <f>'DCF - Financials'!M55</f>
        <v>0</v>
      </c>
      <c r="O22" s="480">
        <f>'DCF - Financials'!N55</f>
        <v>0</v>
      </c>
      <c r="P22" s="480">
        <f>'DCF - Financials'!O55</f>
        <v>0</v>
      </c>
      <c r="Q22" s="480">
        <f>'DCF - Financials'!P55</f>
        <v>0</v>
      </c>
      <c r="R22" s="480">
        <f>'DCF - Financials'!Q55</f>
        <v>0</v>
      </c>
      <c r="S22" s="480">
        <f>'DCF - Financials'!R55</f>
        <v>0</v>
      </c>
      <c r="T22" s="480">
        <f>'DCF - Financials'!S55</f>
        <v>0</v>
      </c>
      <c r="V22" s="5">
        <v>1</v>
      </c>
      <c r="W22" s="24">
        <v>1</v>
      </c>
      <c r="X22" s="1"/>
    </row>
    <row r="23" spans="3:24">
      <c r="C23" s="484" t="s">
        <v>1130</v>
      </c>
      <c r="D23" s="476"/>
      <c r="E23" s="476"/>
      <c r="F23" s="476"/>
      <c r="G23" s="476"/>
      <c r="H23" s="476">
        <f t="shared" ref="H23:T23" si="4">SUM(H21:H22)</f>
        <v>121.845</v>
      </c>
      <c r="I23" s="476">
        <f t="shared" si="4"/>
        <v>20.764000000000042</v>
      </c>
      <c r="J23" s="476">
        <f t="shared" si="4"/>
        <v>68.208000000000041</v>
      </c>
      <c r="K23" s="476">
        <f t="shared" si="4"/>
        <v>63.499000000000038</v>
      </c>
      <c r="L23" s="476">
        <f t="shared" si="4"/>
        <v>228.08399999999983</v>
      </c>
      <c r="M23" s="476">
        <f t="shared" si="4"/>
        <v>104.35564190156782</v>
      </c>
      <c r="N23" s="476">
        <f t="shared" si="4"/>
        <v>62.177476730226687</v>
      </c>
      <c r="O23" s="476">
        <f t="shared" si="4"/>
        <v>96.95328784773379</v>
      </c>
      <c r="P23" s="476">
        <f t="shared" si="4"/>
        <v>164.34007790514497</v>
      </c>
      <c r="Q23" s="476">
        <f t="shared" si="4"/>
        <v>244.68758901803909</v>
      </c>
      <c r="R23" s="476">
        <f t="shared" si="4"/>
        <v>256.00403665939569</v>
      </c>
      <c r="S23" s="476">
        <f t="shared" si="4"/>
        <v>320.23322236620498</v>
      </c>
      <c r="T23" s="476">
        <f t="shared" si="4"/>
        <v>434.01374076047722</v>
      </c>
      <c r="V23" s="5">
        <v>1</v>
      </c>
      <c r="W23" s="24">
        <v>1</v>
      </c>
      <c r="X23" s="2"/>
    </row>
    <row r="24" spans="3:24">
      <c r="C24" s="659" t="s">
        <v>1131</v>
      </c>
      <c r="D24" s="660"/>
      <c r="E24" s="660"/>
      <c r="F24" s="660"/>
      <c r="G24" s="661"/>
      <c r="H24" s="661">
        <f t="shared" ref="H24:T24" si="5">IFERROR(H23/H11,0)</f>
        <v>0</v>
      </c>
      <c r="I24" s="661">
        <f t="shared" si="5"/>
        <v>0</v>
      </c>
      <c r="J24" s="661">
        <f t="shared" si="5"/>
        <v>0</v>
      </c>
      <c r="K24" s="661">
        <f t="shared" si="5"/>
        <v>0</v>
      </c>
      <c r="L24" s="661">
        <f t="shared" si="5"/>
        <v>0</v>
      </c>
      <c r="M24" s="661">
        <f t="shared" si="5"/>
        <v>0.61860614752538079</v>
      </c>
      <c r="N24" s="661">
        <f t="shared" si="5"/>
        <v>0.3999160795177687</v>
      </c>
      <c r="O24" s="661">
        <f t="shared" si="5"/>
        <v>0.71820102963306165</v>
      </c>
      <c r="P24" s="661">
        <f t="shared" si="5"/>
        <v>1.3492730913322388</v>
      </c>
      <c r="Q24" s="661">
        <f t="shared" si="5"/>
        <v>2.4040472092970999</v>
      </c>
      <c r="R24" s="661">
        <f t="shared" si="5"/>
        <v>2.9148656409047393</v>
      </c>
      <c r="S24" s="661">
        <f t="shared" si="5"/>
        <v>4.5287522480765112</v>
      </c>
      <c r="T24" s="661">
        <f t="shared" si="5"/>
        <v>7.3910118616706697</v>
      </c>
      <c r="V24" s="5">
        <v>1</v>
      </c>
      <c r="W24" s="24">
        <v>1</v>
      </c>
      <c r="X24" s="1"/>
    </row>
    <row r="25" spans="3:24">
      <c r="C25" s="659" t="s">
        <v>1132</v>
      </c>
      <c r="D25" s="660"/>
      <c r="E25" s="660"/>
      <c r="F25" s="660"/>
      <c r="G25" s="661"/>
      <c r="H25" s="661"/>
      <c r="I25" s="661">
        <f t="shared" ref="I25:T25" si="6">IFERROR(IF(OR(H23&lt;0,I23&lt;0),0,I23/H23-1),0)</f>
        <v>-0.82958677007673653</v>
      </c>
      <c r="J25" s="661">
        <f t="shared" si="6"/>
        <v>2.2849162011173139</v>
      </c>
      <c r="K25" s="661">
        <f t="shared" si="6"/>
        <v>-6.9038822425521951E-2</v>
      </c>
      <c r="L25" s="661">
        <f t="shared" si="6"/>
        <v>2.5919305815839571</v>
      </c>
      <c r="M25" s="661">
        <f t="shared" si="6"/>
        <v>-0.54246838050206114</v>
      </c>
      <c r="N25" s="661">
        <f t="shared" si="6"/>
        <v>-0.40417714272818306</v>
      </c>
      <c r="O25" s="661">
        <f t="shared" si="6"/>
        <v>0.55929916983268857</v>
      </c>
      <c r="P25" s="661">
        <f t="shared" si="6"/>
        <v>0.69504388714741561</v>
      </c>
      <c r="Q25" s="661">
        <f t="shared" si="6"/>
        <v>0.48891002205359602</v>
      </c>
      <c r="R25" s="661">
        <f t="shared" si="6"/>
        <v>4.624855591070598E-2</v>
      </c>
      <c r="S25" s="661">
        <f t="shared" si="6"/>
        <v>0.25089130056282638</v>
      </c>
      <c r="T25" s="661">
        <f t="shared" si="6"/>
        <v>0.3553051665081699</v>
      </c>
      <c r="V25" s="5">
        <v>1</v>
      </c>
      <c r="W25" s="24">
        <v>1</v>
      </c>
      <c r="X25" s="1"/>
    </row>
    <row r="26" spans="3:24">
      <c r="C26" s="2"/>
      <c r="D26" s="2"/>
      <c r="E26" s="477"/>
      <c r="F26" s="477"/>
      <c r="G26" s="2"/>
      <c r="H26" s="2"/>
      <c r="I26" s="2"/>
      <c r="J26" s="2"/>
      <c r="K26" s="2"/>
      <c r="L26" s="2"/>
      <c r="M26" s="2"/>
      <c r="N26" s="2"/>
      <c r="O26" s="2"/>
      <c r="P26" s="2"/>
      <c r="Q26" s="2"/>
      <c r="R26" s="2"/>
      <c r="S26" s="2"/>
      <c r="T26" s="2"/>
      <c r="V26" s="5">
        <v>0</v>
      </c>
      <c r="W26" s="24">
        <v>0</v>
      </c>
      <c r="X26" s="1"/>
    </row>
    <row r="27" spans="3:24">
      <c r="C27" s="1147" t="s">
        <v>1133</v>
      </c>
      <c r="D27" s="1148"/>
      <c r="E27" s="1148"/>
      <c r="F27" s="1148"/>
      <c r="G27" s="1148"/>
      <c r="H27" s="1148"/>
      <c r="I27" s="1148"/>
      <c r="J27" s="1148"/>
      <c r="K27" s="1148"/>
      <c r="L27" s="1148"/>
      <c r="M27" s="1148"/>
      <c r="N27" s="1148"/>
      <c r="O27" s="1148"/>
      <c r="P27" s="1148"/>
      <c r="Q27" s="1148"/>
      <c r="R27" s="1148"/>
      <c r="S27" s="1148"/>
      <c r="T27" s="1148"/>
      <c r="V27" s="5">
        <v>1</v>
      </c>
      <c r="W27" s="24">
        <v>1</v>
      </c>
      <c r="X27" s="1"/>
    </row>
    <row r="28" spans="3:24">
      <c r="C28" s="482"/>
      <c r="D28" s="482"/>
      <c r="E28" s="482"/>
      <c r="F28" s="482"/>
      <c r="G28" s="482"/>
      <c r="H28" s="482"/>
      <c r="I28" s="482"/>
      <c r="J28" s="482"/>
      <c r="K28" s="482"/>
      <c r="L28" s="482"/>
      <c r="M28" s="946" t="s">
        <v>1127</v>
      </c>
      <c r="N28" s="946"/>
      <c r="O28" s="946"/>
      <c r="P28" s="946"/>
      <c r="Q28" s="946"/>
      <c r="R28" s="946"/>
      <c r="S28" s="946"/>
      <c r="T28" s="946"/>
      <c r="V28" s="5">
        <v>0</v>
      </c>
      <c r="W28" s="24">
        <v>0</v>
      </c>
      <c r="X28" s="1"/>
    </row>
    <row r="29" spans="3:24">
      <c r="C29" s="1025" t="str">
        <f>'DCF - Outputs'!C7</f>
        <v>* All amounts in millions of US dollars except per share and multiples</v>
      </c>
      <c r="D29" s="948"/>
      <c r="E29" s="948"/>
      <c r="F29" s="948"/>
      <c r="G29" s="948"/>
      <c r="H29" s="948">
        <f>'DCF - Assumptions (old)'!G$7</f>
        <v>2019</v>
      </c>
      <c r="I29" s="948">
        <f>'DCF - Assumptions (old)'!H$7</f>
        <v>2020</v>
      </c>
      <c r="J29" s="948">
        <f>'DCF - Assumptions (old)'!I$7</f>
        <v>2021</v>
      </c>
      <c r="K29" s="948">
        <f>'DCF - Assumptions (old)'!J$7</f>
        <v>2022</v>
      </c>
      <c r="L29" s="948">
        <f>'DCF - Assumptions (old)'!K$7</f>
        <v>2023</v>
      </c>
      <c r="M29" s="949">
        <f>'DCF - Assumptions (old)'!L$7</f>
        <v>2024</v>
      </c>
      <c r="N29" s="949">
        <f>'DCF - Assumptions (old)'!M$7</f>
        <v>2025</v>
      </c>
      <c r="O29" s="949">
        <f>'DCF - Assumptions (old)'!N$7</f>
        <v>2026</v>
      </c>
      <c r="P29" s="949">
        <f>'DCF - Assumptions (old)'!O$7</f>
        <v>2027</v>
      </c>
      <c r="Q29" s="949">
        <f>'DCF - Assumptions (old)'!P$7</f>
        <v>2028</v>
      </c>
      <c r="R29" s="950">
        <f>'DCF - Assumptions (old)'!Q$7</f>
        <v>2029</v>
      </c>
      <c r="S29" s="949">
        <f>'DCF - Assumptions (old)'!R$7</f>
        <v>2030</v>
      </c>
      <c r="T29" s="950">
        <f>'DCF - Assumptions (old)'!S$7</f>
        <v>2031</v>
      </c>
      <c r="V29" s="5">
        <v>1</v>
      </c>
      <c r="W29" s="24">
        <v>1</v>
      </c>
      <c r="X29" s="1"/>
    </row>
    <row r="30" spans="3:24">
      <c r="C30" s="668"/>
      <c r="D30" s="669"/>
      <c r="E30" s="669"/>
      <c r="F30" s="669"/>
      <c r="G30" s="669"/>
      <c r="H30" s="669"/>
      <c r="I30" s="669"/>
      <c r="J30" s="669"/>
      <c r="K30" s="669"/>
      <c r="L30" s="669"/>
      <c r="M30" s="670"/>
      <c r="N30" s="670"/>
      <c r="O30" s="670"/>
      <c r="P30" s="670"/>
      <c r="Q30" s="670"/>
      <c r="R30" s="671"/>
      <c r="S30" s="670"/>
      <c r="T30" s="671"/>
      <c r="V30" s="5">
        <v>0</v>
      </c>
      <c r="W30" s="24">
        <v>0</v>
      </c>
      <c r="X30" s="1"/>
    </row>
    <row r="31" spans="3:24">
      <c r="C31" s="662" t="str">
        <f>C23</f>
        <v>Adjusted EBITDA</v>
      </c>
      <c r="D31" s="655"/>
      <c r="E31" s="655"/>
      <c r="F31" s="655"/>
      <c r="G31" s="655"/>
      <c r="H31" s="655">
        <f t="shared" ref="H31:T31" si="7">H23</f>
        <v>121.845</v>
      </c>
      <c r="I31" s="655">
        <f t="shared" si="7"/>
        <v>20.764000000000042</v>
      </c>
      <c r="J31" s="655">
        <f t="shared" si="7"/>
        <v>68.208000000000041</v>
      </c>
      <c r="K31" s="655">
        <f t="shared" si="7"/>
        <v>63.499000000000038</v>
      </c>
      <c r="L31" s="655">
        <f t="shared" si="7"/>
        <v>228.08399999999983</v>
      </c>
      <c r="M31" s="655">
        <f t="shared" si="7"/>
        <v>104.35564190156782</v>
      </c>
      <c r="N31" s="655">
        <f t="shared" si="7"/>
        <v>62.177476730226687</v>
      </c>
      <c r="O31" s="655">
        <f t="shared" si="7"/>
        <v>96.95328784773379</v>
      </c>
      <c r="P31" s="655">
        <f t="shared" si="7"/>
        <v>164.34007790514497</v>
      </c>
      <c r="Q31" s="655">
        <f t="shared" si="7"/>
        <v>244.68758901803909</v>
      </c>
      <c r="R31" s="655">
        <f t="shared" si="7"/>
        <v>256.00403665939569</v>
      </c>
      <c r="S31" s="655">
        <f t="shared" si="7"/>
        <v>320.23322236620498</v>
      </c>
      <c r="T31" s="655">
        <f t="shared" si="7"/>
        <v>434.01374076047722</v>
      </c>
      <c r="V31" s="5">
        <v>1</v>
      </c>
      <c r="W31" s="24">
        <v>1</v>
      </c>
      <c r="X31" s="2"/>
    </row>
    <row r="32" spans="3:24">
      <c r="C32" s="475" t="s">
        <v>1134</v>
      </c>
      <c r="D32" s="475"/>
      <c r="E32" s="475"/>
      <c r="F32" s="475"/>
      <c r="G32" s="480"/>
      <c r="H32" s="480">
        <f>'DCF - Financials'!G67</f>
        <v>19.446000000000002</v>
      </c>
      <c r="I32" s="480">
        <f>'DCF - Financials'!H67</f>
        <v>40.973999999999997</v>
      </c>
      <c r="J32" s="480">
        <f>'DCF - Financials'!I67</f>
        <v>64.411000000000001</v>
      </c>
      <c r="K32" s="480">
        <f>'DCF - Financials'!J67</f>
        <v>46.283000000000001</v>
      </c>
      <c r="L32" s="480">
        <f>'DCF - Financials'!K67</f>
        <v>8.9570000000000007</v>
      </c>
      <c r="M32" s="480">
        <f>'DCF - Financials'!L67</f>
        <v>0</v>
      </c>
      <c r="N32" s="480">
        <f>'DCF - Financials'!M67</f>
        <v>0</v>
      </c>
      <c r="O32" s="480">
        <f>'DCF - Financials'!N67</f>
        <v>0</v>
      </c>
      <c r="P32" s="480">
        <f>'DCF - Financials'!O67</f>
        <v>0</v>
      </c>
      <c r="Q32" s="480">
        <f>'DCF - Financials'!P67</f>
        <v>0</v>
      </c>
      <c r="R32" s="480">
        <f>'DCF - Financials'!Q67</f>
        <v>0</v>
      </c>
      <c r="S32" s="480">
        <f>'DCF - Financials'!R67</f>
        <v>0</v>
      </c>
      <c r="T32" s="480">
        <f>'DCF - Financials'!S67</f>
        <v>0</v>
      </c>
      <c r="V32" s="5">
        <v>1</v>
      </c>
      <c r="W32" s="24">
        <v>1</v>
      </c>
      <c r="X32" s="2"/>
    </row>
    <row r="33" spans="3:24">
      <c r="C33" s="475" t="str">
        <f>'DCF - Financials'!C33</f>
        <v>Income tax</v>
      </c>
      <c r="D33" s="475"/>
      <c r="E33" s="475"/>
      <c r="F33" s="475"/>
      <c r="G33" s="480"/>
      <c r="H33" s="480">
        <f>'DCF - Financials'!G33</f>
        <v>-6.1379999999999999</v>
      </c>
      <c r="I33" s="480">
        <f>'DCF - Financials'!H33</f>
        <v>-8.4909999999999997</v>
      </c>
      <c r="J33" s="480">
        <f>'DCF - Financials'!I33</f>
        <v>437.83699999999999</v>
      </c>
      <c r="K33" s="480">
        <f>'DCF - Financials'!J33</f>
        <v>-3.4060000000000001</v>
      </c>
      <c r="L33" s="480">
        <f>'DCF - Financials'!K33</f>
        <v>-7.17</v>
      </c>
      <c r="M33" s="480">
        <f>'DCF - Financials'!L33</f>
        <v>39.998578260979578</v>
      </c>
      <c r="N33" s="480">
        <f>'DCF - Financials'!M33</f>
        <v>56.913006823518877</v>
      </c>
      <c r="O33" s="480">
        <f>'DCF - Financials'!N33</f>
        <v>68.202838371435988</v>
      </c>
      <c r="P33" s="480">
        <f>'DCF - Financials'!O33</f>
        <v>68.463282371269841</v>
      </c>
      <c r="Q33" s="480">
        <f>'DCF - Financials'!P33</f>
        <v>79.936164229988108</v>
      </c>
      <c r="R33" s="480">
        <f>'DCF - Financials'!Q33</f>
        <v>107.99915749196269</v>
      </c>
      <c r="S33" s="480">
        <f>'DCF - Financials'!R33</f>
        <v>136.66800216142354</v>
      </c>
      <c r="T33" s="480">
        <f>'DCF - Financials'!S33</f>
        <v>165.36232600006801</v>
      </c>
      <c r="V33" s="5">
        <v>1</v>
      </c>
      <c r="W33" s="24">
        <v>1</v>
      </c>
      <c r="X33" s="2"/>
    </row>
    <row r="34" spans="3:24">
      <c r="C34" s="475" t="s">
        <v>1135</v>
      </c>
      <c r="D34" s="475"/>
      <c r="E34" s="475"/>
      <c r="F34" s="475"/>
      <c r="G34" s="480"/>
      <c r="H34" s="480">
        <f>'DCF - Financials'!G75</f>
        <v>6.7050000000000054</v>
      </c>
      <c r="I34" s="480">
        <f>'DCF - Financials'!H75</f>
        <v>34.411999999999999</v>
      </c>
      <c r="J34" s="480">
        <f>'DCF - Financials'!I75</f>
        <v>-51.96</v>
      </c>
      <c r="K34" s="480">
        <f>'DCF - Financials'!J75</f>
        <v>-28.863000000000003</v>
      </c>
      <c r="L34" s="480">
        <f>'DCF - Financials'!K75</f>
        <v>12.142000000000003</v>
      </c>
      <c r="M34" s="480">
        <f>'DCF - Financials'!L75</f>
        <v>39.85654925390898</v>
      </c>
      <c r="N34" s="480">
        <f>'DCF - Financials'!M75</f>
        <v>75.061338922483571</v>
      </c>
      <c r="O34" s="480">
        <f>'DCF - Financials'!N75</f>
        <v>25.40644058204715</v>
      </c>
      <c r="P34" s="480">
        <f>'DCF - Financials'!O75</f>
        <v>71.676456754127557</v>
      </c>
      <c r="Q34" s="480">
        <f>'DCF - Financials'!P75</f>
        <v>79.348602157975606</v>
      </c>
      <c r="R34" s="480">
        <f>'DCF - Financials'!Q75</f>
        <v>146.0264091555282</v>
      </c>
      <c r="S34" s="480">
        <f>'DCF - Financials'!R75</f>
        <v>167.9398708988129</v>
      </c>
      <c r="T34" s="480">
        <f>'DCF - Financials'!S75</f>
        <v>197.15922294542167</v>
      </c>
      <c r="V34" s="5">
        <v>1</v>
      </c>
      <c r="W34" s="24">
        <v>1</v>
      </c>
      <c r="X34" s="2"/>
    </row>
    <row r="35" spans="3:24">
      <c r="C35" s="475" t="s">
        <v>1136</v>
      </c>
      <c r="D35" s="475"/>
      <c r="E35" s="475"/>
      <c r="F35" s="475"/>
      <c r="G35" s="480"/>
      <c r="H35" s="480">
        <f>'DCF - Financials'!G105</f>
        <v>-11.395999999999999</v>
      </c>
      <c r="I35" s="480">
        <f>'DCF - Financials'!H105</f>
        <v>-2850.6510000000003</v>
      </c>
      <c r="J35" s="480">
        <f>'DCF - Financials'!I105</f>
        <v>-12.484</v>
      </c>
      <c r="K35" s="480">
        <f>'DCF - Financials'!J105</f>
        <v>-86.052999999999997</v>
      </c>
      <c r="L35" s="480">
        <f>'DCF - Financials'!K105</f>
        <v>-24.755000000000003</v>
      </c>
      <c r="M35" s="480">
        <f>'DCF - Financials'!L105</f>
        <v>-63.90270997617155</v>
      </c>
      <c r="N35" s="480">
        <f>'DCF - Financials'!M105</f>
        <v>-62.248755254759317</v>
      </c>
      <c r="O35" s="480">
        <f>'DCF - Financials'!N105</f>
        <v>-78.35484834373824</v>
      </c>
      <c r="P35" s="480">
        <f>'DCF - Financials'!O105</f>
        <v>-94.601179856317813</v>
      </c>
      <c r="Q35" s="480">
        <f>'DCF - Financials'!P105</f>
        <v>-125.00295338450766</v>
      </c>
      <c r="R35" s="480">
        <f>'DCF - Financials'!Q105</f>
        <v>-153.44227917202954</v>
      </c>
      <c r="S35" s="480">
        <f>'DCF - Financials'!R105</f>
        <v>-194.30855748836231</v>
      </c>
      <c r="T35" s="480">
        <f>'DCF - Financials'!S105</f>
        <v>-248.01356674709388</v>
      </c>
      <c r="V35" s="5">
        <v>1</v>
      </c>
      <c r="W35" s="24">
        <v>1</v>
      </c>
      <c r="X35" s="2"/>
    </row>
    <row r="36" spans="3:24">
      <c r="C36" s="476" t="s">
        <v>1137</v>
      </c>
      <c r="D36" s="476"/>
      <c r="E36" s="476"/>
      <c r="F36" s="476"/>
      <c r="G36" s="476"/>
      <c r="H36" s="476">
        <f t="shared" ref="H36" si="8">SUM(H31:H35)</f>
        <v>130.46200000000002</v>
      </c>
      <c r="I36" s="476">
        <f>SUM(I31:I35)</f>
        <v>-2762.9920000000002</v>
      </c>
      <c r="J36" s="476">
        <f t="shared" ref="J36:T36" si="9">SUM(J31:J35)</f>
        <v>506.012</v>
      </c>
      <c r="K36" s="476">
        <f t="shared" si="9"/>
        <v>-8.5399999999999636</v>
      </c>
      <c r="L36" s="476">
        <f t="shared" si="9"/>
        <v>217.25799999999984</v>
      </c>
      <c r="M36" s="476">
        <f t="shared" si="9"/>
        <v>120.30805944028482</v>
      </c>
      <c r="N36" s="476">
        <f t="shared" si="9"/>
        <v>131.90306722146983</v>
      </c>
      <c r="O36" s="476">
        <f t="shared" si="9"/>
        <v>112.20771845747868</v>
      </c>
      <c r="P36" s="476">
        <f t="shared" si="9"/>
        <v>209.87863717422459</v>
      </c>
      <c r="Q36" s="476">
        <f t="shared" si="9"/>
        <v>278.96940202149517</v>
      </c>
      <c r="R36" s="476">
        <f t="shared" si="9"/>
        <v>356.58732413485706</v>
      </c>
      <c r="S36" s="476">
        <f t="shared" si="9"/>
        <v>430.53253793807903</v>
      </c>
      <c r="T36" s="476">
        <f t="shared" si="9"/>
        <v>548.52172295887294</v>
      </c>
      <c r="V36" s="5">
        <v>1</v>
      </c>
      <c r="W36" s="24">
        <v>1</v>
      </c>
      <c r="X36" s="2"/>
    </row>
    <row r="37" spans="3:24">
      <c r="C37" s="475" t="s">
        <v>1138</v>
      </c>
      <c r="D37" s="475"/>
      <c r="E37" s="475"/>
      <c r="F37" s="475"/>
      <c r="G37" s="480"/>
      <c r="H37" s="480">
        <f>'DCF - Assumptions'!G183</f>
        <v>-1.2709999999999999</v>
      </c>
      <c r="I37" s="480">
        <f>'DCF - Assumptions'!H183</f>
        <v>-28.507000000000001</v>
      </c>
      <c r="J37" s="480">
        <f>'DCF - Assumptions'!I183</f>
        <v>-21.44</v>
      </c>
      <c r="K37" s="480">
        <f>'DCF - Assumptions'!J183</f>
        <v>-7.9110000000000014</v>
      </c>
      <c r="L37" s="480">
        <f>'DCF - Assumptions'!K183</f>
        <v>-48.036999999999999</v>
      </c>
      <c r="M37" s="480">
        <f>'DCF - Assumptions'!L183</f>
        <v>-15.917907005916643</v>
      </c>
      <c r="N37" s="480">
        <f>'DCF - Assumptions'!M183</f>
        <v>-37.628806331896669</v>
      </c>
      <c r="O37" s="480">
        <f>'DCF - Assumptions'!N183</f>
        <v>-40.699036577630025</v>
      </c>
      <c r="P37" s="480">
        <f>'DCF - Assumptions'!O183</f>
        <v>-39.921196879075609</v>
      </c>
      <c r="Q37" s="480">
        <f>'DCF - Assumptions'!P183</f>
        <v>-40.075881349607457</v>
      </c>
      <c r="R37" s="480">
        <f>'DCF - Assumptions'!Q183</f>
        <v>-43.178763808394621</v>
      </c>
      <c r="S37" s="480">
        <f>'DCF - Assumptions'!R183</f>
        <v>-44.822751097855573</v>
      </c>
      <c r="T37" s="480">
        <f>'DCF - Assumptions'!S183</f>
        <v>-45.979716794577101</v>
      </c>
      <c r="V37" s="5">
        <v>1</v>
      </c>
      <c r="W37" s="24">
        <v>1</v>
      </c>
      <c r="X37" s="2"/>
    </row>
    <row r="38" spans="3:24">
      <c r="C38" s="475" t="s">
        <v>1139</v>
      </c>
      <c r="D38" s="475"/>
      <c r="E38" s="475"/>
      <c r="F38" s="475"/>
      <c r="G38" s="480"/>
      <c r="H38" s="480">
        <f>'DCF - Financials'!G91+'DCF - Financials'!G92</f>
        <v>0</v>
      </c>
      <c r="I38" s="480">
        <f>'DCF - Financials'!H91+'DCF - Financials'!H92</f>
        <v>845</v>
      </c>
      <c r="J38" s="480">
        <f>'DCF - Financials'!I91+'DCF - Financials'!I92</f>
        <v>-206.43799999999999</v>
      </c>
      <c r="K38" s="480">
        <f>'DCF - Financials'!J91+'DCF - Financials'!J92</f>
        <v>-5.75</v>
      </c>
      <c r="L38" s="480">
        <f>'DCF - Financials'!K91+'DCF - Financials'!K92</f>
        <v>-5.75</v>
      </c>
      <c r="M38" s="480">
        <f>'DCF - Financials'!L91+'DCF - Financials'!L92</f>
        <v>548.21004342526646</v>
      </c>
      <c r="N38" s="480">
        <f>'DCF - Financials'!M91+'DCF - Financials'!M92</f>
        <v>71.932464322977467</v>
      </c>
      <c r="O38" s="480">
        <f>'DCF - Financials'!N91+'DCF - Financials'!N92</f>
        <v>32.608623017061973</v>
      </c>
      <c r="P38" s="480">
        <f>'DCF - Financials'!O91+'DCF - Financials'!O92</f>
        <v>39.060139970198861</v>
      </c>
      <c r="Q38" s="480">
        <f>'DCF - Financials'!P91+'DCF - Financials'!P92</f>
        <v>48.293284604165819</v>
      </c>
      <c r="R38" s="480">
        <f>'DCF - Financials'!Q91+'DCF - Financials'!Q92</f>
        <v>56.970766452697262</v>
      </c>
      <c r="S38" s="480">
        <f>'DCF - Financials'!R91+'DCF - Financials'!R92</f>
        <v>50.366550174032454</v>
      </c>
      <c r="T38" s="480">
        <f>'DCF - Financials'!S91+'DCF - Financials'!S92</f>
        <v>54.084952729149336</v>
      </c>
      <c r="V38" s="5">
        <v>1</v>
      </c>
      <c r="W38" s="24">
        <v>1</v>
      </c>
      <c r="X38" s="2"/>
    </row>
    <row r="39" spans="3:24">
      <c r="C39" s="475" t="s">
        <v>1140</v>
      </c>
      <c r="D39" s="475"/>
      <c r="E39" s="475"/>
      <c r="F39" s="475"/>
      <c r="G39" s="480"/>
      <c r="H39" s="480">
        <f>'DCF - Assumptions'!G197</f>
        <v>0</v>
      </c>
      <c r="I39" s="480">
        <f>'DCF - Assumptions'!H197</f>
        <v>27.8</v>
      </c>
      <c r="J39" s="480">
        <f>'DCF - Assumptions'!I197</f>
        <v>55.9</v>
      </c>
      <c r="K39" s="480">
        <f>'DCF - Assumptions'!J197</f>
        <v>-64.2</v>
      </c>
      <c r="L39" s="480">
        <f>'DCF - Assumptions'!K197</f>
        <v>-43.400000000000006</v>
      </c>
      <c r="M39" s="480">
        <f>'DCF - Assumptions'!L197</f>
        <v>0</v>
      </c>
      <c r="N39" s="480">
        <f>'DCF - Assumptions'!M197</f>
        <v>0</v>
      </c>
      <c r="O39" s="480">
        <f>'DCF - Assumptions'!N197</f>
        <v>0</v>
      </c>
      <c r="P39" s="480">
        <f>'DCF - Assumptions'!O197</f>
        <v>0</v>
      </c>
      <c r="Q39" s="480">
        <f>'DCF - Assumptions'!P197</f>
        <v>0</v>
      </c>
      <c r="R39" s="480">
        <f>'DCF - Assumptions'!Q197</f>
        <v>0</v>
      </c>
      <c r="S39" s="480">
        <f>'DCF - Assumptions'!R197</f>
        <v>0</v>
      </c>
      <c r="T39" s="480">
        <f>'DCF - Assumptions'!S197</f>
        <v>0</v>
      </c>
      <c r="V39" s="5">
        <v>1</v>
      </c>
      <c r="W39" s="24">
        <v>1</v>
      </c>
      <c r="X39" s="2"/>
    </row>
    <row r="40" spans="3:24">
      <c r="C40" s="484" t="s">
        <v>1141</v>
      </c>
      <c r="D40" s="476"/>
      <c r="E40" s="476"/>
      <c r="F40" s="476"/>
      <c r="G40" s="476"/>
      <c r="H40" s="476">
        <f>SUM(H36:H39)</f>
        <v>129.19100000000003</v>
      </c>
      <c r="I40" s="476">
        <f t="shared" ref="I40:T40" si="10">SUM(I36:I39)</f>
        <v>-1918.6990000000003</v>
      </c>
      <c r="J40" s="476">
        <f t="shared" si="10"/>
        <v>334.03399999999999</v>
      </c>
      <c r="K40" s="476">
        <f t="shared" si="10"/>
        <v>-86.400999999999968</v>
      </c>
      <c r="L40" s="476">
        <f t="shared" si="10"/>
        <v>120.07099999999983</v>
      </c>
      <c r="M40" s="476">
        <f t="shared" si="10"/>
        <v>652.6001958596346</v>
      </c>
      <c r="N40" s="476">
        <f t="shared" si="10"/>
        <v>166.20672521255062</v>
      </c>
      <c r="O40" s="476">
        <f t="shared" si="10"/>
        <v>104.11730489691062</v>
      </c>
      <c r="P40" s="476">
        <f t="shared" si="10"/>
        <v>209.01758026534785</v>
      </c>
      <c r="Q40" s="476">
        <f t="shared" si="10"/>
        <v>287.18680527605352</v>
      </c>
      <c r="R40" s="476">
        <f t="shared" si="10"/>
        <v>370.37932677915967</v>
      </c>
      <c r="S40" s="476">
        <f t="shared" si="10"/>
        <v>436.0763370142559</v>
      </c>
      <c r="T40" s="476">
        <f t="shared" si="10"/>
        <v>556.62695889344513</v>
      </c>
      <c r="V40" s="5">
        <v>1</v>
      </c>
      <c r="W40" s="24">
        <v>1</v>
      </c>
      <c r="X40" s="2"/>
    </row>
    <row r="41" spans="3:24">
      <c r="C41" s="475" t="s">
        <v>1142</v>
      </c>
      <c r="D41" s="475"/>
      <c r="E41" s="475"/>
      <c r="F41" s="475"/>
      <c r="G41" s="480"/>
      <c r="H41" s="480">
        <f>'DCF - Financials'!G90+'DCF - Financials'!G89</f>
        <v>0.104</v>
      </c>
      <c r="I41" s="480">
        <f>'DCF - Financials'!H90+'DCF - Financials'!H89</f>
        <v>0</v>
      </c>
      <c r="J41" s="480">
        <f>'DCF - Financials'!I90+'DCF - Financials'!I89</f>
        <v>366.7170000000001</v>
      </c>
      <c r="K41" s="480">
        <f>'DCF - Financials'!J90+'DCF - Financials'!J89</f>
        <v>0</v>
      </c>
      <c r="L41" s="480">
        <f>'DCF - Financials'!K90+'DCF - Financials'!K89</f>
        <v>-112.83</v>
      </c>
      <c r="M41" s="480">
        <f>'DCF - Financials'!L90+'DCF - Financials'!L89</f>
        <v>0</v>
      </c>
      <c r="N41" s="480">
        <f>'DCF - Financials'!M90+'DCF - Financials'!M89</f>
        <v>0</v>
      </c>
      <c r="O41" s="480">
        <f>'DCF - Financials'!N90+'DCF - Financials'!N89</f>
        <v>0</v>
      </c>
      <c r="P41" s="480">
        <f>'DCF - Financials'!O90+'DCF - Financials'!O89</f>
        <v>0</v>
      </c>
      <c r="Q41" s="480">
        <f>'DCF - Financials'!P90+'DCF - Financials'!P89</f>
        <v>0</v>
      </c>
      <c r="R41" s="480">
        <f>'DCF - Financials'!Q90+'DCF - Financials'!Q89</f>
        <v>0</v>
      </c>
      <c r="S41" s="480">
        <f>'DCF - Financials'!R90+'DCF - Financials'!R89</f>
        <v>0</v>
      </c>
      <c r="T41" s="480">
        <f>'DCF - Financials'!S90+'DCF - Financials'!S89</f>
        <v>0</v>
      </c>
      <c r="V41" s="5">
        <v>1</v>
      </c>
      <c r="W41" s="24">
        <v>1</v>
      </c>
      <c r="X41" s="2"/>
    </row>
    <row r="42" spans="3:24">
      <c r="C42" s="475" t="s">
        <v>1143</v>
      </c>
      <c r="D42" s="475"/>
      <c r="E42" s="475"/>
      <c r="F42" s="475"/>
      <c r="G42" s="480"/>
      <c r="H42" s="480">
        <f>'DCF - Capital Structure'!G163</f>
        <v>-23.359000000000002</v>
      </c>
      <c r="I42" s="480">
        <f>'DCF - Capital Structure'!H163</f>
        <v>-360</v>
      </c>
      <c r="J42" s="480">
        <f>'DCF - Capital Structure'!I163</f>
        <v>0</v>
      </c>
      <c r="K42" s="480">
        <f>'DCF - Capital Structure'!J163</f>
        <v>0</v>
      </c>
      <c r="L42" s="480">
        <f>'DCF - Capital Structure'!K163</f>
        <v>0</v>
      </c>
      <c r="M42" s="480">
        <f>'DCF - Capital Structure'!L163</f>
        <v>0</v>
      </c>
      <c r="N42" s="480">
        <f>'DCF - Capital Structure'!M163</f>
        <v>0</v>
      </c>
      <c r="O42" s="480">
        <f>'DCF - Capital Structure'!N163</f>
        <v>0</v>
      </c>
      <c r="P42" s="480">
        <f>'DCF - Capital Structure'!O163</f>
        <v>0</v>
      </c>
      <c r="Q42" s="480">
        <f>'DCF - Capital Structure'!P163</f>
        <v>0</v>
      </c>
      <c r="R42" s="480">
        <f>'DCF - Capital Structure'!Q163</f>
        <v>0</v>
      </c>
      <c r="S42" s="480">
        <f>'DCF - Capital Structure'!R163</f>
        <v>0</v>
      </c>
      <c r="T42" s="480">
        <f>'DCF - Capital Structure'!S163</f>
        <v>0</v>
      </c>
      <c r="V42" s="5">
        <v>1</v>
      </c>
      <c r="W42" s="24">
        <v>1</v>
      </c>
      <c r="X42" s="2"/>
    </row>
    <row r="43" spans="3:24">
      <c r="C43" s="475" t="s">
        <v>1144</v>
      </c>
      <c r="D43" s="475"/>
      <c r="E43" s="475"/>
      <c r="F43" s="475"/>
      <c r="G43" s="480"/>
      <c r="H43" s="480">
        <f>'DCF - Financials'!G93</f>
        <v>-41.989000000000004</v>
      </c>
      <c r="I43" s="480">
        <f>'DCF - Financials'!H93</f>
        <v>2381.2359999999999</v>
      </c>
      <c r="J43" s="480">
        <f>'DCF - Financials'!I93</f>
        <v>-8.7929999999999993</v>
      </c>
      <c r="K43" s="480">
        <f>'DCF - Financials'!J93</f>
        <v>-9.2040000000000006</v>
      </c>
      <c r="L43" s="480">
        <f>'DCF - Financials'!K93</f>
        <v>-80.311000000000007</v>
      </c>
      <c r="M43" s="480">
        <f>'DCF - Financials'!L93</f>
        <v>0</v>
      </c>
      <c r="N43" s="480">
        <f>'DCF - Financials'!M93</f>
        <v>0</v>
      </c>
      <c r="O43" s="480">
        <f>'DCF - Financials'!N93</f>
        <v>0</v>
      </c>
      <c r="P43" s="480">
        <f>'DCF - Financials'!O93</f>
        <v>0</v>
      </c>
      <c r="Q43" s="480">
        <f>'DCF - Financials'!P93</f>
        <v>0</v>
      </c>
      <c r="R43" s="480">
        <f>'DCF - Financials'!Q93</f>
        <v>0</v>
      </c>
      <c r="S43" s="480">
        <f>'DCF - Financials'!R93</f>
        <v>0</v>
      </c>
      <c r="T43" s="480">
        <f>'DCF - Financials'!S93</f>
        <v>0</v>
      </c>
      <c r="V43" s="5">
        <v>1</v>
      </c>
      <c r="W43" s="24">
        <v>1</v>
      </c>
      <c r="X43" s="2"/>
    </row>
    <row r="44" spans="3:24">
      <c r="C44" s="484" t="s">
        <v>1145</v>
      </c>
      <c r="D44" s="484"/>
      <c r="E44" s="484"/>
      <c r="F44" s="484"/>
      <c r="G44" s="476"/>
      <c r="H44" s="476">
        <f>SUM(H40:H43)</f>
        <v>63.947000000000031</v>
      </c>
      <c r="I44" s="476">
        <f t="shared" ref="I44:T44" si="11">SUM(I40:I43)</f>
        <v>102.53699999999935</v>
      </c>
      <c r="J44" s="476">
        <f t="shared" si="11"/>
        <v>691.95800000000008</v>
      </c>
      <c r="K44" s="476">
        <f t="shared" si="11"/>
        <v>-95.604999999999961</v>
      </c>
      <c r="L44" s="476">
        <f t="shared" si="11"/>
        <v>-73.070000000000178</v>
      </c>
      <c r="M44" s="476">
        <f t="shared" si="11"/>
        <v>652.6001958596346</v>
      </c>
      <c r="N44" s="476">
        <f t="shared" si="11"/>
        <v>166.20672521255062</v>
      </c>
      <c r="O44" s="476">
        <f t="shared" si="11"/>
        <v>104.11730489691062</v>
      </c>
      <c r="P44" s="476">
        <f t="shared" si="11"/>
        <v>209.01758026534785</v>
      </c>
      <c r="Q44" s="476">
        <f t="shared" si="11"/>
        <v>287.18680527605352</v>
      </c>
      <c r="R44" s="476">
        <f t="shared" si="11"/>
        <v>370.37932677915967</v>
      </c>
      <c r="S44" s="476">
        <f t="shared" si="11"/>
        <v>436.0763370142559</v>
      </c>
      <c r="T44" s="476">
        <f t="shared" si="11"/>
        <v>556.62695889344513</v>
      </c>
      <c r="V44" s="5">
        <v>1</v>
      </c>
      <c r="W44" s="24">
        <v>1</v>
      </c>
      <c r="X44" s="1"/>
    </row>
    <row r="45" spans="3:24">
      <c r="C45" s="485"/>
      <c r="D45" s="485"/>
      <c r="E45" s="485"/>
      <c r="F45" s="485"/>
      <c r="G45" s="486"/>
      <c r="H45" s="486"/>
      <c r="I45" s="486"/>
      <c r="J45" s="486"/>
      <c r="K45" s="486"/>
      <c r="L45" s="486"/>
      <c r="M45" s="486"/>
      <c r="N45" s="486"/>
      <c r="O45" s="486"/>
      <c r="P45" s="486"/>
      <c r="Q45" s="486"/>
      <c r="R45" s="486"/>
      <c r="S45" s="486"/>
      <c r="T45" s="486"/>
      <c r="V45" s="5">
        <v>0</v>
      </c>
      <c r="W45" s="24">
        <v>0</v>
      </c>
      <c r="X45" s="1"/>
    </row>
    <row r="46" spans="3:24">
      <c r="C46" s="484" t="s">
        <v>1146</v>
      </c>
      <c r="D46" s="476"/>
      <c r="E46" s="476"/>
      <c r="F46" s="476"/>
      <c r="G46" s="476"/>
      <c r="H46" s="476">
        <f>'DCF - Financials'!G116</f>
        <v>57.448999999999998</v>
      </c>
      <c r="I46" s="476">
        <f>'DCF - Financials'!H116</f>
        <v>128.029</v>
      </c>
      <c r="J46" s="476">
        <f>'DCF - Financials'!I116</f>
        <v>369.17500000000001</v>
      </c>
      <c r="K46" s="476">
        <f>'DCF - Financials'!J116</f>
        <v>402.55900000000003</v>
      </c>
      <c r="L46" s="476">
        <f>'DCF - Financials'!K116</f>
        <v>355.642</v>
      </c>
      <c r="M46" s="476">
        <f>'DCF - Financials'!L116</f>
        <v>1008.2421958596346</v>
      </c>
      <c r="N46" s="476">
        <f>'DCF - Financials'!M116</f>
        <v>1174.4489210721854</v>
      </c>
      <c r="O46" s="476">
        <f>'DCF - Financials'!N116</f>
        <v>1278.566225969096</v>
      </c>
      <c r="P46" s="476">
        <f>'DCF - Financials'!O116</f>
        <v>1487.5838062344437</v>
      </c>
      <c r="Q46" s="476">
        <f>'DCF - Financials'!P116</f>
        <v>1774.7706115104972</v>
      </c>
      <c r="R46" s="476">
        <f>'DCF - Financials'!Q116</f>
        <v>2145.1499382896568</v>
      </c>
      <c r="S46" s="476">
        <f>'DCF - Financials'!R116</f>
        <v>2581.2262753039131</v>
      </c>
      <c r="T46" s="476">
        <f>'DCF - Financials'!S116</f>
        <v>3137.8532341973582</v>
      </c>
      <c r="V46" s="5">
        <v>1</v>
      </c>
      <c r="W46" s="24">
        <v>1</v>
      </c>
      <c r="X46" s="1"/>
    </row>
    <row r="47" spans="3:24">
      <c r="C47" s="662" t="s">
        <v>1147</v>
      </c>
      <c r="D47" s="655"/>
      <c r="E47" s="655"/>
      <c r="F47" s="655"/>
      <c r="G47" s="655"/>
      <c r="H47" s="655">
        <f>'DCF - Financials'!G131+'DCF - Financials'!G137</f>
        <v>8.0660000000000007</v>
      </c>
      <c r="I47" s="655">
        <f>'DCF - Financials'!H131+'DCF - Financials'!H137</f>
        <v>844.61699999999996</v>
      </c>
      <c r="J47" s="655">
        <f>'DCF - Financials'!I131+'DCF - Financials'!I137</f>
        <v>642.4</v>
      </c>
      <c r="K47" s="655">
        <f>'DCF - Financials'!J131+'DCF - Financials'!J137</f>
        <v>622.58999999999992</v>
      </c>
      <c r="L47" s="655">
        <f>'DCF - Financials'!K131+'DCF - Financials'!K137</f>
        <v>619.78700000000003</v>
      </c>
      <c r="M47" s="655">
        <f>'DCF - Financials'!L131+'DCF - Financials'!L137</f>
        <v>1187.4392675541012</v>
      </c>
      <c r="N47" s="655">
        <f>'DCF - Financials'!M131+'DCF - Financials'!M137</f>
        <v>1266.4634249478702</v>
      </c>
      <c r="O47" s="655">
        <f>'DCF - Financials'!N131+'DCF - Financials'!N137</f>
        <v>1297.435856671842</v>
      </c>
      <c r="P47" s="655">
        <f>'DCF - Financials'!O131+'DCF - Financials'!O137</f>
        <v>1338.0308821185363</v>
      </c>
      <c r="Q47" s="655">
        <f>'DCF - Financials'!P131+'DCF - Financials'!P137</f>
        <v>1399.7951333372018</v>
      </c>
      <c r="R47" s="655">
        <f>'DCF - Financials'!Q131+'DCF - Financials'!Q137</f>
        <v>1477.63035719652</v>
      </c>
      <c r="S47" s="655">
        <f>'DCF - Financials'!R131+'DCF - Financials'!R137</f>
        <v>1543.6126007956545</v>
      </c>
      <c r="T47" s="655">
        <f>'DCF - Financials'!S131+'DCF - Financials'!S137</f>
        <v>1615.2714838905767</v>
      </c>
      <c r="V47" s="5">
        <v>1</v>
      </c>
      <c r="W47" s="24">
        <v>1</v>
      </c>
      <c r="X47" s="1"/>
    </row>
    <row r="48" spans="3:24">
      <c r="C48" s="662" t="s">
        <v>1148</v>
      </c>
      <c r="D48" s="655"/>
      <c r="E48" s="655"/>
      <c r="F48" s="655"/>
      <c r="G48" s="655"/>
      <c r="H48" s="655">
        <f>H47-H46</f>
        <v>-49.382999999999996</v>
      </c>
      <c r="I48" s="655">
        <f t="shared" ref="I48:T48" si="12">I47-I46</f>
        <v>716.58799999999997</v>
      </c>
      <c r="J48" s="655">
        <f t="shared" si="12"/>
        <v>273.22499999999997</v>
      </c>
      <c r="K48" s="655">
        <f t="shared" si="12"/>
        <v>220.03099999999989</v>
      </c>
      <c r="L48" s="655">
        <f t="shared" si="12"/>
        <v>264.14500000000004</v>
      </c>
      <c r="M48" s="655">
        <f t="shared" si="12"/>
        <v>179.19707169446656</v>
      </c>
      <c r="N48" s="655">
        <f t="shared" si="12"/>
        <v>92.014503875684795</v>
      </c>
      <c r="O48" s="655">
        <f t="shared" si="12"/>
        <v>18.869630702746008</v>
      </c>
      <c r="P48" s="655">
        <f t="shared" si="12"/>
        <v>-149.55292411590744</v>
      </c>
      <c r="Q48" s="655">
        <f t="shared" si="12"/>
        <v>-374.97547817329541</v>
      </c>
      <c r="R48" s="655">
        <f t="shared" si="12"/>
        <v>-667.51958109313682</v>
      </c>
      <c r="S48" s="655">
        <f t="shared" si="12"/>
        <v>-1037.6136745082586</v>
      </c>
      <c r="T48" s="655">
        <f t="shared" si="12"/>
        <v>-1522.5817503067815</v>
      </c>
      <c r="V48" s="5">
        <v>1</v>
      </c>
      <c r="W48" s="24">
        <v>1</v>
      </c>
      <c r="X48" s="1"/>
    </row>
    <row r="49" spans="3:24">
      <c r="C49" s="951" t="s">
        <v>683</v>
      </c>
      <c r="D49" s="952"/>
      <c r="E49" s="952"/>
      <c r="F49" s="952"/>
      <c r="G49" s="952"/>
      <c r="H49" s="952">
        <f>'DCF - Capital Structure'!G64</f>
        <v>0</v>
      </c>
      <c r="I49" s="952">
        <f>'DCF - Capital Structure'!H64</f>
        <v>0</v>
      </c>
      <c r="J49" s="952">
        <f>'DCF - Capital Structure'!I64</f>
        <v>-24.574000000000002</v>
      </c>
      <c r="K49" s="952">
        <f>'DCF - Capital Structure'!J64</f>
        <v>-24.062999999999999</v>
      </c>
      <c r="L49" s="952">
        <f>'DCF - Capital Structure'!K64</f>
        <v>-21.533999999999999</v>
      </c>
      <c r="M49" s="952">
        <f>'DCF - Capital Structure'!L64</f>
        <v>-15.917907005916643</v>
      </c>
      <c r="N49" s="952">
        <f>'DCF - Capital Structure'!M64</f>
        <v>-37.628806331896669</v>
      </c>
      <c r="O49" s="952">
        <f>'DCF - Capital Structure'!N64</f>
        <v>-40.699036577630025</v>
      </c>
      <c r="P49" s="952">
        <f>'DCF - Capital Structure'!O64</f>
        <v>-39.921196879075609</v>
      </c>
      <c r="Q49" s="952">
        <f>'DCF - Capital Structure'!P64</f>
        <v>-40.075881349607457</v>
      </c>
      <c r="R49" s="952">
        <f>'DCF - Capital Structure'!Q64</f>
        <v>-43.178763808394621</v>
      </c>
      <c r="S49" s="952">
        <f>'DCF - Capital Structure'!R64</f>
        <v>-44.822751097855573</v>
      </c>
      <c r="T49" s="952">
        <f>'DCF - Capital Structure'!S64</f>
        <v>-45.979716794577101</v>
      </c>
      <c r="V49" s="5">
        <v>1</v>
      </c>
      <c r="W49" s="24">
        <v>1</v>
      </c>
      <c r="X49" s="1"/>
    </row>
    <row r="50" spans="3:24">
      <c r="C50" s="507"/>
      <c r="D50" s="487"/>
      <c r="E50" s="487"/>
      <c r="F50" s="487"/>
      <c r="G50" s="487"/>
      <c r="H50" s="487"/>
      <c r="I50" s="487"/>
      <c r="J50" s="487"/>
      <c r="K50" s="487"/>
      <c r="L50" s="487"/>
      <c r="M50" s="487"/>
      <c r="N50" s="487"/>
      <c r="O50" s="487"/>
      <c r="P50" s="487"/>
      <c r="Q50" s="487"/>
      <c r="R50" s="487"/>
      <c r="S50" s="487"/>
      <c r="T50" s="487"/>
      <c r="V50" s="5">
        <v>0</v>
      </c>
      <c r="W50" s="24">
        <v>0</v>
      </c>
      <c r="X50" s="1"/>
    </row>
    <row r="51" spans="3:24">
      <c r="C51" s="675" t="s">
        <v>1149</v>
      </c>
      <c r="D51" s="676"/>
      <c r="E51" s="676"/>
      <c r="F51" s="676"/>
      <c r="G51" s="677"/>
      <c r="H51" s="677">
        <f t="shared" ref="H51:T51" si="13">IFERROR(H48/H31,0)</f>
        <v>-0.40529361073495013</v>
      </c>
      <c r="I51" s="677">
        <f t="shared" si="13"/>
        <v>34.511076863802664</v>
      </c>
      <c r="J51" s="677">
        <f t="shared" si="13"/>
        <v>4.0057617874736069</v>
      </c>
      <c r="K51" s="677">
        <f t="shared" si="13"/>
        <v>3.4651096867667168</v>
      </c>
      <c r="L51" s="677">
        <f t="shared" si="13"/>
        <v>1.1581040318479168</v>
      </c>
      <c r="M51" s="677">
        <f t="shared" si="13"/>
        <v>1.7171766512010151</v>
      </c>
      <c r="N51" s="677">
        <f t="shared" si="13"/>
        <v>1.4798687356663554</v>
      </c>
      <c r="O51" s="677">
        <f t="shared" si="13"/>
        <v>0.19462600105301195</v>
      </c>
      <c r="P51" s="677">
        <f t="shared" si="13"/>
        <v>-0.91002101266026858</v>
      </c>
      <c r="Q51" s="677">
        <f t="shared" si="13"/>
        <v>-1.532466275376358</v>
      </c>
      <c r="R51" s="677">
        <f t="shared" si="13"/>
        <v>-2.6074572487356829</v>
      </c>
      <c r="S51" s="677">
        <f t="shared" si="13"/>
        <v>-3.2401812243006067</v>
      </c>
      <c r="T51" s="678">
        <f t="shared" si="13"/>
        <v>-3.5081418105309745</v>
      </c>
      <c r="V51" s="5">
        <v>1</v>
      </c>
      <c r="W51" s="24">
        <v>1</v>
      </c>
      <c r="X51" s="1"/>
    </row>
    <row r="52" spans="3:24">
      <c r="C52" s="679" t="s">
        <v>1150</v>
      </c>
      <c r="D52" s="680"/>
      <c r="E52" s="680"/>
      <c r="F52" s="680"/>
      <c r="G52" s="681"/>
      <c r="H52" s="681">
        <f>IFERROR(-H31/H49,0)</f>
        <v>0</v>
      </c>
      <c r="I52" s="681">
        <f t="shared" ref="I52:T52" si="14">IFERROR(-I31/I49,0)</f>
        <v>0</v>
      </c>
      <c r="J52" s="681">
        <f t="shared" si="14"/>
        <v>2.7756165052494519</v>
      </c>
      <c r="K52" s="681">
        <f t="shared" si="14"/>
        <v>2.6388646469683765</v>
      </c>
      <c r="L52" s="681">
        <f t="shared" si="14"/>
        <v>10.591808303148502</v>
      </c>
      <c r="M52" s="681">
        <f t="shared" si="14"/>
        <v>6.555864528092739</v>
      </c>
      <c r="N52" s="681">
        <f t="shared" si="14"/>
        <v>1.6523903570526217</v>
      </c>
      <c r="O52" s="681">
        <f t="shared" si="14"/>
        <v>2.3822010543862251</v>
      </c>
      <c r="P52" s="681">
        <f t="shared" si="14"/>
        <v>4.1166119944485571</v>
      </c>
      <c r="Q52" s="681">
        <f t="shared" si="14"/>
        <v>6.1056071826212204</v>
      </c>
      <c r="R52" s="681">
        <f t="shared" si="14"/>
        <v>5.928933903606211</v>
      </c>
      <c r="S52" s="681">
        <f t="shared" si="14"/>
        <v>7.1444347908739969</v>
      </c>
      <c r="T52" s="681">
        <f t="shared" si="14"/>
        <v>9.4392434537932015</v>
      </c>
      <c r="V52" s="5">
        <v>1</v>
      </c>
      <c r="W52" s="24">
        <v>1</v>
      </c>
      <c r="X52" s="1"/>
    </row>
    <row r="53" spans="3:24">
      <c r="C53" s="491"/>
      <c r="D53" s="475"/>
      <c r="E53" s="475"/>
      <c r="F53" s="475"/>
      <c r="G53" s="480"/>
      <c r="H53" s="480"/>
      <c r="I53" s="480"/>
      <c r="J53" s="480"/>
      <c r="K53" s="480"/>
      <c r="L53" s="480"/>
      <c r="M53" s="480"/>
      <c r="N53" s="480"/>
      <c r="O53" s="480"/>
      <c r="P53" s="480"/>
      <c r="Q53" s="480"/>
      <c r="R53" s="480"/>
      <c r="S53" s="480"/>
      <c r="T53" s="480"/>
      <c r="V53" s="5">
        <v>0</v>
      </c>
      <c r="W53" s="24">
        <v>0</v>
      </c>
      <c r="X53" s="1"/>
    </row>
    <row r="54" spans="3:24">
      <c r="C54" s="663" t="s">
        <v>1151</v>
      </c>
      <c r="D54" s="656"/>
      <c r="E54" s="656"/>
      <c r="F54" s="656"/>
      <c r="G54" s="488"/>
      <c r="H54" s="488" t="str">
        <f>'DCF - Assumptions (old)'!G197</f>
        <v>n.a.</v>
      </c>
      <c r="I54" s="488">
        <f>'DCF - Assumptions (old)'!H197</f>
        <v>2909.3</v>
      </c>
      <c r="J54" s="488">
        <f>'DCF - Assumptions (old)'!I197</f>
        <v>213.7</v>
      </c>
      <c r="K54" s="488">
        <f>'DCF - Assumptions (old)'!J197</f>
        <v>129.4</v>
      </c>
      <c r="L54" s="488">
        <f>'DCF - Assumptions (old)'!K197</f>
        <v>134.9</v>
      </c>
      <c r="M54" s="657">
        <f>'DCF - Assumptions (old)'!L197</f>
        <v>141.9</v>
      </c>
      <c r="N54" s="657">
        <f>'DCF - Assumptions (old)'!M197</f>
        <v>148.9</v>
      </c>
      <c r="O54" s="657">
        <f>'DCF - Assumptions (old)'!N197</f>
        <v>155.9</v>
      </c>
      <c r="P54" s="657">
        <f>'DCF - Assumptions (old)'!O197</f>
        <v>162.9</v>
      </c>
      <c r="Q54" s="657">
        <f>'DCF - Assumptions (old)'!P197</f>
        <v>169.9</v>
      </c>
      <c r="R54" s="657">
        <f>'DCF - Assumptions (old)'!Q197</f>
        <v>176.9</v>
      </c>
      <c r="S54" s="657">
        <f>'DCF - Assumptions (old)'!R197</f>
        <v>183.9</v>
      </c>
      <c r="T54" s="657">
        <f>'DCF - Assumptions (old)'!S197</f>
        <v>190.9</v>
      </c>
      <c r="V54" s="5">
        <v>1</v>
      </c>
      <c r="W54" s="24">
        <v>1</v>
      </c>
      <c r="X54" s="1"/>
    </row>
    <row r="55" spans="3:24">
      <c r="C55" s="663" t="str">
        <f>'DCF - Financials'!C40</f>
        <v>Diluted adjusted earnings (loss) per share attributable to parent company</v>
      </c>
      <c r="D55" s="656"/>
      <c r="E55" s="656"/>
      <c r="F55" s="656"/>
      <c r="G55" s="664"/>
      <c r="H55" s="1291" t="str">
        <f>'DCF - Financials'!G40</f>
        <v>n.a.</v>
      </c>
      <c r="I55" s="1291">
        <f>'DCF - Financials'!H40</f>
        <v>-5.0000687450589471E-2</v>
      </c>
      <c r="J55" s="1291">
        <f>'DCF - Financials'!I40</f>
        <v>1.4497660271408517</v>
      </c>
      <c r="K55" s="1291">
        <f>'DCF - Financials'!J40</f>
        <v>-0.61627511591962858</v>
      </c>
      <c r="L55" s="1291">
        <f>'DCF - Financials'!K40</f>
        <v>-3.1230541141587683E-2</v>
      </c>
      <c r="M55" s="1291">
        <f>'DCF - Financials'!L40</f>
        <v>-1.1154250706404698</v>
      </c>
      <c r="N55" s="1291">
        <f>'DCF - Financials'!M40</f>
        <v>-1.5871112778629641</v>
      </c>
      <c r="O55" s="1291">
        <f>'DCF - Financials'!N40</f>
        <v>-1.9019464969972268</v>
      </c>
      <c r="P55" s="1291">
        <f>'DCF - Financials'!O40</f>
        <v>-1.9092093993188315</v>
      </c>
      <c r="Q55" s="1291">
        <f>'DCF - Financials'!P40</f>
        <v>-2.2291492725366449</v>
      </c>
      <c r="R55" s="1291">
        <f>'DCF - Financials'!Q40</f>
        <v>-3.0117312442603175</v>
      </c>
      <c r="S55" s="1291">
        <f>'DCF - Financials'!R40</f>
        <v>-3.8112083627210493</v>
      </c>
      <c r="T55" s="1291">
        <f>'DCF - Financials'!S40</f>
        <v>-4.6113960090385726</v>
      </c>
      <c r="V55" s="5">
        <v>1</v>
      </c>
      <c r="W55" s="24">
        <v>1</v>
      </c>
      <c r="X55" s="1"/>
    </row>
    <row r="56" spans="3:24">
      <c r="C56" s="475"/>
      <c r="D56" s="475"/>
      <c r="E56" s="475"/>
      <c r="F56" s="475"/>
      <c r="G56" s="480" t="s">
        <v>1152</v>
      </c>
      <c r="H56" s="480"/>
      <c r="I56" s="480"/>
      <c r="J56" s="480"/>
      <c r="K56" s="480"/>
      <c r="L56" s="480"/>
      <c r="M56" s="480"/>
      <c r="N56" s="480"/>
      <c r="O56" s="480"/>
      <c r="P56" s="480"/>
      <c r="Q56" s="480"/>
      <c r="R56" s="480"/>
      <c r="S56" s="480"/>
      <c r="T56" s="953"/>
      <c r="V56" s="5">
        <v>0</v>
      </c>
      <c r="W56" s="24">
        <v>0</v>
      </c>
      <c r="X56" s="1"/>
    </row>
    <row r="57" spans="3:24">
      <c r="C57" s="489" t="s">
        <v>1153</v>
      </c>
      <c r="D57" s="485"/>
      <c r="E57" s="485"/>
      <c r="F57" s="485"/>
      <c r="G57" s="486"/>
      <c r="H57" s="486"/>
      <c r="I57" s="486"/>
      <c r="J57" s="486"/>
      <c r="K57" s="486"/>
      <c r="L57" s="486"/>
      <c r="M57" s="486" t="str">
        <f>IF(ROUND(M44-'DCF - Financials'!L99,1)=0,"OK", M44-'DCF - Financials'!L99)</f>
        <v>OK</v>
      </c>
      <c r="N57" s="486" t="str">
        <f>IF(ROUND(N44-'DCF - Financials'!M99,1)=0,"OK", N44-'DCF - Financials'!M99)</f>
        <v>OK</v>
      </c>
      <c r="O57" s="486" t="str">
        <f>IF(ROUND(O44-'DCF - Financials'!N99,1)=0,"OK", O44-'DCF - Financials'!N99)</f>
        <v>OK</v>
      </c>
      <c r="P57" s="486" t="str">
        <f>IF(ROUND(P44-'DCF - Financials'!O99,1)=0,"OK", P44-'DCF - Financials'!O99)</f>
        <v>OK</v>
      </c>
      <c r="Q57" s="486" t="str">
        <f>IF(ROUND(Q44-'DCF - Financials'!P99,1)=0,"OK", Q44-'DCF - Financials'!P99)</f>
        <v>OK</v>
      </c>
      <c r="R57" s="486" t="str">
        <f>IF(ROUND(R44-'DCF - Financials'!Q99,1)=0,"OK", R44-'DCF - Financials'!Q99)</f>
        <v>OK</v>
      </c>
      <c r="S57" s="486" t="str">
        <f>IF(ROUND(S44-'DCF - Financials'!R99,1)=0,"OK", S44-'DCF - Financials'!R99)</f>
        <v>OK</v>
      </c>
      <c r="T57" s="490" t="str">
        <f>IF(ROUND(T44-'DCF - Financials'!S99,1)=0,"OK", T44-'DCF - Financials'!S99)</f>
        <v>OK</v>
      </c>
      <c r="V57" s="5">
        <v>1</v>
      </c>
      <c r="W57" s="24">
        <v>1</v>
      </c>
      <c r="X57" s="1"/>
    </row>
    <row r="58" spans="3:24">
      <c r="C58" s="491"/>
      <c r="D58" s="492"/>
      <c r="E58" s="492"/>
      <c r="F58" s="492"/>
      <c r="G58" s="492"/>
      <c r="H58" s="492"/>
      <c r="I58" s="492"/>
      <c r="J58" s="492"/>
      <c r="K58" s="492"/>
      <c r="L58" s="492"/>
      <c r="M58" s="492"/>
      <c r="N58" s="492"/>
      <c r="O58" s="492"/>
      <c r="P58" s="492"/>
      <c r="Q58" s="492"/>
      <c r="R58" s="492"/>
      <c r="S58" s="492"/>
      <c r="T58" s="492"/>
      <c r="V58" s="5">
        <v>0</v>
      </c>
      <c r="W58" s="24">
        <v>0</v>
      </c>
      <c r="X58" s="2"/>
    </row>
    <row r="59" spans="3:24">
      <c r="C59" s="491"/>
      <c r="D59" s="492"/>
      <c r="E59" s="492"/>
      <c r="F59" s="492"/>
      <c r="G59" s="492"/>
      <c r="H59" s="492"/>
      <c r="I59" s="492"/>
      <c r="J59" s="492"/>
      <c r="K59" s="492"/>
      <c r="L59" s="492"/>
      <c r="M59" s="492"/>
      <c r="N59" s="492"/>
      <c r="O59" s="492"/>
      <c r="P59" s="492"/>
      <c r="Q59" s="492"/>
      <c r="R59" s="492"/>
      <c r="S59" s="492"/>
      <c r="T59" s="492"/>
      <c r="V59" s="5">
        <v>0</v>
      </c>
      <c r="W59" s="24">
        <v>0</v>
      </c>
      <c r="X59" s="2"/>
    </row>
    <row r="60" spans="3:24">
      <c r="C60" s="1147" t="s">
        <v>1154</v>
      </c>
      <c r="D60" s="1148"/>
      <c r="E60" s="1148" t="s">
        <v>1155</v>
      </c>
      <c r="F60" s="1148" t="s">
        <v>1155</v>
      </c>
      <c r="G60" s="1148"/>
      <c r="H60" s="1148"/>
      <c r="I60" s="1148"/>
      <c r="J60" s="1148"/>
      <c r="K60" s="1148"/>
      <c r="L60" s="1148"/>
      <c r="M60" s="1148"/>
      <c r="N60" s="1148"/>
      <c r="O60" s="1148"/>
      <c r="P60" s="1148"/>
      <c r="Q60" s="1148"/>
      <c r="R60" s="1148"/>
      <c r="S60" s="1148"/>
      <c r="T60" s="1148"/>
      <c r="V60" s="5">
        <v>1</v>
      </c>
      <c r="W60" s="24">
        <v>1</v>
      </c>
      <c r="X60" s="1"/>
    </row>
    <row r="61" spans="3:24">
      <c r="C61" s="475"/>
      <c r="D61" s="475"/>
      <c r="E61" s="475"/>
      <c r="F61" s="475"/>
      <c r="G61" s="475"/>
      <c r="H61" s="475"/>
      <c r="I61" s="475"/>
      <c r="J61" s="475"/>
      <c r="K61" s="475"/>
      <c r="L61" s="475"/>
      <c r="M61" s="946" t="s">
        <v>1127</v>
      </c>
      <c r="N61" s="946"/>
      <c r="O61" s="946"/>
      <c r="P61" s="946"/>
      <c r="Q61" s="946"/>
      <c r="R61" s="946"/>
      <c r="S61" s="946"/>
      <c r="T61" s="946"/>
      <c r="V61" s="5">
        <v>0</v>
      </c>
      <c r="W61" s="24">
        <v>0</v>
      </c>
      <c r="X61" s="1"/>
    </row>
    <row r="62" spans="3:24">
      <c r="C62" s="1025" t="str">
        <f>C7</f>
        <v>* All amounts in millions of US dollars except per share and multiples</v>
      </c>
      <c r="D62" s="948"/>
      <c r="E62" s="948"/>
      <c r="F62" s="947"/>
      <c r="G62" s="948"/>
      <c r="H62" s="948">
        <f>'DCF - Assumptions (old)'!G$7</f>
        <v>2019</v>
      </c>
      <c r="I62" s="948">
        <f>'DCF - Assumptions (old)'!H$7</f>
        <v>2020</v>
      </c>
      <c r="J62" s="948">
        <f>'DCF - Assumptions (old)'!I$7</f>
        <v>2021</v>
      </c>
      <c r="K62" s="948">
        <f>'DCF - Assumptions (old)'!J$7</f>
        <v>2022</v>
      </c>
      <c r="L62" s="948">
        <f>'DCF - Assumptions (old)'!K$7</f>
        <v>2023</v>
      </c>
      <c r="M62" s="949">
        <f>'DCF - Assumptions (old)'!L$7</f>
        <v>2024</v>
      </c>
      <c r="N62" s="949">
        <f>'DCF - Assumptions (old)'!M$7</f>
        <v>2025</v>
      </c>
      <c r="O62" s="949">
        <f>'DCF - Assumptions (old)'!N$7</f>
        <v>2026</v>
      </c>
      <c r="P62" s="949">
        <f>'DCF - Assumptions (old)'!O$7</f>
        <v>2027</v>
      </c>
      <c r="Q62" s="949">
        <f>'DCF - Assumptions (old)'!P$7</f>
        <v>2028</v>
      </c>
      <c r="R62" s="950">
        <f>'DCF - Assumptions (old)'!Q$7</f>
        <v>2029</v>
      </c>
      <c r="S62" s="949">
        <f>'DCF - Assumptions (old)'!R$7</f>
        <v>2030</v>
      </c>
      <c r="T62" s="950">
        <f>'DCF - Assumptions (old)'!S$7</f>
        <v>2031</v>
      </c>
      <c r="V62" s="5">
        <v>1</v>
      </c>
      <c r="W62" s="24">
        <v>1</v>
      </c>
      <c r="X62" s="1"/>
    </row>
    <row r="63" spans="3:24">
      <c r="C63" s="672" t="str">
        <f>'DCF - Valuation'!C31</f>
        <v>Net Sales</v>
      </c>
      <c r="D63" s="669"/>
      <c r="E63" s="669"/>
      <c r="F63" s="668"/>
      <c r="G63" s="669"/>
      <c r="H63" s="669"/>
      <c r="I63" s="480"/>
      <c r="J63" s="480"/>
      <c r="K63" s="480"/>
      <c r="L63" s="480"/>
      <c r="M63" s="480">
        <f>'DCF - Valuation'!L31</f>
        <v>1278.226743738649</v>
      </c>
      <c r="N63" s="480">
        <f>'DCF - Valuation'!M31</f>
        <v>1562.1187544339082</v>
      </c>
      <c r="O63" s="480">
        <f>'DCF - Valuation'!N31</f>
        <v>1917.7398223858147</v>
      </c>
      <c r="P63" s="480">
        <f>'DCF - Valuation'!O31</f>
        <v>2383.9369385812006</v>
      </c>
      <c r="Q63" s="480">
        <f>'DCF - Valuation'!P31</f>
        <v>2980.545632368242</v>
      </c>
      <c r="R63" s="480">
        <f>'DCF - Valuation'!Q31</f>
        <v>3750.6959718718617</v>
      </c>
      <c r="S63" s="480">
        <f>'DCF - Valuation'!R31</f>
        <v>4776.0862797942809</v>
      </c>
      <c r="T63" s="480">
        <f>'DCF - Valuation'!S31</f>
        <v>6065.9628035452497</v>
      </c>
      <c r="V63" s="5">
        <v>1</v>
      </c>
      <c r="W63" s="24">
        <v>1</v>
      </c>
      <c r="X63" s="1"/>
    </row>
    <row r="64" spans="3:24">
      <c r="C64" s="672" t="str">
        <f>'DCF - Valuation'!C37</f>
        <v>Adjusted EBIT</v>
      </c>
      <c r="D64" s="669"/>
      <c r="E64" s="669"/>
      <c r="F64" s="668"/>
      <c r="G64" s="669"/>
      <c r="H64" s="669"/>
      <c r="I64" s="669"/>
      <c r="J64" s="669"/>
      <c r="K64" s="669"/>
      <c r="L64" s="669"/>
      <c r="M64" s="480">
        <f>'DCF - Valuation'!L37</f>
        <v>-174.55151328446232</v>
      </c>
      <c r="N64" s="480">
        <f>'DCF - Valuation'!M37</f>
        <v>-233.38551187533608</v>
      </c>
      <c r="O64" s="480">
        <f>'DCF - Valuation'!N37</f>
        <v>-284.07638423873186</v>
      </c>
      <c r="P64" s="480">
        <f>'DCF - Valuation'!O37</f>
        <v>-286.09443346030457</v>
      </c>
      <c r="Q64" s="480">
        <f>'DCF - Valuation'!P37</f>
        <v>-340.57251974557403</v>
      </c>
      <c r="R64" s="480">
        <f>'DCF - Valuation'!Q37</f>
        <v>-471.10293853428493</v>
      </c>
      <c r="S64" s="480">
        <f>'DCF - Valuation'!R37</f>
        <v>-605.97725919463767</v>
      </c>
      <c r="T64" s="480">
        <f>'DCF - Valuation'!S37</f>
        <v>-741.45993082479436</v>
      </c>
      <c r="V64" s="5">
        <v>1</v>
      </c>
      <c r="W64" s="24">
        <v>1</v>
      </c>
      <c r="X64" s="1"/>
    </row>
    <row r="65" spans="3:24">
      <c r="C65" s="672" t="s">
        <v>1156</v>
      </c>
      <c r="D65" s="669"/>
      <c r="E65" s="669"/>
      <c r="F65" s="668"/>
      <c r="G65" s="669"/>
      <c r="H65" s="669"/>
      <c r="I65" s="669"/>
      <c r="J65" s="669"/>
      <c r="K65" s="669"/>
      <c r="L65" s="669"/>
      <c r="M65" s="480">
        <f>'DCF - Valuation'!L40</f>
        <v>203.83878048475535</v>
      </c>
      <c r="N65" s="480">
        <f>'DCF - Valuation'!M40</f>
        <v>203.82205409597324</v>
      </c>
      <c r="O65" s="480">
        <f>'DCF - Valuation'!N40</f>
        <v>268.40363584398705</v>
      </c>
      <c r="P65" s="480">
        <f>'DCF - Valuation'!O40</f>
        <v>310.42940488004342</v>
      </c>
      <c r="Q65" s="480">
        <f>'DCF - Valuation'!P40</f>
        <v>410.21705209086457</v>
      </c>
      <c r="R65" s="480">
        <f>'DCF - Valuation'!Q40</f>
        <v>506.83412298944961</v>
      </c>
      <c r="S65" s="480">
        <f>'DCF - Valuation'!R40</f>
        <v>645.71796627474282</v>
      </c>
      <c r="T65" s="480">
        <f>'DCF - Valuation'!S40</f>
        <v>819.22860716997479</v>
      </c>
      <c r="V65" s="5">
        <v>1</v>
      </c>
      <c r="W65" s="24">
        <v>1</v>
      </c>
      <c r="X65" s="1"/>
    </row>
    <row r="66" spans="3:24">
      <c r="C66" s="672" t="str">
        <f>'DCF - Valuation'!C38</f>
        <v>Less: Tax (EBIT * Tax Rate)</v>
      </c>
      <c r="D66" s="669"/>
      <c r="E66" s="669"/>
      <c r="F66" s="668"/>
      <c r="G66" s="669"/>
      <c r="H66" s="669"/>
      <c r="I66" s="669"/>
      <c r="J66" s="669"/>
      <c r="K66" s="669"/>
      <c r="L66" s="669"/>
      <c r="M66" s="480">
        <f>'DCF - Valuation'!L38</f>
        <v>36.655817789737085</v>
      </c>
      <c r="N66" s="480">
        <f>'DCF - Valuation'!M38</f>
        <v>49.010957493820577</v>
      </c>
      <c r="O66" s="480">
        <f>'DCF - Valuation'!N38</f>
        <v>59.656040690133686</v>
      </c>
      <c r="P66" s="480">
        <f>'DCF - Valuation'!O38</f>
        <v>60.07983102666396</v>
      </c>
      <c r="Q66" s="480">
        <f>'DCF - Valuation'!P38</f>
        <v>71.520229146570543</v>
      </c>
      <c r="R66" s="480">
        <f>'DCF - Valuation'!Q38</f>
        <v>98.931617092199829</v>
      </c>
      <c r="S66" s="480">
        <f>'DCF - Valuation'!R38</f>
        <v>127.25522443087391</v>
      </c>
      <c r="T66" s="480">
        <f>'DCF - Valuation'!S38</f>
        <v>155.70658547320681</v>
      </c>
      <c r="V66" s="5">
        <v>1</v>
      </c>
      <c r="W66" s="24">
        <v>1</v>
      </c>
      <c r="X66" s="1"/>
    </row>
    <row r="67" spans="3:24">
      <c r="C67" s="672" t="s">
        <v>1157</v>
      </c>
      <c r="D67" s="669"/>
      <c r="E67" s="669"/>
      <c r="F67" s="668"/>
      <c r="G67" s="669"/>
      <c r="H67" s="669"/>
      <c r="I67" s="669"/>
      <c r="J67" s="669"/>
      <c r="K67" s="669"/>
      <c r="L67" s="669"/>
      <c r="M67" s="480">
        <f>'DCF - Valuation'!L39</f>
        <v>-63.90270997617155</v>
      </c>
      <c r="N67" s="480">
        <f>'DCF - Valuation'!M39</f>
        <v>-62.248755254759317</v>
      </c>
      <c r="O67" s="480">
        <f>'DCF - Valuation'!N39</f>
        <v>-78.35484834373824</v>
      </c>
      <c r="P67" s="480">
        <f>'DCF - Valuation'!O39</f>
        <v>-94.601179856317813</v>
      </c>
      <c r="Q67" s="480">
        <f>'DCF - Valuation'!P39</f>
        <v>-125.00295338450766</v>
      </c>
      <c r="R67" s="480">
        <f>'DCF - Valuation'!Q39</f>
        <v>-153.44227917202954</v>
      </c>
      <c r="S67" s="480">
        <f>'DCF - Valuation'!R39</f>
        <v>-194.30855748836231</v>
      </c>
      <c r="T67" s="480">
        <f>'DCF - Valuation'!S39</f>
        <v>-248.01356674709388</v>
      </c>
      <c r="V67" s="5">
        <v>1</v>
      </c>
      <c r="W67" s="24">
        <v>1</v>
      </c>
      <c r="X67" s="1"/>
    </row>
    <row r="68" spans="3:24">
      <c r="C68" s="672" t="str">
        <f>'DCF - Valuation'!C42</f>
        <v>Add: Change in working capital and other (cashflow statement)</v>
      </c>
      <c r="D68" s="669"/>
      <c r="E68" s="669"/>
      <c r="F68" s="668"/>
      <c r="G68" s="669"/>
      <c r="H68" s="669"/>
      <c r="I68" s="669"/>
      <c r="J68" s="669"/>
      <c r="K68" s="669"/>
      <c r="L68" s="669"/>
      <c r="M68" s="480">
        <f>'DCF - Valuation'!L42</f>
        <v>39.85654925390898</v>
      </c>
      <c r="N68" s="480">
        <f>'DCF - Valuation'!M42</f>
        <v>75.061338922483571</v>
      </c>
      <c r="O68" s="480">
        <f>'DCF - Valuation'!N42</f>
        <v>25.40644058204715</v>
      </c>
      <c r="P68" s="480">
        <f>'DCF - Valuation'!O42</f>
        <v>71.676456754127557</v>
      </c>
      <c r="Q68" s="480">
        <f>'DCF - Valuation'!P42</f>
        <v>79.348602157975606</v>
      </c>
      <c r="R68" s="480">
        <f>'DCF - Valuation'!Q42</f>
        <v>146.0264091555282</v>
      </c>
      <c r="S68" s="480">
        <f>'DCF - Valuation'!R42</f>
        <v>167.9398708988129</v>
      </c>
      <c r="T68" s="480">
        <f>'DCF - Valuation'!S42</f>
        <v>197.15922294542167</v>
      </c>
      <c r="V68" s="5">
        <v>1</v>
      </c>
      <c r="W68" s="24">
        <v>1</v>
      </c>
      <c r="X68" s="1"/>
    </row>
    <row r="69" spans="3:24">
      <c r="C69" s="484" t="s">
        <v>1158</v>
      </c>
      <c r="D69" s="673"/>
      <c r="E69" s="674"/>
      <c r="F69" s="674"/>
      <c r="G69" s="476"/>
      <c r="H69" s="476"/>
      <c r="I69" s="476"/>
      <c r="J69" s="476"/>
      <c r="K69" s="476"/>
      <c r="L69" s="476"/>
      <c r="M69" s="476">
        <f>'DCF - Valuation'!L43</f>
        <v>116.96529896904232</v>
      </c>
      <c r="N69" s="476">
        <f>'DCF - Valuation'!M43</f>
        <v>124.00101789177151</v>
      </c>
      <c r="O69" s="476">
        <f>'DCF - Valuation'!N43</f>
        <v>103.6609207761764</v>
      </c>
      <c r="P69" s="476">
        <f>'DCF - Valuation'!O43</f>
        <v>201.49518582961866</v>
      </c>
      <c r="Q69" s="476">
        <f>'DCF - Valuation'!P43</f>
        <v>270.55346693807763</v>
      </c>
      <c r="R69" s="476">
        <f>'DCF - Valuation'!Q43</f>
        <v>347.51978373509422</v>
      </c>
      <c r="S69" s="476">
        <f>'DCF - Valuation'!R43</f>
        <v>421.11976020752945</v>
      </c>
      <c r="T69" s="476">
        <f>'DCF - Valuation'!S43</f>
        <v>538.86598243201183</v>
      </c>
      <c r="V69" s="5">
        <v>1</v>
      </c>
      <c r="W69" s="24">
        <v>1</v>
      </c>
      <c r="X69" s="1"/>
    </row>
    <row r="70" spans="3:24">
      <c r="C70" s="475"/>
      <c r="D70" s="475"/>
      <c r="E70" s="665"/>
      <c r="F70" s="665"/>
      <c r="G70" s="492"/>
      <c r="H70" s="492"/>
      <c r="I70" s="492"/>
      <c r="J70" s="492"/>
      <c r="K70" s="492"/>
      <c r="L70" s="492"/>
      <c r="M70" s="492"/>
      <c r="N70" s="492"/>
      <c r="O70" s="492"/>
      <c r="P70" s="492"/>
      <c r="Q70" s="492"/>
      <c r="R70" s="492"/>
      <c r="S70" s="492"/>
      <c r="T70" s="492"/>
      <c r="V70" s="5">
        <v>0</v>
      </c>
      <c r="W70" s="24">
        <v>0</v>
      </c>
      <c r="X70" s="1"/>
    </row>
    <row r="71" spans="3:24">
      <c r="C71" s="947" t="s">
        <v>1159</v>
      </c>
      <c r="D71" s="947"/>
      <c r="E71" s="666"/>
      <c r="F71" s="475"/>
      <c r="G71" s="475"/>
      <c r="H71" s="475"/>
      <c r="I71" s="947" t="s">
        <v>1160</v>
      </c>
      <c r="J71" s="948"/>
      <c r="K71" s="948"/>
      <c r="L71" s="954"/>
      <c r="M71" s="475"/>
      <c r="R71" s="478"/>
      <c r="S71" s="478"/>
      <c r="T71" s="478"/>
      <c r="V71" s="5">
        <v>1</v>
      </c>
      <c r="W71" s="24">
        <v>1</v>
      </c>
      <c r="X71" s="2"/>
    </row>
    <row r="72" spans="3:24">
      <c r="C72" s="11" t="str">
        <f>IF('DCF - Valuation'!R8=1,"EBITDA Multiple", "Revenue Multiple")</f>
        <v>EBITDA Multiple</v>
      </c>
      <c r="D72" s="988">
        <f>IF('DCF - Valuation'!R8=1,'DCF - Valuation'!S8,'DCF - Valuation'!S10)</f>
        <v>8.9</v>
      </c>
      <c r="E72" s="475"/>
      <c r="F72" s="475"/>
      <c r="G72" s="475"/>
      <c r="H72" s="475"/>
      <c r="I72" s="475" t="s">
        <v>1161</v>
      </c>
      <c r="J72" s="475"/>
      <c r="K72" s="475"/>
      <c r="L72" s="667">
        <f>'DCF - Valuation'!D20</f>
        <v>45657</v>
      </c>
      <c r="M72" s="475"/>
      <c r="R72" s="478"/>
      <c r="S72" s="478"/>
      <c r="T72" s="478"/>
      <c r="V72" s="5">
        <v>1</v>
      </c>
      <c r="W72" s="24">
        <v>1</v>
      </c>
      <c r="X72" s="2"/>
    </row>
    <row r="73" spans="3:24">
      <c r="C73" s="11" t="str">
        <f>IF('DCF - Valuation'!R8=1,"Terminal Year EBITDA", "Terminal Year Revenue")</f>
        <v>Terminal Year EBITDA</v>
      </c>
      <c r="D73" s="983">
        <f>IF('DCF - Valuation'!R8=1,'DCF - Valuation'!S9,'DCF - Valuation'!S11)</f>
        <v>434.01374076047722</v>
      </c>
      <c r="E73" s="475"/>
      <c r="F73" s="475"/>
      <c r="G73" s="475"/>
      <c r="H73" s="475"/>
      <c r="I73" s="990" t="s">
        <v>1162</v>
      </c>
      <c r="J73" s="441"/>
      <c r="K73" s="441"/>
      <c r="L73" s="699">
        <f>'DCF - Valuation'!D8</f>
        <v>4.2500000000000003E-2</v>
      </c>
      <c r="M73" s="475"/>
      <c r="R73" s="478"/>
      <c r="S73" s="478"/>
      <c r="T73" s="478"/>
      <c r="V73" s="5">
        <v>1</v>
      </c>
      <c r="W73" s="24">
        <v>1</v>
      </c>
      <c r="X73" s="2"/>
    </row>
    <row r="74" spans="3:24">
      <c r="C74" s="186" t="s">
        <v>1163</v>
      </c>
      <c r="D74" s="983">
        <f>'DCF - Valuation'!S12</f>
        <v>3862.7222927682474</v>
      </c>
      <c r="E74" s="475"/>
      <c r="F74" s="475"/>
      <c r="G74" s="475"/>
      <c r="H74" s="475"/>
      <c r="I74" s="991" t="s">
        <v>1164</v>
      </c>
      <c r="J74" s="441"/>
      <c r="K74" s="441"/>
      <c r="L74" s="699">
        <f>'DCF - Valuation'!D9</f>
        <v>0.154</v>
      </c>
      <c r="M74" s="475"/>
      <c r="R74" s="478"/>
      <c r="S74" s="478"/>
      <c r="T74" s="478"/>
      <c r="V74" s="5">
        <v>1</v>
      </c>
      <c r="W74" s="24">
        <v>1</v>
      </c>
      <c r="X74" s="2"/>
    </row>
    <row r="75" spans="3:24">
      <c r="C75" s="11" t="s">
        <v>1165</v>
      </c>
      <c r="D75" s="984">
        <f>'DCF - Valuation'!S13</f>
        <v>1318.3912334143372</v>
      </c>
      <c r="E75" s="475"/>
      <c r="F75" s="475"/>
      <c r="G75" s="475"/>
      <c r="H75" s="475"/>
      <c r="I75" s="990" t="s">
        <v>1166</v>
      </c>
      <c r="J75" s="441"/>
      <c r="K75" s="441"/>
      <c r="L75" s="699">
        <f>'DCF - Valuation'!D10</f>
        <v>0.11149999999999999</v>
      </c>
      <c r="M75" s="475"/>
      <c r="R75" s="478"/>
      <c r="S75" s="478"/>
      <c r="T75" s="478"/>
      <c r="V75" s="5">
        <v>1</v>
      </c>
      <c r="W75" s="24">
        <v>1</v>
      </c>
      <c r="X75" s="2"/>
    </row>
    <row r="76" spans="3:24">
      <c r="C76" s="9" t="s">
        <v>1167</v>
      </c>
      <c r="D76" s="6">
        <f>'DCF - Valuation'!S15</f>
        <v>1085.8218952116254</v>
      </c>
      <c r="E76" s="479"/>
      <c r="F76" s="475"/>
      <c r="G76" s="475"/>
      <c r="H76" s="475"/>
      <c r="I76" s="990" t="s">
        <v>1168</v>
      </c>
      <c r="J76" s="441"/>
      <c r="K76" s="441"/>
      <c r="L76" s="1029">
        <f>'DCF - Valuation'!D11</f>
        <v>1.63</v>
      </c>
      <c r="M76" s="475"/>
      <c r="R76" s="478"/>
      <c r="S76" s="478"/>
      <c r="T76" s="478"/>
      <c r="V76" s="5">
        <v>1</v>
      </c>
      <c r="W76" s="24">
        <v>1</v>
      </c>
      <c r="X76" s="2"/>
    </row>
    <row r="77" spans="3:24">
      <c r="C77" s="986" t="s">
        <v>1169</v>
      </c>
      <c r="D77" s="1023">
        <f>SUM(D75:D76)</f>
        <v>2404.2131286259628</v>
      </c>
      <c r="E77" s="475"/>
      <c r="F77" s="475"/>
      <c r="G77" s="475"/>
      <c r="H77" s="475"/>
      <c r="I77" s="992" t="s">
        <v>1170</v>
      </c>
      <c r="J77" s="1022"/>
      <c r="K77" s="1022"/>
      <c r="L77" s="993">
        <f>'DCF - Valuation'!D12</f>
        <v>0.22424499999999997</v>
      </c>
      <c r="M77" s="475"/>
      <c r="R77" s="478"/>
      <c r="S77" s="478"/>
      <c r="T77" s="478"/>
      <c r="V77" s="5">
        <v>1</v>
      </c>
      <c r="W77" s="24">
        <v>1</v>
      </c>
      <c r="X77" s="2"/>
    </row>
    <row r="78" spans="3:24">
      <c r="C78" s="177" t="s">
        <v>1171</v>
      </c>
      <c r="D78" s="985">
        <f>'DCF - Valuation'!S20</f>
        <v>379.84999999999997</v>
      </c>
      <c r="E78" s="475"/>
      <c r="F78" s="475"/>
      <c r="G78" s="475"/>
      <c r="H78" s="475"/>
      <c r="I78" s="991" t="s">
        <v>1172</v>
      </c>
      <c r="J78" s="441"/>
      <c r="K78" s="441"/>
      <c r="L78" s="699">
        <f>'DCF - Valuation'!D13</f>
        <v>7.9000000000000001E-2</v>
      </c>
      <c r="M78" s="475"/>
      <c r="R78" s="478"/>
      <c r="S78" s="478"/>
      <c r="T78" s="478"/>
      <c r="V78" s="5">
        <v>1</v>
      </c>
      <c r="W78" s="24">
        <v>1</v>
      </c>
      <c r="X78" s="2"/>
    </row>
    <row r="79" spans="3:24">
      <c r="C79" s="177" t="s">
        <v>1173</v>
      </c>
      <c r="D79" s="985">
        <f>'DCF - Valuation'!S21</f>
        <v>0</v>
      </c>
      <c r="E79" s="479"/>
      <c r="F79" s="475"/>
      <c r="G79" s="475"/>
      <c r="H79" s="475"/>
      <c r="I79" s="991" t="s">
        <v>1111</v>
      </c>
      <c r="J79" s="441"/>
      <c r="K79" s="441"/>
      <c r="L79" s="699">
        <f>'DCF - Valuation'!D14</f>
        <v>0.21</v>
      </c>
      <c r="M79" s="475"/>
      <c r="R79" s="478"/>
      <c r="S79" s="478"/>
      <c r="T79" s="478"/>
      <c r="V79" s="5">
        <v>1</v>
      </c>
      <c r="W79" s="24">
        <v>1</v>
      </c>
      <c r="X79" s="2"/>
    </row>
    <row r="80" spans="3:24">
      <c r="C80" s="177" t="s">
        <v>1174</v>
      </c>
      <c r="D80" s="985">
        <f>'DCF - Valuation'!S22</f>
        <v>514.29999999999995</v>
      </c>
      <c r="E80" s="475"/>
      <c r="F80" s="475"/>
      <c r="G80" s="475"/>
      <c r="H80" s="475"/>
      <c r="I80" s="992" t="s">
        <v>1175</v>
      </c>
      <c r="J80" s="1022"/>
      <c r="K80" s="1022"/>
      <c r="L80" s="993">
        <f>'DCF - Valuation'!D15</f>
        <v>6.241E-2</v>
      </c>
      <c r="M80" s="475"/>
      <c r="R80" s="478"/>
      <c r="S80" s="478"/>
      <c r="T80" s="478"/>
      <c r="V80" s="5">
        <v>1</v>
      </c>
      <c r="W80" s="24">
        <v>1</v>
      </c>
      <c r="X80" s="2"/>
    </row>
    <row r="81" spans="3:24">
      <c r="C81" s="177" t="s">
        <v>1176</v>
      </c>
      <c r="D81" s="985">
        <f>'DCF - Valuation'!S23</f>
        <v>0</v>
      </c>
      <c r="E81" s="481"/>
      <c r="F81" s="475"/>
      <c r="G81" s="475"/>
      <c r="H81" s="475"/>
      <c r="I81" s="991" t="s">
        <v>1177</v>
      </c>
      <c r="J81" s="441"/>
      <c r="K81" s="441"/>
      <c r="L81" s="699">
        <f>'DCF - Valuation'!D16</f>
        <v>0.36</v>
      </c>
      <c r="M81" s="475"/>
      <c r="R81" s="478"/>
      <c r="S81" s="478"/>
      <c r="T81" s="478"/>
      <c r="V81" s="5">
        <v>1</v>
      </c>
      <c r="W81" s="24">
        <v>1</v>
      </c>
      <c r="X81" s="2"/>
    </row>
    <row r="82" spans="3:24">
      <c r="C82" s="987" t="s">
        <v>1178</v>
      </c>
      <c r="D82" s="1023">
        <f>D77-SUM(D78:D80)+D81</f>
        <v>1510.0631286259629</v>
      </c>
      <c r="E82" s="475"/>
      <c r="F82" s="475"/>
      <c r="G82" s="475"/>
      <c r="H82" s="475"/>
      <c r="I82" s="992" t="s">
        <v>1179</v>
      </c>
      <c r="J82" s="1022"/>
      <c r="K82" s="1022"/>
      <c r="L82" s="993">
        <f>'DCF - Valuation'!D17</f>
        <v>0.16598439999999998</v>
      </c>
      <c r="M82" s="475"/>
      <c r="R82" s="478"/>
      <c r="S82" s="478"/>
      <c r="T82" s="478"/>
      <c r="V82" s="5">
        <v>1</v>
      </c>
      <c r="W82" s="24">
        <v>1</v>
      </c>
      <c r="X82" s="2"/>
    </row>
    <row r="83" spans="3:24">
      <c r="C83" s="3" t="s">
        <v>85</v>
      </c>
      <c r="D83" s="985">
        <f>'DCF - Valuation'!S25</f>
        <v>157.34</v>
      </c>
      <c r="E83" s="475"/>
      <c r="F83" s="475"/>
      <c r="G83" s="475"/>
      <c r="H83" s="475"/>
      <c r="I83" s="441"/>
      <c r="J83" s="441"/>
      <c r="K83" s="441"/>
      <c r="L83" s="441"/>
      <c r="M83" s="475"/>
      <c r="R83" s="478"/>
      <c r="S83" s="478"/>
      <c r="T83" s="478"/>
      <c r="V83" s="5">
        <v>1</v>
      </c>
      <c r="W83" s="24">
        <v>1</v>
      </c>
      <c r="X83" s="2"/>
    </row>
    <row r="84" spans="3:24">
      <c r="C84" s="768" t="s">
        <v>1180</v>
      </c>
      <c r="D84" s="1024">
        <f>D82/D83</f>
        <v>9.5974521966821076</v>
      </c>
      <c r="E84" s="441"/>
      <c r="F84" s="441"/>
      <c r="G84" s="441"/>
      <c r="H84" s="441"/>
      <c r="I84" s="441"/>
      <c r="J84" s="441"/>
      <c r="K84" s="441"/>
      <c r="L84" s="441"/>
      <c r="M84" s="441"/>
      <c r="V84" s="5">
        <v>1</v>
      </c>
      <c r="W84" s="24">
        <v>1</v>
      </c>
    </row>
    <row r="85" spans="3:24">
      <c r="E85" s="441"/>
      <c r="F85" s="441"/>
      <c r="G85" s="441"/>
      <c r="H85" s="441"/>
      <c r="I85" s="441"/>
      <c r="J85" s="441"/>
      <c r="K85" s="441"/>
      <c r="L85" s="441"/>
      <c r="M85" s="441"/>
      <c r="V85" s="5">
        <v>0</v>
      </c>
      <c r="W85" s="24">
        <v>0</v>
      </c>
    </row>
    <row r="86" spans="3:24" hidden="1">
      <c r="E86" s="441"/>
      <c r="F86" s="441"/>
      <c r="G86" s="441"/>
      <c r="H86" s="441"/>
      <c r="I86" s="441"/>
      <c r="J86" s="441"/>
      <c r="K86" s="441"/>
      <c r="L86" s="441"/>
      <c r="M86" s="441"/>
      <c r="V86" s="5">
        <f>IF(NOT(ISBLANK(#REF!)), 1, 0)</f>
        <v>1</v>
      </c>
      <c r="W86">
        <v>1</v>
      </c>
    </row>
    <row r="87" spans="3:24" hidden="1">
      <c r="C87" s="441"/>
      <c r="D87" s="441"/>
      <c r="E87" s="441"/>
      <c r="F87" s="441"/>
      <c r="G87" s="441"/>
      <c r="H87" s="441"/>
      <c r="I87" s="441"/>
      <c r="J87" s="441"/>
      <c r="K87" s="441"/>
      <c r="L87" s="441"/>
      <c r="M87" s="441"/>
    </row>
    <row r="88" spans="3:24" hidden="1">
      <c r="C88" s="441"/>
      <c r="D88" s="441"/>
      <c r="E88" s="441"/>
      <c r="F88" s="441"/>
      <c r="G88" s="441"/>
      <c r="H88" s="441"/>
      <c r="I88" s="441"/>
      <c r="J88" s="441"/>
      <c r="K88" s="441"/>
      <c r="L88" s="441"/>
      <c r="M88" s="441"/>
    </row>
    <row r="89" spans="3:24" hidden="1">
      <c r="C89" s="441"/>
      <c r="D89" s="441"/>
      <c r="E89" s="441"/>
      <c r="F89" s="441"/>
      <c r="G89" s="441"/>
      <c r="H89" s="441"/>
      <c r="I89" s="441"/>
      <c r="J89" s="441"/>
      <c r="K89" s="441"/>
      <c r="L89" s="441"/>
      <c r="M89" s="441"/>
    </row>
  </sheetData>
  <sheetProtection formatCells="0" formatColumns="0" formatRows="0" insertColumns="0" insertRows="0" insertHyperlinks="0" deleteColumns="0" deleteRows="0" sort="0" autoFilter="0" pivotTables="0"/>
  <conditionalFormatting sqref="C75:D75">
    <cfRule type="cellIs" dxfId="55" priority="1" stopIfTrue="1" operator="equal">
      <formula>"ERROR"</formula>
    </cfRule>
  </conditionalFormatting>
  <conditionalFormatting sqref="E69:F70">
    <cfRule type="cellIs" dxfId="54" priority="6" stopIfTrue="1" operator="equal">
      <formula>$F$5</formula>
    </cfRule>
  </conditionalFormatting>
  <conditionalFormatting sqref="V1:W1">
    <cfRule type="cellIs" dxfId="53" priority="3" operator="equal">
      <formula>"Check"</formula>
    </cfRule>
  </conditionalFormatting>
  <pageMargins left="0.7" right="0.7" top="0.75" bottom="0.75" header="0.3" footer="0.3"/>
  <pageSetup orientation="portrait" r:id="rId1"/>
  <ignoredErrors>
    <ignoredError sqref="A1:XFD4 A86:XFD1048576 A84:C84 E84:U84 A19:U21 D9:G10 U9:U10 A9:B11 D11:U11 A34:U36 A33:G33 U33 A40:U40 A37:G39 U37:U39 A45:U45 A41:G42 U41:U42 A47:U56 A46:G46 U46 A12:U14 A18:B18 D18:G18 A15:B15 D15:G15 U18 U15 A23:U31 A22:B22 D22:G22 U22 A8:U8 A7:B7 D7:U7 A32:G32 U32 A85:U85 X85:XFD85 X84:XFD84 X19:XFD21 X9:XFD10 X11:XFD11 X34:XFD36 X33:XFD33 X40:XFD40 X37:XFD39 X44:XFD45 X41:XFD42 X47:XFD83 X46:XFD46 X12:XFD14 X18:XFD18 X15:XFD15 X23:XFD31 X22:XFD22 X8:XFD8 X7:XFD7 X32:XFD32 A5:V6 X5:XFD6 A44:G44 U44 A58:U78 A57:G57 M57:U57 A81:C81 A79:C79 E79:U79 A83:U83 A82:C82 E82:U82 A80:C80 E80:U80 E81:U81"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6654A"/>
  </sheetPr>
  <dimension ref="A1:IX455"/>
  <sheetViews>
    <sheetView showGridLines="0" zoomScaleSheetLayoutView="55" workbookViewId="0">
      <pane xSplit="5" ySplit="7" topLeftCell="L144" activePane="bottomRight" state="frozen"/>
      <selection pane="topRight" activeCell="V123" sqref="V123"/>
      <selection pane="bottomLeft" activeCell="V123" sqref="V123"/>
      <selection pane="bottomRight" activeCell="S68" sqref="S68"/>
    </sheetView>
  </sheetViews>
  <sheetFormatPr defaultColWidth="0" defaultRowHeight="17.399999999999999"/>
  <cols>
    <col min="1" max="1" width="2.6640625" style="1340" customWidth="1"/>
    <col min="2" max="2" width="1" style="1340" customWidth="1"/>
    <col min="3" max="3" width="87.109375" style="1340" bestFit="1" customWidth="1"/>
    <col min="4" max="4" width="11.44140625" style="1340" bestFit="1" customWidth="1"/>
    <col min="5" max="5" width="7.6640625" style="1340" bestFit="1" customWidth="1"/>
    <col min="6" max="6" width="13.88671875" style="1340" bestFit="1" customWidth="1"/>
    <col min="7" max="7" width="13" style="1340" bestFit="1" customWidth="1"/>
    <col min="8" max="16" width="14.44140625" style="1340" bestFit="1" customWidth="1"/>
    <col min="17" max="17" width="15.33203125" style="1340" bestFit="1" customWidth="1"/>
    <col min="18" max="18" width="15.33203125" style="1340" customWidth="1"/>
    <col min="19" max="19" width="15.33203125" style="1340" bestFit="1" customWidth="1"/>
    <col min="20" max="20" width="2.44140625" style="1340" customWidth="1"/>
    <col min="21" max="22" width="5.109375" style="1340" bestFit="1" customWidth="1"/>
    <col min="23" max="23" width="3.44140625" style="1340" hidden="1" customWidth="1"/>
    <col min="24" max="258" width="5.44140625" style="1340" hidden="1" customWidth="1"/>
    <col min="259" max="16384" width="9.44140625" style="1340" hidden="1"/>
  </cols>
  <sheetData>
    <row r="1" spans="1:258" s="1334" customFormat="1">
      <c r="A1" s="1332"/>
      <c r="B1" s="1332" t="str">
        <f>'DCF - Assumptions'!$F$8&amp;" | Discounted Cash Flows - Assumptions"</f>
        <v>Bumble INC | Discounted Cash Flows - Assumptions</v>
      </c>
      <c r="C1" s="1333"/>
      <c r="U1" s="1335" t="str">
        <f>IF(U5=V5,"OK","Check")</f>
        <v>OK</v>
      </c>
      <c r="V1" s="1335" t="str">
        <f>IF(U6=V6,"OK","Check")</f>
        <v>OK</v>
      </c>
    </row>
    <row r="2" spans="1:258" s="1337" customFormat="1">
      <c r="A2" s="1336"/>
      <c r="B2" s="1336"/>
      <c r="T2" s="1338"/>
    </row>
    <row r="3" spans="1:258" s="1334" customFormat="1">
      <c r="A3" s="1339"/>
      <c r="B3" s="1339"/>
      <c r="T3" s="1335"/>
    </row>
    <row r="4" spans="1:258">
      <c r="B4" s="1341"/>
      <c r="G4" s="1342"/>
      <c r="H4" s="1342"/>
      <c r="I4" s="1342"/>
      <c r="J4" s="1342"/>
      <c r="K4" s="1342"/>
      <c r="T4" s="1343"/>
    </row>
    <row r="5" spans="1:258">
      <c r="C5" s="1344" t="s">
        <v>1014</v>
      </c>
      <c r="D5" s="1345"/>
      <c r="E5" s="1345"/>
      <c r="F5" s="1345"/>
      <c r="G5" s="1345"/>
      <c r="H5" s="1345"/>
      <c r="I5" s="1345"/>
      <c r="J5" s="1345"/>
      <c r="K5" s="1345"/>
      <c r="L5" s="1345"/>
      <c r="M5" s="1345"/>
      <c r="N5" s="1345"/>
      <c r="O5" s="1345"/>
      <c r="P5" s="1345"/>
      <c r="Q5" s="1345"/>
      <c r="R5" s="1345"/>
      <c r="S5" s="1345"/>
      <c r="U5" s="1346">
        <v>213</v>
      </c>
      <c r="V5" s="1347">
        <v>213</v>
      </c>
    </row>
    <row r="6" spans="1:258">
      <c r="L6" s="1348" t="s">
        <v>1015</v>
      </c>
      <c r="M6" s="1349"/>
      <c r="N6" s="1349"/>
      <c r="O6" s="1349"/>
      <c r="P6" s="1349"/>
      <c r="Q6" s="1349"/>
      <c r="R6" s="1349"/>
      <c r="S6" s="1349"/>
      <c r="U6" s="1346">
        <v>167</v>
      </c>
      <c r="V6" s="1347">
        <v>167</v>
      </c>
    </row>
    <row r="7" spans="1:258" ht="18" thickBot="1">
      <c r="C7" s="1350"/>
      <c r="D7" s="1351" t="s">
        <v>1016</v>
      </c>
      <c r="E7" s="1351" t="s">
        <v>1017</v>
      </c>
      <c r="F7" s="1350"/>
      <c r="G7" s="1352">
        <f>F23</f>
        <v>2019</v>
      </c>
      <c r="H7" s="1352">
        <f>IF((G7+1)&lt;='DCF - Assumptions'!$F$24,G7+1," ")</f>
        <v>2020</v>
      </c>
      <c r="I7" s="1352">
        <f>IF((H7+1)&lt;='DCF - Assumptions'!$F$24,H7+1," ")</f>
        <v>2021</v>
      </c>
      <c r="J7" s="1352">
        <f>IF((I7+1)&lt;='DCF - Assumptions'!$F$24,I7+1," ")</f>
        <v>2022</v>
      </c>
      <c r="K7" s="1352">
        <f>IF((J7+1)&lt;='DCF - Assumptions'!$F$24,J7+1," ")</f>
        <v>2023</v>
      </c>
      <c r="L7" s="1352">
        <f>IF((K7+1)&lt;='DCF - Assumptions'!$F$24,K7+1," ")</f>
        <v>2024</v>
      </c>
      <c r="M7" s="1352">
        <f>IF((L7+1)&lt;='DCF - Assumptions'!$F$24,L7+1," ")</f>
        <v>2025</v>
      </c>
      <c r="N7" s="1352">
        <f>IF((M7+1)&lt;='DCF - Assumptions'!$F$24,M7+1," ")</f>
        <v>2026</v>
      </c>
      <c r="O7" s="1352">
        <f>IF((N7+1)&lt;='DCF - Assumptions'!$F$24,N7+1," ")</f>
        <v>2027</v>
      </c>
      <c r="P7" s="1352">
        <f>IF((O7+1)&lt;='DCF - Assumptions'!$F$24,O7+1," ")</f>
        <v>2028</v>
      </c>
      <c r="Q7" s="1352">
        <f>IF((P7+1)&lt;='DCF - Assumptions'!$F$24,P7+1," ")</f>
        <v>2029</v>
      </c>
      <c r="R7" s="1352">
        <f>IF((Q7+1)&lt;='DCF - Assumptions'!$F$24,Q7+1," ")</f>
        <v>2030</v>
      </c>
      <c r="S7" s="1352">
        <f>IF((R7+1)&lt;='DCF - Assumptions'!$F$24,R7+1," ")</f>
        <v>2031</v>
      </c>
      <c r="T7" s="1353"/>
      <c r="U7" s="1354"/>
      <c r="V7" s="1347"/>
      <c r="W7" s="1353"/>
      <c r="X7" s="1353"/>
      <c r="Y7" s="1353"/>
      <c r="Z7" s="1353"/>
      <c r="AA7" s="1353"/>
      <c r="AB7" s="1353"/>
      <c r="AC7" s="1353"/>
      <c r="AD7" s="1353"/>
      <c r="AE7" s="1353"/>
      <c r="AF7" s="1353"/>
      <c r="AG7" s="1353"/>
      <c r="AH7" s="1353"/>
      <c r="AI7" s="1353"/>
      <c r="AJ7" s="1353"/>
      <c r="AK7" s="1353"/>
      <c r="AL7" s="1353"/>
      <c r="AM7" s="1353"/>
      <c r="AN7" s="1353"/>
      <c r="AO7" s="1353"/>
      <c r="AP7" s="1353"/>
      <c r="AQ7" s="1353"/>
      <c r="AR7" s="1353"/>
      <c r="AS7" s="1353"/>
      <c r="AT7" s="1353"/>
      <c r="AU7" s="1353"/>
      <c r="AV7" s="1353"/>
      <c r="AW7" s="1353"/>
      <c r="AX7" s="1353"/>
      <c r="AY7" s="1353"/>
      <c r="AZ7" s="1353"/>
      <c r="BA7" s="1353"/>
      <c r="BB7" s="1353"/>
      <c r="BC7" s="1353"/>
      <c r="BD7" s="1353"/>
      <c r="BE7" s="1353"/>
      <c r="BF7" s="1353"/>
      <c r="BG7" s="1353"/>
      <c r="BH7" s="1353"/>
      <c r="BI7" s="1353"/>
      <c r="BJ7" s="1353"/>
      <c r="BK7" s="1353"/>
      <c r="BL7" s="1353"/>
      <c r="BM7" s="1353"/>
      <c r="BN7" s="1353"/>
      <c r="BO7" s="1353"/>
      <c r="BP7" s="1353"/>
      <c r="BQ7" s="1353"/>
      <c r="BR7" s="1353"/>
      <c r="BS7" s="1353"/>
      <c r="BT7" s="1353"/>
      <c r="BU7" s="1353"/>
      <c r="BV7" s="1353"/>
      <c r="BW7" s="1353"/>
      <c r="BX7" s="1353"/>
      <c r="BY7" s="1353"/>
      <c r="BZ7" s="1353"/>
      <c r="CA7" s="1353"/>
      <c r="CB7" s="1353"/>
      <c r="CC7" s="1353"/>
      <c r="CD7" s="1353"/>
      <c r="CE7" s="1353"/>
      <c r="CF7" s="1353"/>
      <c r="CG7" s="1353"/>
      <c r="CH7" s="1353"/>
      <c r="CI7" s="1353"/>
      <c r="CJ7" s="1353"/>
      <c r="CK7" s="1353"/>
      <c r="CL7" s="1353"/>
      <c r="CM7" s="1353"/>
      <c r="CN7" s="1353"/>
      <c r="CO7" s="1353"/>
      <c r="CP7" s="1353"/>
      <c r="CQ7" s="1353"/>
      <c r="CR7" s="1353"/>
      <c r="CS7" s="1353"/>
      <c r="CT7" s="1353"/>
      <c r="CU7" s="1353"/>
      <c r="CV7" s="1353"/>
      <c r="CW7" s="1353"/>
      <c r="CX7" s="1353"/>
      <c r="CY7" s="1353"/>
      <c r="CZ7" s="1353"/>
      <c r="DA7" s="1353"/>
      <c r="DB7" s="1353"/>
      <c r="DC7" s="1353"/>
      <c r="DD7" s="1353"/>
      <c r="DE7" s="1353"/>
      <c r="DF7" s="1353"/>
      <c r="DG7" s="1353"/>
      <c r="DH7" s="1353"/>
      <c r="DI7" s="1353"/>
      <c r="DJ7" s="1353"/>
      <c r="DK7" s="1353"/>
      <c r="DL7" s="1353"/>
      <c r="DM7" s="1353"/>
      <c r="DN7" s="1353"/>
      <c r="DO7" s="1353"/>
      <c r="DP7" s="1353"/>
      <c r="DQ7" s="1353"/>
      <c r="DR7" s="1353"/>
      <c r="DS7" s="1353"/>
      <c r="DT7" s="1353"/>
      <c r="DU7" s="1353"/>
      <c r="DV7" s="1353"/>
      <c r="DW7" s="1353"/>
      <c r="DX7" s="1353"/>
      <c r="DY7" s="1353"/>
      <c r="DZ7" s="1353"/>
      <c r="EA7" s="1353"/>
      <c r="EB7" s="1353"/>
      <c r="EC7" s="1353"/>
      <c r="ED7" s="1353"/>
      <c r="EE7" s="1353"/>
      <c r="EF7" s="1353"/>
      <c r="EG7" s="1353"/>
      <c r="EH7" s="1353"/>
      <c r="EI7" s="1353"/>
      <c r="EJ7" s="1353"/>
      <c r="EK7" s="1353"/>
      <c r="EL7" s="1353"/>
      <c r="EM7" s="1353"/>
      <c r="EN7" s="1353"/>
      <c r="EO7" s="1353"/>
      <c r="EP7" s="1353"/>
      <c r="EQ7" s="1353"/>
      <c r="ER7" s="1353"/>
      <c r="ES7" s="1353"/>
      <c r="ET7" s="1353"/>
      <c r="EU7" s="1353"/>
      <c r="EV7" s="1353"/>
      <c r="EW7" s="1353"/>
      <c r="EX7" s="1353"/>
      <c r="EY7" s="1353"/>
      <c r="EZ7" s="1353"/>
      <c r="FA7" s="1353"/>
      <c r="FB7" s="1353"/>
      <c r="FC7" s="1353"/>
      <c r="FD7" s="1353"/>
      <c r="FE7" s="1353"/>
      <c r="FF7" s="1353"/>
      <c r="FG7" s="1353"/>
      <c r="FH7" s="1353"/>
      <c r="FI7" s="1353"/>
      <c r="FJ7" s="1353"/>
      <c r="FK7" s="1353"/>
      <c r="FL7" s="1353"/>
      <c r="FM7" s="1353"/>
      <c r="FN7" s="1353"/>
      <c r="FO7" s="1353"/>
      <c r="FP7" s="1353"/>
      <c r="FQ7" s="1353"/>
      <c r="FR7" s="1353"/>
      <c r="FS7" s="1353"/>
      <c r="FT7" s="1353"/>
      <c r="FU7" s="1353"/>
      <c r="FV7" s="1353"/>
      <c r="FW7" s="1353"/>
      <c r="FX7" s="1353"/>
      <c r="FY7" s="1353"/>
      <c r="FZ7" s="1353"/>
      <c r="GA7" s="1353"/>
      <c r="GB7" s="1353"/>
      <c r="GC7" s="1353"/>
      <c r="GD7" s="1353"/>
      <c r="GE7" s="1353"/>
      <c r="GF7" s="1353"/>
      <c r="GG7" s="1353"/>
      <c r="GH7" s="1353"/>
      <c r="GI7" s="1353"/>
      <c r="GJ7" s="1353"/>
      <c r="GK7" s="1353"/>
      <c r="GL7" s="1353"/>
      <c r="GM7" s="1353"/>
      <c r="GN7" s="1353"/>
      <c r="GO7" s="1353"/>
      <c r="GP7" s="1353"/>
      <c r="GQ7" s="1353"/>
      <c r="GR7" s="1353"/>
      <c r="GS7" s="1353"/>
      <c r="GT7" s="1353"/>
      <c r="GU7" s="1353"/>
      <c r="GV7" s="1353"/>
      <c r="GW7" s="1353"/>
      <c r="GX7" s="1353"/>
      <c r="GY7" s="1353"/>
      <c r="GZ7" s="1353"/>
      <c r="HA7" s="1353"/>
      <c r="HB7" s="1353"/>
      <c r="HC7" s="1353"/>
      <c r="HD7" s="1353"/>
      <c r="HE7" s="1353"/>
      <c r="HF7" s="1353"/>
      <c r="HG7" s="1353"/>
      <c r="HH7" s="1353"/>
      <c r="HI7" s="1353"/>
      <c r="HJ7" s="1353"/>
      <c r="HK7" s="1353"/>
      <c r="HL7" s="1353"/>
      <c r="HM7" s="1353"/>
      <c r="HN7" s="1353"/>
      <c r="HO7" s="1353"/>
      <c r="HP7" s="1353"/>
      <c r="HQ7" s="1353"/>
      <c r="HR7" s="1353"/>
      <c r="HS7" s="1353"/>
      <c r="HT7" s="1353"/>
      <c r="HU7" s="1353"/>
      <c r="HV7" s="1353"/>
      <c r="HW7" s="1353"/>
      <c r="HX7" s="1353"/>
      <c r="HY7" s="1353"/>
      <c r="HZ7" s="1353"/>
      <c r="IA7" s="1353"/>
      <c r="IB7" s="1353"/>
      <c r="IC7" s="1353"/>
      <c r="ID7" s="1353"/>
      <c r="IE7" s="1353"/>
      <c r="IF7" s="1353"/>
      <c r="IG7" s="1353"/>
      <c r="IH7" s="1353"/>
      <c r="II7" s="1353"/>
      <c r="IJ7" s="1353"/>
      <c r="IK7" s="1353"/>
      <c r="IL7" s="1353"/>
      <c r="IM7" s="1353"/>
      <c r="IN7" s="1353"/>
      <c r="IO7" s="1353"/>
      <c r="IP7" s="1353"/>
      <c r="IQ7" s="1353"/>
      <c r="IR7" s="1353"/>
      <c r="IS7" s="1353"/>
      <c r="IT7" s="1353"/>
      <c r="IU7" s="1353"/>
      <c r="IV7" s="1353"/>
      <c r="IW7" s="1353"/>
      <c r="IX7" s="1353"/>
    </row>
    <row r="8" spans="1:258">
      <c r="C8" s="1340" t="s">
        <v>1018</v>
      </c>
      <c r="D8" s="1340" t="s">
        <v>1019</v>
      </c>
      <c r="E8" s="1340" t="s">
        <v>1020</v>
      </c>
      <c r="F8" s="1340" t="s">
        <v>1021</v>
      </c>
      <c r="G8" s="1353"/>
      <c r="H8" s="1353"/>
      <c r="I8" s="1353"/>
      <c r="J8" s="1353"/>
      <c r="K8" s="1353"/>
      <c r="L8" s="1353"/>
      <c r="M8" s="1353"/>
      <c r="N8" s="1353"/>
      <c r="O8" s="1353"/>
      <c r="P8" s="1353"/>
      <c r="Q8" s="1353"/>
      <c r="R8" s="1353"/>
      <c r="S8" s="1353"/>
      <c r="T8" s="1353"/>
      <c r="U8" s="1346">
        <v>1</v>
      </c>
      <c r="V8" s="1347">
        <v>1</v>
      </c>
      <c r="W8" s="1353"/>
      <c r="X8" s="1353"/>
      <c r="Y8" s="1353"/>
      <c r="Z8" s="1353"/>
      <c r="AA8" s="1353"/>
      <c r="AB8" s="1353"/>
      <c r="AC8" s="1353"/>
      <c r="AD8" s="1353"/>
      <c r="AE8" s="1353"/>
      <c r="AF8" s="1353"/>
      <c r="AG8" s="1353"/>
      <c r="AH8" s="1353"/>
      <c r="AI8" s="1353"/>
      <c r="AJ8" s="1353"/>
      <c r="AK8" s="1353"/>
      <c r="AL8" s="1353"/>
      <c r="AM8" s="1353"/>
      <c r="AN8" s="1353"/>
      <c r="AO8" s="1353"/>
      <c r="AP8" s="1353"/>
      <c r="AQ8" s="1353"/>
      <c r="AR8" s="1353"/>
      <c r="AS8" s="1353"/>
      <c r="AT8" s="1353"/>
      <c r="AU8" s="1353"/>
      <c r="AV8" s="1353"/>
      <c r="AW8" s="1353"/>
      <c r="AX8" s="1353"/>
      <c r="AY8" s="1353"/>
      <c r="AZ8" s="1353"/>
      <c r="BA8" s="1353"/>
      <c r="BB8" s="1353"/>
      <c r="BC8" s="1353"/>
      <c r="BD8" s="1353"/>
      <c r="BE8" s="1353"/>
      <c r="BF8" s="1353"/>
      <c r="BG8" s="1353"/>
      <c r="BH8" s="1353"/>
      <c r="BI8" s="1353"/>
      <c r="BJ8" s="1353"/>
      <c r="BK8" s="1353"/>
      <c r="BL8" s="1353"/>
      <c r="BM8" s="1353"/>
      <c r="BN8" s="1353"/>
      <c r="BO8" s="1353"/>
      <c r="BP8" s="1353"/>
      <c r="BQ8" s="1353"/>
      <c r="BR8" s="1353"/>
      <c r="BS8" s="1353"/>
      <c r="BT8" s="1353"/>
      <c r="BU8" s="1353"/>
      <c r="BV8" s="1353"/>
      <c r="BW8" s="1353"/>
      <c r="BX8" s="1353"/>
      <c r="BY8" s="1353"/>
      <c r="BZ8" s="1353"/>
      <c r="CA8" s="1353"/>
      <c r="CB8" s="1353"/>
      <c r="CC8" s="1353"/>
      <c r="CD8" s="1353"/>
      <c r="CE8" s="1353"/>
      <c r="CF8" s="1353"/>
      <c r="CG8" s="1353"/>
      <c r="CH8" s="1353"/>
      <c r="CI8" s="1353"/>
      <c r="CJ8" s="1353"/>
      <c r="CK8" s="1353"/>
      <c r="CL8" s="1353"/>
      <c r="CM8" s="1353"/>
      <c r="CN8" s="1353"/>
      <c r="CO8" s="1353"/>
      <c r="CP8" s="1353"/>
      <c r="CQ8" s="1353"/>
      <c r="CR8" s="1353"/>
      <c r="CS8" s="1353"/>
      <c r="CT8" s="1353"/>
      <c r="CU8" s="1353"/>
      <c r="CV8" s="1353"/>
      <c r="CW8" s="1353"/>
      <c r="CX8" s="1353"/>
      <c r="CY8" s="1353"/>
      <c r="CZ8" s="1353"/>
      <c r="DA8" s="1353"/>
      <c r="DB8" s="1353"/>
      <c r="DC8" s="1353"/>
      <c r="DD8" s="1353"/>
      <c r="DE8" s="1353"/>
      <c r="DF8" s="1353"/>
      <c r="DG8" s="1353"/>
      <c r="DH8" s="1353"/>
      <c r="DI8" s="1353"/>
      <c r="DJ8" s="1353"/>
      <c r="DK8" s="1353"/>
      <c r="DL8" s="1353"/>
      <c r="DM8" s="1353"/>
      <c r="DN8" s="1353"/>
      <c r="DO8" s="1353"/>
      <c r="DP8" s="1353"/>
      <c r="DQ8" s="1353"/>
      <c r="DR8" s="1353"/>
      <c r="DS8" s="1353"/>
      <c r="DT8" s="1353"/>
      <c r="DU8" s="1353"/>
      <c r="DV8" s="1353"/>
      <c r="DW8" s="1353"/>
      <c r="DX8" s="1353"/>
      <c r="DY8" s="1353"/>
      <c r="DZ8" s="1353"/>
      <c r="EA8" s="1353"/>
      <c r="EB8" s="1353"/>
      <c r="EC8" s="1353"/>
      <c r="ED8" s="1353"/>
      <c r="EE8" s="1353"/>
      <c r="EF8" s="1353"/>
      <c r="EG8" s="1353"/>
      <c r="EH8" s="1353"/>
      <c r="EI8" s="1353"/>
      <c r="EJ8" s="1353"/>
      <c r="EK8" s="1353"/>
      <c r="EL8" s="1353"/>
      <c r="EM8" s="1353"/>
      <c r="EN8" s="1353"/>
      <c r="EO8" s="1353"/>
      <c r="EP8" s="1353"/>
      <c r="EQ8" s="1353"/>
      <c r="ER8" s="1353"/>
      <c r="ES8" s="1353"/>
      <c r="ET8" s="1353"/>
      <c r="EU8" s="1353"/>
      <c r="EV8" s="1353"/>
      <c r="EW8" s="1353"/>
      <c r="EX8" s="1353"/>
      <c r="EY8" s="1353"/>
      <c r="EZ8" s="1353"/>
      <c r="FA8" s="1353"/>
      <c r="FB8" s="1353"/>
      <c r="FC8" s="1353"/>
      <c r="FD8" s="1353"/>
      <c r="FE8" s="1353"/>
      <c r="FF8" s="1353"/>
      <c r="FG8" s="1353"/>
      <c r="FH8" s="1353"/>
      <c r="FI8" s="1353"/>
      <c r="FJ8" s="1353"/>
      <c r="FK8" s="1353"/>
      <c r="FL8" s="1353"/>
      <c r="FM8" s="1353"/>
      <c r="FN8" s="1353"/>
      <c r="FO8" s="1353"/>
      <c r="FP8" s="1353"/>
      <c r="FQ8" s="1353"/>
      <c r="FR8" s="1353"/>
      <c r="FS8" s="1353"/>
      <c r="FT8" s="1353"/>
      <c r="FU8" s="1353"/>
      <c r="FV8" s="1353"/>
      <c r="FW8" s="1353"/>
      <c r="FX8" s="1353"/>
      <c r="FY8" s="1353"/>
      <c r="FZ8" s="1353"/>
      <c r="GA8" s="1353"/>
      <c r="GB8" s="1353"/>
      <c r="GC8" s="1353"/>
      <c r="GD8" s="1353"/>
      <c r="GE8" s="1353"/>
      <c r="GF8" s="1353"/>
      <c r="GG8" s="1353"/>
      <c r="GH8" s="1353"/>
      <c r="GI8" s="1353"/>
      <c r="GJ8" s="1353"/>
      <c r="GK8" s="1353"/>
      <c r="GL8" s="1353"/>
      <c r="GM8" s="1353"/>
      <c r="GN8" s="1353"/>
      <c r="GO8" s="1353"/>
      <c r="GP8" s="1353"/>
      <c r="GQ8" s="1353"/>
      <c r="GR8" s="1353"/>
      <c r="GS8" s="1353"/>
      <c r="GT8" s="1353"/>
      <c r="GU8" s="1353"/>
      <c r="GV8" s="1353"/>
      <c r="GW8" s="1353"/>
      <c r="GX8" s="1353"/>
      <c r="GY8" s="1353"/>
      <c r="GZ8" s="1353"/>
      <c r="HA8" s="1353"/>
      <c r="HB8" s="1353"/>
      <c r="HC8" s="1353"/>
      <c r="HD8" s="1353"/>
      <c r="HE8" s="1353"/>
      <c r="HF8" s="1353"/>
      <c r="HG8" s="1353"/>
      <c r="HH8" s="1353"/>
      <c r="HI8" s="1353"/>
      <c r="HJ8" s="1353"/>
      <c r="HK8" s="1353"/>
      <c r="HL8" s="1353"/>
      <c r="HM8" s="1353"/>
      <c r="HN8" s="1353"/>
      <c r="HO8" s="1353"/>
      <c r="HP8" s="1353"/>
      <c r="HQ8" s="1353"/>
      <c r="HR8" s="1353"/>
      <c r="HS8" s="1353"/>
      <c r="HT8" s="1353"/>
      <c r="HU8" s="1353"/>
      <c r="HV8" s="1353"/>
      <c r="HW8" s="1353"/>
      <c r="HX8" s="1353"/>
      <c r="HY8" s="1353"/>
      <c r="HZ8" s="1353"/>
      <c r="IA8" s="1353"/>
      <c r="IB8" s="1353"/>
      <c r="IC8" s="1353"/>
      <c r="ID8" s="1353"/>
      <c r="IE8" s="1353"/>
      <c r="IF8" s="1353"/>
      <c r="IG8" s="1353"/>
      <c r="IH8" s="1353"/>
      <c r="II8" s="1353"/>
      <c r="IJ8" s="1353"/>
      <c r="IK8" s="1353"/>
      <c r="IL8" s="1353"/>
      <c r="IM8" s="1353"/>
      <c r="IN8" s="1353"/>
      <c r="IO8" s="1353"/>
      <c r="IP8" s="1353"/>
      <c r="IQ8" s="1353"/>
      <c r="IR8" s="1353"/>
      <c r="IS8" s="1353"/>
      <c r="IT8" s="1353"/>
      <c r="IU8" s="1353"/>
      <c r="IV8" s="1353"/>
      <c r="IW8" s="1353"/>
      <c r="IX8" s="1353"/>
    </row>
    <row r="9" spans="1:258">
      <c r="C9" s="1355" t="s">
        <v>1022</v>
      </c>
      <c r="D9" s="1340" t="s">
        <v>1023</v>
      </c>
      <c r="E9" s="1340" t="s">
        <v>1020</v>
      </c>
      <c r="F9" s="1356">
        <v>45657</v>
      </c>
      <c r="U9" s="1346">
        <v>1</v>
      </c>
      <c r="V9" s="1347">
        <v>1</v>
      </c>
    </row>
    <row r="10" spans="1:258">
      <c r="C10" s="1355" t="s">
        <v>1024</v>
      </c>
      <c r="D10" s="1340" t="s">
        <v>1025</v>
      </c>
      <c r="E10" s="1340" t="s">
        <v>1020</v>
      </c>
      <c r="F10" s="1357">
        <v>1</v>
      </c>
      <c r="U10" s="1346">
        <v>1</v>
      </c>
      <c r="V10" s="1347">
        <v>1</v>
      </c>
    </row>
    <row r="11" spans="1:258">
      <c r="C11" s="1355" t="s">
        <v>1026</v>
      </c>
      <c r="D11" s="1340" t="s">
        <v>1025</v>
      </c>
      <c r="E11" s="1340" t="s">
        <v>1027</v>
      </c>
      <c r="F11" s="1358">
        <f>12/F10</f>
        <v>12</v>
      </c>
      <c r="U11" s="1346">
        <v>1</v>
      </c>
      <c r="V11" s="1347">
        <v>1</v>
      </c>
    </row>
    <row r="12" spans="1:258">
      <c r="C12" s="1355" t="s">
        <v>1028</v>
      </c>
      <c r="D12" s="1340" t="s">
        <v>1025</v>
      </c>
      <c r="E12" s="1340" t="s">
        <v>1027</v>
      </c>
      <c r="F12" s="1358">
        <f>365/F10</f>
        <v>365</v>
      </c>
      <c r="U12" s="1346">
        <v>1</v>
      </c>
      <c r="V12" s="1347">
        <v>1</v>
      </c>
    </row>
    <row r="13" spans="1:258">
      <c r="C13" s="1355" t="s">
        <v>1029</v>
      </c>
      <c r="D13" s="1340" t="s">
        <v>1025</v>
      </c>
      <c r="E13" s="1340" t="s">
        <v>1020</v>
      </c>
      <c r="F13" s="1357">
        <v>5</v>
      </c>
      <c r="U13" s="1346">
        <v>1</v>
      </c>
      <c r="V13" s="1347">
        <v>1</v>
      </c>
    </row>
    <row r="14" spans="1:258">
      <c r="C14" s="1355" t="s">
        <v>1030</v>
      </c>
      <c r="D14" s="1340" t="s">
        <v>1025</v>
      </c>
      <c r="E14" s="1340" t="s">
        <v>1020</v>
      </c>
      <c r="F14" s="1357">
        <v>8</v>
      </c>
      <c r="U14" s="1346">
        <v>1</v>
      </c>
      <c r="V14" s="1347">
        <v>1</v>
      </c>
    </row>
    <row r="15" spans="1:258">
      <c r="C15" s="1355" t="s">
        <v>1031</v>
      </c>
      <c r="D15" s="1340" t="s">
        <v>1025</v>
      </c>
      <c r="E15" s="1340" t="s">
        <v>1020</v>
      </c>
      <c r="F15" s="1357">
        <v>12</v>
      </c>
      <c r="U15" s="1346">
        <v>1</v>
      </c>
      <c r="V15" s="1347">
        <v>1</v>
      </c>
    </row>
    <row r="16" spans="1:258">
      <c r="C16" s="1355" t="s">
        <v>1032</v>
      </c>
      <c r="D16" s="1340" t="s">
        <v>1025</v>
      </c>
      <c r="E16" s="1340" t="s">
        <v>1020</v>
      </c>
      <c r="F16" s="1357">
        <v>1000</v>
      </c>
      <c r="U16" s="1346">
        <v>1</v>
      </c>
      <c r="V16" s="1347">
        <v>1</v>
      </c>
    </row>
    <row r="17" spans="1:23">
      <c r="C17" s="1359" t="s">
        <v>1033</v>
      </c>
      <c r="D17" s="1337" t="s">
        <v>1023</v>
      </c>
      <c r="E17" s="1337" t="s">
        <v>1020</v>
      </c>
      <c r="F17" s="1360">
        <v>45291</v>
      </c>
      <c r="U17" s="1346">
        <v>1</v>
      </c>
      <c r="V17" s="1347">
        <v>1</v>
      </c>
    </row>
    <row r="18" spans="1:23">
      <c r="C18" s="1355" t="s">
        <v>1034</v>
      </c>
      <c r="D18" s="1340" t="s">
        <v>1023</v>
      </c>
      <c r="E18" s="1340" t="s">
        <v>1027</v>
      </c>
      <c r="F18" s="1361">
        <f>EOMONTH(F17, 1*F11)</f>
        <v>45657</v>
      </c>
      <c r="U18" s="1346">
        <v>1</v>
      </c>
      <c r="V18" s="1347">
        <v>1</v>
      </c>
    </row>
    <row r="19" spans="1:23">
      <c r="C19" s="1355" t="s">
        <v>1035</v>
      </c>
      <c r="D19" s="1340" t="s">
        <v>1023</v>
      </c>
      <c r="E19" s="1340" t="s">
        <v>1027</v>
      </c>
      <c r="F19" s="1361">
        <f>EOMONTH(F17,-(F13-1)*F11)</f>
        <v>43830</v>
      </c>
      <c r="U19" s="1346">
        <v>1</v>
      </c>
      <c r="V19" s="1347">
        <v>1</v>
      </c>
    </row>
    <row r="20" spans="1:23">
      <c r="C20" s="1355" t="s">
        <v>1036</v>
      </c>
      <c r="D20" s="1340" t="s">
        <v>1023</v>
      </c>
      <c r="E20" s="1340" t="s">
        <v>1027</v>
      </c>
      <c r="F20" s="1361">
        <f>EOMONTH(F17,F14*F11)</f>
        <v>48213</v>
      </c>
      <c r="U20" s="1346">
        <v>1</v>
      </c>
      <c r="V20" s="1347">
        <v>1</v>
      </c>
    </row>
    <row r="21" spans="1:23">
      <c r="C21" s="1359" t="s">
        <v>1037</v>
      </c>
      <c r="D21" s="1337" t="s">
        <v>1038</v>
      </c>
      <c r="E21" s="1337" t="s">
        <v>1027</v>
      </c>
      <c r="F21" s="1362">
        <f>YEAR(F17)</f>
        <v>2023</v>
      </c>
      <c r="U21" s="1346">
        <v>1</v>
      </c>
      <c r="V21" s="1347">
        <v>1</v>
      </c>
    </row>
    <row r="22" spans="1:23">
      <c r="C22" s="1355" t="s">
        <v>1039</v>
      </c>
      <c r="D22" s="1340" t="s">
        <v>1038</v>
      </c>
      <c r="E22" s="1340" t="s">
        <v>1027</v>
      </c>
      <c r="F22" s="1363">
        <f>YEAR(F18)</f>
        <v>2024</v>
      </c>
      <c r="U22" s="1346">
        <v>1</v>
      </c>
      <c r="V22" s="1347">
        <v>1</v>
      </c>
    </row>
    <row r="23" spans="1:23">
      <c r="C23" s="1355" t="s">
        <v>1040</v>
      </c>
      <c r="D23" s="1340" t="s">
        <v>1038</v>
      </c>
      <c r="E23" s="1340" t="s">
        <v>1027</v>
      </c>
      <c r="F23" s="1364">
        <v>2019</v>
      </c>
      <c r="U23" s="1346">
        <v>1</v>
      </c>
      <c r="V23" s="1347">
        <v>1</v>
      </c>
    </row>
    <row r="24" spans="1:23">
      <c r="C24" s="1355" t="s">
        <v>1041</v>
      </c>
      <c r="D24" s="1340" t="s">
        <v>1038</v>
      </c>
      <c r="E24" s="1340" t="s">
        <v>1027</v>
      </c>
      <c r="F24" s="1363">
        <v>2031</v>
      </c>
      <c r="U24" s="1346">
        <v>1</v>
      </c>
      <c r="V24" s="1347">
        <v>1</v>
      </c>
    </row>
    <row r="25" spans="1:23">
      <c r="C25" s="1355"/>
      <c r="F25" s="1363"/>
      <c r="U25" s="1346">
        <v>0</v>
      </c>
      <c r="V25" s="1347">
        <v>0</v>
      </c>
    </row>
    <row r="26" spans="1:23" ht="18">
      <c r="C26" s="1344" t="s">
        <v>1181</v>
      </c>
      <c r="D26" s="1345"/>
      <c r="E26" s="1345"/>
      <c r="F26" s="1345"/>
      <c r="G26" s="1345"/>
      <c r="H26" s="1345"/>
      <c r="I26" s="1345"/>
      <c r="J26" s="1345"/>
      <c r="K26" s="1345"/>
      <c r="L26" s="1345"/>
      <c r="M26" s="1345"/>
      <c r="N26" s="1345"/>
      <c r="O26" s="1345"/>
      <c r="P26" s="1345"/>
      <c r="Q26" s="1345"/>
      <c r="R26" s="1345"/>
      <c r="S26" s="1345"/>
      <c r="T26" s="1365"/>
      <c r="U26" s="1346">
        <v>1</v>
      </c>
      <c r="V26" s="1347">
        <v>1</v>
      </c>
    </row>
    <row r="27" spans="1:23" ht="18">
      <c r="C27" s="1355"/>
      <c r="G27" s="1366"/>
      <c r="H27" s="1366"/>
      <c r="I27" s="1366"/>
      <c r="J27" s="1366"/>
      <c r="K27" s="1366"/>
      <c r="L27" s="1367"/>
      <c r="M27" s="1367"/>
      <c r="N27" s="1367"/>
      <c r="O27" s="1367"/>
      <c r="P27" s="1367"/>
      <c r="Q27" s="1367"/>
      <c r="R27" s="1367"/>
      <c r="S27" s="1367"/>
      <c r="T27" s="1365"/>
      <c r="U27" s="1346">
        <v>0</v>
      </c>
      <c r="V27" s="1347">
        <v>0</v>
      </c>
      <c r="W27" s="1368"/>
    </row>
    <row r="28" spans="1:23">
      <c r="A28" s="1369"/>
      <c r="B28" s="1369"/>
      <c r="C28" s="1370" t="s">
        <v>1043</v>
      </c>
      <c r="G28" s="1371"/>
      <c r="H28" s="1371"/>
      <c r="I28" s="1371"/>
      <c r="J28" s="1371"/>
      <c r="K28" s="1371"/>
      <c r="L28" s="1371"/>
      <c r="M28" s="1371"/>
      <c r="N28" s="1371"/>
      <c r="O28" s="1371"/>
      <c r="P28" s="1371"/>
      <c r="Q28" s="1371"/>
      <c r="R28" s="1371"/>
      <c r="S28" s="1371"/>
      <c r="U28" s="1346">
        <v>1</v>
      </c>
      <c r="V28" s="1347">
        <v>1</v>
      </c>
    </row>
    <row r="29" spans="1:23">
      <c r="A29" s="1369"/>
      <c r="B29" s="1369"/>
      <c r="C29" s="1372" t="str">
        <f>'DCF - Capital Structure'!C94</f>
        <v>Net Debt / Adjusted EBITDA (Output)</v>
      </c>
      <c r="D29" s="1373" t="s">
        <v>1044</v>
      </c>
      <c r="E29" s="1373" t="s">
        <v>1027</v>
      </c>
      <c r="F29" s="1373"/>
      <c r="G29" s="1373"/>
      <c r="H29" s="1374">
        <f>'DCF - Capital Structure'!H94</f>
        <v>33.367703717973349</v>
      </c>
      <c r="I29" s="1374">
        <f>'DCF - Capital Structure'!I94</f>
        <v>3.6825005864414706</v>
      </c>
      <c r="J29" s="1374">
        <f>'DCF - Capital Structure'!J94</f>
        <v>3.4120852296886532</v>
      </c>
      <c r="K29" s="1374">
        <f>'DCF - Capital Structure'!K94</f>
        <v>1.1378877957243834</v>
      </c>
      <c r="L29" s="1375">
        <f>'DCF - Capital Structure'!L94</f>
        <v>0.64781416189036434</v>
      </c>
      <c r="M29" s="1375">
        <f>'DCF - Capital Structure'!M94</f>
        <v>0.24206217646455919</v>
      </c>
      <c r="N29" s="1375">
        <f>'DCF - Capital Structure'!N94</f>
        <v>0</v>
      </c>
      <c r="O29" s="1375">
        <f>'DCF - Capital Structure'!O94</f>
        <v>0</v>
      </c>
      <c r="P29" s="1375">
        <f>'DCF - Capital Structure'!P94</f>
        <v>0</v>
      </c>
      <c r="Q29" s="1375">
        <f>'DCF - Capital Structure'!Q94</f>
        <v>0</v>
      </c>
      <c r="R29" s="1375">
        <f>'DCF - Capital Structure'!R94</f>
        <v>0</v>
      </c>
      <c r="S29" s="1376">
        <f>'DCF - Capital Structure'!S94</f>
        <v>0</v>
      </c>
      <c r="U29" s="1346">
        <v>1</v>
      </c>
      <c r="V29" s="1347">
        <v>1</v>
      </c>
    </row>
    <row r="30" spans="1:23">
      <c r="A30" s="1369"/>
      <c r="B30" s="1369"/>
      <c r="C30" s="1377" t="str">
        <f>'DCF - Capital Structure'!C95</f>
        <v>Adjusted EBITDA / Interest Expense (Output)</v>
      </c>
      <c r="D30" s="1378" t="s">
        <v>1044</v>
      </c>
      <c r="E30" s="1378" t="s">
        <v>1027</v>
      </c>
      <c r="F30" s="1378"/>
      <c r="G30" s="1378"/>
      <c r="H30" s="1379">
        <f>'DCF - Capital Structure'!H95</f>
        <v>0</v>
      </c>
      <c r="I30" s="1379">
        <f>'DCF - Capital Structure'!I95</f>
        <v>2.7756165052494519</v>
      </c>
      <c r="J30" s="1379">
        <f>'DCF - Capital Structure'!J95</f>
        <v>2.6388646469683765</v>
      </c>
      <c r="K30" s="1379">
        <f>'DCF - Capital Structure'!K95</f>
        <v>10.591808303148502</v>
      </c>
      <c r="L30" s="1380">
        <f>'DCF - Capital Structure'!L95</f>
        <v>10.407789896578626</v>
      </c>
      <c r="M30" s="1380">
        <f>'DCF - Capital Structure'!M95</f>
        <v>6.4823139839513386</v>
      </c>
      <c r="N30" s="1380">
        <f>'DCF - Capital Structure'!N95</f>
        <v>6.4030083008315843</v>
      </c>
      <c r="O30" s="1380">
        <f>'DCF - Capital Structure'!O95</f>
        <v>6.8392732879968756</v>
      </c>
      <c r="P30" s="1380">
        <f>'DCF - Capital Structure'!P95</f>
        <v>7.1319426756452806</v>
      </c>
      <c r="Q30" s="1380">
        <f>'DCF - Capital Structure'!Q95</f>
        <v>6.9330922981681837</v>
      </c>
      <c r="R30" s="1380">
        <f>'DCF - Capital Structure'!R95</f>
        <v>7.0346954726599016</v>
      </c>
      <c r="S30" s="1381">
        <f>'DCF - Capital Structure'!S95</f>
        <v>7.1959235262571362</v>
      </c>
      <c r="U30" s="1346">
        <v>1</v>
      </c>
      <c r="V30" s="1347">
        <v>1</v>
      </c>
    </row>
    <row r="31" spans="1:23" ht="18">
      <c r="C31" s="1382"/>
      <c r="E31" s="1383" t="s">
        <v>1045</v>
      </c>
      <c r="G31" s="1366"/>
      <c r="H31" s="1366"/>
      <c r="I31" s="1366"/>
      <c r="J31" s="1366"/>
      <c r="K31" s="1366"/>
      <c r="L31" s="1384"/>
      <c r="M31" s="1384"/>
      <c r="N31" s="1384"/>
      <c r="O31" s="1384"/>
      <c r="P31" s="1384"/>
      <c r="Q31" s="1384"/>
      <c r="R31" s="1384"/>
      <c r="S31" s="1384"/>
      <c r="T31" s="1365"/>
      <c r="U31" s="1346">
        <v>0</v>
      </c>
      <c r="V31" s="1347">
        <v>0</v>
      </c>
      <c r="W31" s="1368"/>
    </row>
    <row r="32" spans="1:23" ht="18">
      <c r="C32" s="1385" t="s">
        <v>1182</v>
      </c>
      <c r="E32" s="1383"/>
      <c r="G32" s="1366"/>
      <c r="H32" s="1366"/>
      <c r="I32" s="1366"/>
      <c r="J32" s="1366"/>
      <c r="K32" s="1366"/>
      <c r="L32" s="1386"/>
      <c r="M32" s="1386"/>
      <c r="N32" s="1386"/>
      <c r="O32" s="1386"/>
      <c r="P32" s="1386"/>
      <c r="Q32" s="1386"/>
      <c r="R32" s="1386"/>
      <c r="S32" s="1386"/>
      <c r="T32" s="1365"/>
      <c r="U32" s="1346">
        <v>1</v>
      </c>
      <c r="V32" s="1347">
        <v>1</v>
      </c>
      <c r="W32" s="1368"/>
    </row>
    <row r="33" spans="3:23" ht="18">
      <c r="C33" s="1387" t="str">
        <f>" Active | "&amp;CHOOSE($E$33,C34,C35,C36)</f>
        <v xml:space="preserve"> Active | Scenario 2 - Bumble ARPU</v>
      </c>
      <c r="D33" s="1337"/>
      <c r="E33" s="1388">
        <v>2</v>
      </c>
      <c r="F33" s="1337"/>
      <c r="G33" s="1589">
        <v>27</v>
      </c>
      <c r="H33" s="1589">
        <v>27.79</v>
      </c>
      <c r="I33" s="1589">
        <v>29.37</v>
      </c>
      <c r="J33" s="1589">
        <v>28.9</v>
      </c>
      <c r="K33" s="1589">
        <v>27.97</v>
      </c>
      <c r="L33" s="1390">
        <f>CHOOSE($E$33,L34,L35,L36)</f>
        <v>28.951044784552735</v>
      </c>
      <c r="M33" s="1390">
        <f t="shared" ref="M33:S33" si="0">CHOOSE($E$33,M34,M35,M36)</f>
        <v>28.608076504889681</v>
      </c>
      <c r="N33" s="1390">
        <f t="shared" si="0"/>
        <v>28.692753778402395</v>
      </c>
      <c r="O33" s="1390">
        <f t="shared" si="0"/>
        <v>28.806725800291087</v>
      </c>
      <c r="P33" s="1390">
        <f t="shared" si="0"/>
        <v>29.24669491341858</v>
      </c>
      <c r="Q33" s="1390">
        <f t="shared" si="0"/>
        <v>29.381939523973209</v>
      </c>
      <c r="R33" s="1390">
        <f t="shared" si="0"/>
        <v>29.811782445145038</v>
      </c>
      <c r="S33" s="1391">
        <f t="shared" si="0"/>
        <v>30.141396831889125</v>
      </c>
      <c r="T33" s="1365"/>
      <c r="U33" s="1346">
        <v>1</v>
      </c>
      <c r="V33" s="1347">
        <v>1</v>
      </c>
      <c r="W33" s="1368"/>
    </row>
    <row r="34" spans="3:23" ht="18">
      <c r="C34" s="1392" t="str">
        <f>"Scenario "&amp;TEXT(E34,"0")&amp;" - Bumble ARPU"</f>
        <v>Scenario 1 - Bumble ARPU</v>
      </c>
      <c r="D34" s="1408"/>
      <c r="E34" s="1394">
        <v>1</v>
      </c>
      <c r="F34" s="1393"/>
      <c r="G34" s="1389">
        <v>27</v>
      </c>
      <c r="H34" s="1389">
        <v>27.79</v>
      </c>
      <c r="I34" s="1389">
        <v>29.37</v>
      </c>
      <c r="J34" s="1389">
        <v>28.9</v>
      </c>
      <c r="K34" s="1389">
        <v>27.97</v>
      </c>
      <c r="L34" s="1395">
        <f>_xlfn.FORECAST.ETS(L7,G34:K34,G7:K7)*(1.048)</f>
        <v>30.140912894951253</v>
      </c>
      <c r="M34" s="1395">
        <f t="shared" ref="M34:S34" si="1">_xlfn.FORECAST.ETS(M7,H34:L34,H7:L7)*(1.041)</f>
        <v>30.072693959412717</v>
      </c>
      <c r="N34" s="1395">
        <f t="shared" si="1"/>
        <v>31.663995974998304</v>
      </c>
      <c r="O34" s="1395">
        <f t="shared" si="1"/>
        <v>32.776865328423305</v>
      </c>
      <c r="P34" s="1395">
        <f t="shared" si="1"/>
        <v>35.39020922599564</v>
      </c>
      <c r="Q34" s="1395">
        <f t="shared" si="1"/>
        <v>37.726467056163855</v>
      </c>
      <c r="R34" s="1395">
        <f t="shared" si="1"/>
        <v>41.048307431497157</v>
      </c>
      <c r="S34" s="1396">
        <f t="shared" si="1"/>
        <v>44.828530899145242</v>
      </c>
      <c r="T34" s="1365"/>
      <c r="U34" s="1346">
        <v>1</v>
      </c>
      <c r="V34" s="1347">
        <v>1</v>
      </c>
      <c r="W34" s="1368"/>
    </row>
    <row r="35" spans="3:23" ht="18">
      <c r="C35" s="1397" t="str">
        <f>"Scenario "&amp;TEXT(E35,"0")&amp;" - Bumble ARPU"</f>
        <v>Scenario 2 - Bumble ARPU</v>
      </c>
      <c r="D35" s="1409"/>
      <c r="E35" s="1399">
        <v>2</v>
      </c>
      <c r="F35" s="1398"/>
      <c r="G35" s="1400">
        <v>27</v>
      </c>
      <c r="H35" s="1400">
        <v>27.79</v>
      </c>
      <c r="I35" s="1400">
        <v>29.37</v>
      </c>
      <c r="J35" s="1400">
        <v>28.9</v>
      </c>
      <c r="K35" s="1400">
        <v>27.97</v>
      </c>
      <c r="L35" s="1401">
        <f>_xlfn.FORECAST.ETS(L7,G35:K35,G7:K7)*(1+$M$37)</f>
        <v>28.951044784552735</v>
      </c>
      <c r="M35" s="1401">
        <f t="shared" ref="M35:S35" si="2">_xlfn.FORECAST.ETS(M7,H35:L35,H7:L7)*(1+$M$37)</f>
        <v>28.608076504889681</v>
      </c>
      <c r="N35" s="1401">
        <f t="shared" si="2"/>
        <v>28.692753778402395</v>
      </c>
      <c r="O35" s="1401">
        <f t="shared" si="2"/>
        <v>28.806725800291087</v>
      </c>
      <c r="P35" s="1401">
        <f t="shared" si="2"/>
        <v>29.24669491341858</v>
      </c>
      <c r="Q35" s="1401">
        <f t="shared" si="2"/>
        <v>29.381939523973209</v>
      </c>
      <c r="R35" s="1401">
        <f t="shared" si="2"/>
        <v>29.811782445145038</v>
      </c>
      <c r="S35" s="1401">
        <f t="shared" si="2"/>
        <v>30.141396831889125</v>
      </c>
      <c r="T35" s="1365"/>
      <c r="U35" s="1346">
        <v>1</v>
      </c>
      <c r="V35" s="1347">
        <v>1</v>
      </c>
      <c r="W35" s="1368"/>
    </row>
    <row r="36" spans="3:23" ht="18">
      <c r="C36" s="1402" t="str">
        <f>"Scenario "&amp;TEXT(E36,"0")&amp;" - Bumble ARPU"</f>
        <v>Scenario 3 - Bumble ARPU</v>
      </c>
      <c r="D36" s="1410"/>
      <c r="E36" s="1404">
        <v>3</v>
      </c>
      <c r="F36" s="1403"/>
      <c r="G36" s="1405">
        <v>27</v>
      </c>
      <c r="H36" s="1405">
        <v>27.79</v>
      </c>
      <c r="I36" s="1405">
        <v>29.37</v>
      </c>
      <c r="J36" s="1405">
        <v>28.9</v>
      </c>
      <c r="K36" s="1405">
        <v>27.97</v>
      </c>
      <c r="L36" s="1406">
        <f>_xlfn.FORECAST.ETS(L7,G36:K36,G7:K7)*(1-$L$37)</f>
        <v>28.487681030008059</v>
      </c>
      <c r="M36" s="1406">
        <f t="shared" ref="M36:S36" si="3">_xlfn.FORECAST.ETS(M7,H36:L36,H7:L7)*(1-$L$37)</f>
        <v>28.012184285603823</v>
      </c>
      <c r="N36" s="1406">
        <f t="shared" si="3"/>
        <v>27.472230409474829</v>
      </c>
      <c r="O36" s="1406">
        <f t="shared" si="3"/>
        <v>27.076994708923575</v>
      </c>
      <c r="P36" s="1406">
        <f t="shared" si="3"/>
        <v>26.567367021488682</v>
      </c>
      <c r="Q36" s="1406">
        <f t="shared" si="3"/>
        <v>25.881152080119993</v>
      </c>
      <c r="R36" s="1406">
        <f t="shared" si="3"/>
        <v>25.173656642999802</v>
      </c>
      <c r="S36" s="1406">
        <f t="shared" si="3"/>
        <v>24.415478677152841</v>
      </c>
      <c r="T36" s="1365"/>
      <c r="U36" s="1346">
        <v>1</v>
      </c>
      <c r="V36" s="1347">
        <v>1</v>
      </c>
      <c r="W36" s="1368"/>
    </row>
    <row r="37" spans="3:23" ht="18">
      <c r="C37" s="1382"/>
      <c r="E37" s="1383" t="s">
        <v>1045</v>
      </c>
      <c r="G37" s="1366"/>
      <c r="H37" s="1585">
        <f>H36/G36-1</f>
        <v>2.9259259259259318E-2</v>
      </c>
      <c r="I37" s="1585">
        <f t="shared" ref="I37:K37" si="4">I36/H36-1</f>
        <v>5.6854983807124837E-2</v>
      </c>
      <c r="J37" s="1585">
        <f t="shared" si="4"/>
        <v>-1.6002723867892477E-2</v>
      </c>
      <c r="K37" s="1585">
        <f t="shared" si="4"/>
        <v>-3.2179930795847689E-2</v>
      </c>
      <c r="L37" s="1586">
        <f>AVERAGE(H37:K37)</f>
        <v>9.4828971006609974E-3</v>
      </c>
      <c r="M37" s="1586">
        <f>MEDIAN(H37:K37)</f>
        <v>6.6282676956834208E-3</v>
      </c>
      <c r="N37" s="1586">
        <f>STDEV(H37:K37)</f>
        <v>4.0908545169437163E-2</v>
      </c>
      <c r="O37" s="1587"/>
      <c r="P37" s="1367"/>
      <c r="Q37" s="1367"/>
      <c r="R37" s="1367"/>
      <c r="S37" s="1367"/>
      <c r="T37" s="1365"/>
      <c r="U37" s="1346">
        <v>0</v>
      </c>
      <c r="V37" s="1347">
        <v>0</v>
      </c>
      <c r="W37" s="1368"/>
    </row>
    <row r="38" spans="3:23" ht="18">
      <c r="C38" s="1387" t="str">
        <f>" Active | "&amp;CHOOSE($E38,C39,C40,C41)</f>
        <v xml:space="preserve"> Active | Scenario 2 - Badoo App + Other ARPU</v>
      </c>
      <c r="D38" s="1337"/>
      <c r="E38" s="1388">
        <v>2</v>
      </c>
      <c r="F38" s="1337"/>
      <c r="G38" s="1590">
        <f>G39</f>
        <v>14.52</v>
      </c>
      <c r="H38" s="1590">
        <f t="shared" ref="H38:K38" si="5">H39</f>
        <v>13.1</v>
      </c>
      <c r="I38" s="1590">
        <f t="shared" si="5"/>
        <v>13.13</v>
      </c>
      <c r="J38" s="1590">
        <f t="shared" si="5"/>
        <v>13.06</v>
      </c>
      <c r="K38" s="1590">
        <f t="shared" si="5"/>
        <v>12.7</v>
      </c>
      <c r="L38" s="1407">
        <f>CHOOSE($E$38,L39,L40,L41)</f>
        <v>12.352769333287343</v>
      </c>
      <c r="M38" s="1407">
        <f t="shared" ref="M38:S38" si="6">CHOOSE($E$38,M39,M40,M41)</f>
        <v>12.228761944328873</v>
      </c>
      <c r="N38" s="1407">
        <f t="shared" si="6"/>
        <v>11.864592014979541</v>
      </c>
      <c r="O38" s="1407">
        <f t="shared" si="6"/>
        <v>11.635128888046875</v>
      </c>
      <c r="P38" s="1407">
        <f t="shared" si="6"/>
        <v>11.31016315553881</v>
      </c>
      <c r="Q38" s="1407">
        <f t="shared" si="6"/>
        <v>11.104676826340441</v>
      </c>
      <c r="R38" s="1407">
        <f t="shared" si="6"/>
        <v>10.755526303674847</v>
      </c>
      <c r="S38" s="1407">
        <f t="shared" si="6"/>
        <v>10.552772018730256</v>
      </c>
      <c r="T38" s="1365"/>
      <c r="U38" s="1346">
        <v>1</v>
      </c>
      <c r="V38" s="1347">
        <v>1</v>
      </c>
      <c r="W38" s="1368"/>
    </row>
    <row r="39" spans="3:23" ht="18">
      <c r="C39" s="1392" t="str">
        <f>"Scenario "&amp;TEXT(E39,"0")&amp;" - Badoo App + Other ARPU"</f>
        <v>Scenario 1 - Badoo App + Other ARPU</v>
      </c>
      <c r="D39" s="1408"/>
      <c r="E39" s="1394">
        <v>1</v>
      </c>
      <c r="F39" s="1393"/>
      <c r="G39" s="1389">
        <v>14.52</v>
      </c>
      <c r="H39" s="1389">
        <v>13.1</v>
      </c>
      <c r="I39" s="1389">
        <v>13.13</v>
      </c>
      <c r="J39" s="1389">
        <v>13.06</v>
      </c>
      <c r="K39" s="1389">
        <v>12.7</v>
      </c>
      <c r="L39" s="1395">
        <f>_xlfn.FORECAST.ETS(L7,G39:K39,G7:K7)*(1+$M$42+$N$42)</f>
        <v>12.712771441286328</v>
      </c>
      <c r="M39" s="1395">
        <f t="shared" ref="M39:S39" si="7">_xlfn.FORECAST.ETS(M7,H39:L39,H7:L7)*(1+$M$42+$N$42)</f>
        <v>12.878101338992117</v>
      </c>
      <c r="N39" s="1395">
        <f t="shared" si="7"/>
        <v>13.092245750023299</v>
      </c>
      <c r="O39" s="1395">
        <f t="shared" si="7"/>
        <v>13.413583909425334</v>
      </c>
      <c r="P39" s="1395">
        <f t="shared" si="7"/>
        <v>13.934156693173206</v>
      </c>
      <c r="Q39" s="1395">
        <f t="shared" si="7"/>
        <v>14.562423537865968</v>
      </c>
      <c r="R39" s="1395">
        <f t="shared" si="7"/>
        <v>15.335243805600049</v>
      </c>
      <c r="S39" s="1396">
        <f t="shared" si="7"/>
        <v>16.277629381238956</v>
      </c>
      <c r="T39" s="1365"/>
      <c r="U39" s="1346">
        <v>1</v>
      </c>
      <c r="V39" s="1347">
        <v>1</v>
      </c>
      <c r="W39" s="1368"/>
    </row>
    <row r="40" spans="3:23" ht="18">
      <c r="C40" s="1397" t="str">
        <f>"Scenario "&amp;TEXT(E40,"0")&amp;" - Badoo App + Other ARPU"</f>
        <v>Scenario 2 - Badoo App + Other ARPU</v>
      </c>
      <c r="D40" s="1409"/>
      <c r="E40" s="1399">
        <v>2</v>
      </c>
      <c r="F40" s="1398"/>
      <c r="G40" s="1400">
        <v>14.52</v>
      </c>
      <c r="H40" s="1400">
        <v>13.1</v>
      </c>
      <c r="I40" s="1400">
        <v>13.13</v>
      </c>
      <c r="J40" s="1400">
        <v>13.06</v>
      </c>
      <c r="K40" s="1400">
        <v>12.7</v>
      </c>
      <c r="L40" s="1401">
        <f>_xlfn.FORECAST.ETS(L7,G40:K40,G7:K7)</f>
        <v>12.352769333287343</v>
      </c>
      <c r="M40" s="1401">
        <f t="shared" ref="M40:S40" si="8">_xlfn.FORECAST.ETS(M7,H40:L40,H7:L7)</f>
        <v>12.228761944328873</v>
      </c>
      <c r="N40" s="1401">
        <f t="shared" si="8"/>
        <v>11.864592014979541</v>
      </c>
      <c r="O40" s="1401">
        <f t="shared" si="8"/>
        <v>11.635128888046875</v>
      </c>
      <c r="P40" s="1401">
        <f t="shared" si="8"/>
        <v>11.31016315553881</v>
      </c>
      <c r="Q40" s="1401">
        <f t="shared" si="8"/>
        <v>11.104676826340441</v>
      </c>
      <c r="R40" s="1401">
        <f t="shared" si="8"/>
        <v>10.755526303674847</v>
      </c>
      <c r="S40" s="1401">
        <f t="shared" si="8"/>
        <v>10.552772018730256</v>
      </c>
      <c r="T40" s="1365"/>
      <c r="U40" s="1346">
        <v>1</v>
      </c>
      <c r="V40" s="1347">
        <v>1</v>
      </c>
      <c r="W40" s="1368"/>
    </row>
    <row r="41" spans="3:23" ht="18">
      <c r="C41" s="1402" t="str">
        <f>"Scenario "&amp;TEXT(E41,"0")&amp;" - Badoo App + Other ARPU"</f>
        <v>Scenario 3 - Badoo App + Other ARPU</v>
      </c>
      <c r="D41" s="1410"/>
      <c r="E41" s="1404">
        <v>3</v>
      </c>
      <c r="F41" s="1403"/>
      <c r="G41" s="1405">
        <v>14.52</v>
      </c>
      <c r="H41" s="1405">
        <v>13.1</v>
      </c>
      <c r="I41" s="1405">
        <v>13.13</v>
      </c>
      <c r="J41" s="1405">
        <v>13.06</v>
      </c>
      <c r="K41" s="1405">
        <v>12.7</v>
      </c>
      <c r="L41" s="1406">
        <f>_xlfn.FORECAST.ETS(L7,G41:K41,G7:K7)*(1+$M$42)</f>
        <v>12.149588595579388</v>
      </c>
      <c r="M41" s="1406">
        <f t="shared" ref="M41:S41" si="9">_xlfn.FORECAST.ETS(M7,H41:L41,H7:L7)*(1+$M$42)</f>
        <v>11.842164988039102</v>
      </c>
      <c r="N41" s="1406">
        <f t="shared" si="9"/>
        <v>11.287767359069155</v>
      </c>
      <c r="O41" s="1406">
        <f t="shared" si="9"/>
        <v>10.776681037694338</v>
      </c>
      <c r="P41" s="1406">
        <f t="shared" si="9"/>
        <v>10.127568692017443</v>
      </c>
      <c r="Q41" s="1406">
        <f t="shared" si="9"/>
        <v>9.5102742408633674</v>
      </c>
      <c r="R41" s="1406">
        <f t="shared" si="9"/>
        <v>8.7973387546683171</v>
      </c>
      <c r="S41" s="1406">
        <f t="shared" si="9"/>
        <v>8.0705040936936268</v>
      </c>
      <c r="T41" s="1365"/>
      <c r="U41" s="1346">
        <v>1</v>
      </c>
      <c r="V41" s="1347">
        <v>1</v>
      </c>
      <c r="W41" s="1368"/>
    </row>
    <row r="42" spans="3:23" ht="18">
      <c r="C42" s="1382"/>
      <c r="E42" s="1383" t="s">
        <v>1045</v>
      </c>
      <c r="G42" s="1366"/>
      <c r="H42" s="1585">
        <f>H40/G40-1</f>
        <v>-9.779614325068875E-2</v>
      </c>
      <c r="I42" s="1585">
        <f t="shared" ref="I42:K42" si="10">I40/H40-1</f>
        <v>2.2900763358779663E-3</v>
      </c>
      <c r="J42" s="1585">
        <f t="shared" si="10"/>
        <v>-5.331302361005319E-3</v>
      </c>
      <c r="K42" s="1585">
        <f t="shared" si="10"/>
        <v>-2.7565084226646386E-2</v>
      </c>
      <c r="L42" s="1586">
        <f>AVERAGE(H42:K42)</f>
        <v>-3.2100613375615622E-2</v>
      </c>
      <c r="M42" s="1586">
        <f>MEDIAN(H42:K42)</f>
        <v>-1.6448193293825852E-2</v>
      </c>
      <c r="N42" s="1586">
        <f>STDEV(H42:K42)</f>
        <v>4.5591626501865969E-2</v>
      </c>
      <c r="O42" s="1367"/>
      <c r="P42" s="1367"/>
      <c r="Q42" s="1367"/>
      <c r="R42" s="1367"/>
      <c r="S42" s="1367"/>
      <c r="T42" s="1365"/>
      <c r="U42" s="1346">
        <v>0</v>
      </c>
      <c r="V42" s="1347">
        <v>0</v>
      </c>
      <c r="W42" s="1368"/>
    </row>
    <row r="43" spans="3:23" ht="18">
      <c r="C43" s="1387" t="str">
        <f>" Active | "&amp;CHOOSE($E43,C44,C45,C46)</f>
        <v xml:space="preserve"> Active | Scenario 3 - Bumble Global Paying User Base Growth</v>
      </c>
      <c r="D43" s="1337"/>
      <c r="E43" s="1388">
        <v>3</v>
      </c>
      <c r="F43" s="1337"/>
      <c r="G43" s="1411"/>
      <c r="H43" s="1411"/>
      <c r="I43" s="1411"/>
      <c r="J43" s="1411"/>
      <c r="K43" s="1411"/>
      <c r="L43" s="1412">
        <f>CHOOSE($E$43,L44,L45,L46)</f>
        <v>0.26865078975174539</v>
      </c>
      <c r="M43" s="1412">
        <f t="shared" ref="M43:S43" si="11">CHOOSE($E$43,M44,M45,M46)</f>
        <v>0.28297883187183848</v>
      </c>
      <c r="N43" s="1412">
        <f t="shared" si="11"/>
        <v>0.26363597500971286</v>
      </c>
      <c r="O43" s="1412">
        <f t="shared" si="11"/>
        <v>0.26388671574681444</v>
      </c>
      <c r="P43" s="1412">
        <f t="shared" si="11"/>
        <v>0.25344157304126663</v>
      </c>
      <c r="Q43" s="1412">
        <f t="shared" si="11"/>
        <v>0.26651877708427552</v>
      </c>
      <c r="R43" s="1412">
        <f t="shared" si="11"/>
        <v>0.26609237455078155</v>
      </c>
      <c r="S43" s="1412">
        <f t="shared" si="11"/>
        <v>0.26271508308657021</v>
      </c>
      <c r="T43" s="1365"/>
      <c r="U43" s="1346">
        <v>1</v>
      </c>
      <c r="V43" s="1347">
        <v>1</v>
      </c>
      <c r="W43" s="1368"/>
    </row>
    <row r="44" spans="3:23" ht="18">
      <c r="C44" s="1392" t="str">
        <f>"Scenario "&amp;TEXT(E44,"0")&amp;" - Bumble Global Paying User Base Growth"</f>
        <v>Scenario 1 - Bumble Global Paying User Base Growth</v>
      </c>
      <c r="D44" s="1408"/>
      <c r="E44" s="1394">
        <v>1</v>
      </c>
      <c r="F44" s="1393"/>
      <c r="G44" s="1413">
        <v>0.22</v>
      </c>
      <c r="H44" s="1413">
        <v>0.42399999999999999</v>
      </c>
      <c r="I44" s="1413">
        <v>0.29299999999999998</v>
      </c>
      <c r="J44" s="1413">
        <v>0.35299999999999998</v>
      </c>
      <c r="K44" s="1413">
        <v>0.21</v>
      </c>
      <c r="L44" s="1414">
        <f>_xlfn.FORECAST.ETS(L7,G44:K44,G7:K7)*(1+$M$47+$N$47)</f>
        <v>0.37430776348467448</v>
      </c>
      <c r="M44" s="1414">
        <f t="shared" ref="M44:S44" si="12">_xlfn.FORECAST.ETS(M7,H44:L44,H7:L7)*(1+$L$47)</f>
        <v>0.21482266375348408</v>
      </c>
      <c r="N44" s="1414">
        <f t="shared" si="12"/>
        <v>0.36973963454941389</v>
      </c>
      <c r="O44" s="1414">
        <f t="shared" si="12"/>
        <v>0.24236510731294161</v>
      </c>
      <c r="P44" s="1414">
        <f t="shared" si="12"/>
        <v>0.42691918573447168</v>
      </c>
      <c r="Q44" s="1414">
        <f t="shared" si="12"/>
        <v>0.30621973202684882</v>
      </c>
      <c r="R44" s="1414">
        <f t="shared" si="12"/>
        <v>0.52501176351462098</v>
      </c>
      <c r="S44" s="1414">
        <f t="shared" si="12"/>
        <v>0.43221186496729452</v>
      </c>
      <c r="T44" s="1365"/>
      <c r="U44" s="1346">
        <v>1</v>
      </c>
      <c r="V44" s="1347">
        <v>1</v>
      </c>
      <c r="W44" s="1368"/>
    </row>
    <row r="45" spans="3:23" ht="18">
      <c r="C45" s="1397" t="str">
        <f>"Scenario "&amp;TEXT(E45,"0")&amp;" - Bumble Global Paying User Base Growth"</f>
        <v>Scenario 2 - Bumble Global Paying User Base Growth</v>
      </c>
      <c r="D45" s="1409"/>
      <c r="E45" s="1399">
        <v>2</v>
      </c>
      <c r="F45" s="1398"/>
      <c r="G45" s="1415">
        <v>0.22</v>
      </c>
      <c r="H45" s="1415">
        <v>0.42399999999999999</v>
      </c>
      <c r="I45" s="1415">
        <v>0.29299999999999998</v>
      </c>
      <c r="J45" s="1415">
        <v>0.35299999999999998</v>
      </c>
      <c r="K45" s="1415">
        <v>0.21</v>
      </c>
      <c r="L45" s="1416">
        <f>AVERAGE(G45:K45)</f>
        <v>0.3</v>
      </c>
      <c r="M45" s="1416">
        <f t="shared" ref="M45:S45" si="13">AVERAGE(H45:L45)</f>
        <v>0.31599999999999995</v>
      </c>
      <c r="N45" s="1416">
        <f t="shared" si="13"/>
        <v>0.2944</v>
      </c>
      <c r="O45" s="1416">
        <f t="shared" si="13"/>
        <v>0.29467999999999994</v>
      </c>
      <c r="P45" s="1416">
        <f t="shared" si="13"/>
        <v>0.28301600000000005</v>
      </c>
      <c r="Q45" s="1416">
        <f t="shared" si="13"/>
        <v>0.29761919999999992</v>
      </c>
      <c r="R45" s="1416">
        <f t="shared" si="13"/>
        <v>0.29714303999999997</v>
      </c>
      <c r="S45" s="1416">
        <f t="shared" si="13"/>
        <v>0.29337164799999998</v>
      </c>
      <c r="T45" s="1365"/>
      <c r="U45" s="1346">
        <v>1</v>
      </c>
      <c r="V45" s="1347">
        <v>1</v>
      </c>
      <c r="W45" s="1368"/>
    </row>
    <row r="46" spans="3:23" ht="18">
      <c r="C46" s="1402" t="str">
        <f>"Scenario "&amp;TEXT(E46,"0")&amp;" - Bumble Global Paying User Base Growth"</f>
        <v>Scenario 3 - Bumble Global Paying User Base Growth</v>
      </c>
      <c r="D46" s="1410"/>
      <c r="E46" s="1404">
        <v>3</v>
      </c>
      <c r="F46" s="1403"/>
      <c r="G46" s="1417">
        <v>0.22</v>
      </c>
      <c r="H46" s="1417">
        <v>0.42399999999999999</v>
      </c>
      <c r="I46" s="1417">
        <v>0.29299999999999998</v>
      </c>
      <c r="J46" s="1417">
        <v>0.35299999999999998</v>
      </c>
      <c r="K46" s="1417">
        <v>0.21</v>
      </c>
      <c r="L46" s="1418">
        <f>L45*(1-$L$47)</f>
        <v>0.26865078975174539</v>
      </c>
      <c r="M46" s="1418">
        <f t="shared" ref="M46:S46" si="14">M45*(1-$L$47)</f>
        <v>0.28297883187183848</v>
      </c>
      <c r="N46" s="1418">
        <f t="shared" si="14"/>
        <v>0.26363597500971286</v>
      </c>
      <c r="O46" s="1418">
        <f t="shared" si="14"/>
        <v>0.26388671574681444</v>
      </c>
      <c r="P46" s="1418">
        <f t="shared" si="14"/>
        <v>0.25344157304126663</v>
      </c>
      <c r="Q46" s="1418">
        <f t="shared" si="14"/>
        <v>0.26651877708427552</v>
      </c>
      <c r="R46" s="1418">
        <f t="shared" si="14"/>
        <v>0.26609237455078155</v>
      </c>
      <c r="S46" s="1418">
        <f t="shared" si="14"/>
        <v>0.26271508308657021</v>
      </c>
      <c r="T46" s="1365"/>
      <c r="U46" s="1346">
        <v>1</v>
      </c>
      <c r="V46" s="1347">
        <v>1</v>
      </c>
      <c r="W46" s="1368"/>
    </row>
    <row r="47" spans="3:23" ht="18">
      <c r="C47" s="1382"/>
      <c r="E47" s="1383" t="s">
        <v>1045</v>
      </c>
      <c r="G47" s="1366"/>
      <c r="H47" s="1585">
        <f>H46/G46-1</f>
        <v>0.92727272727272725</v>
      </c>
      <c r="I47" s="1585">
        <f t="shared" ref="I47:K47" si="15">I46/H46-1</f>
        <v>-0.30896226415094341</v>
      </c>
      <c r="J47" s="1585">
        <f t="shared" si="15"/>
        <v>0.20477815699658697</v>
      </c>
      <c r="K47" s="1585">
        <f t="shared" si="15"/>
        <v>-0.40509915014164299</v>
      </c>
      <c r="L47" s="1586">
        <f>AVERAGE(H47:K47)</f>
        <v>0.10449736749418195</v>
      </c>
      <c r="M47" s="1586">
        <f>MEDIAN(H47:K47)</f>
        <v>-5.2092053577178221E-2</v>
      </c>
      <c r="N47" s="1586">
        <f>STDEV(H47:K47)</f>
        <v>0.61036956214756277</v>
      </c>
      <c r="O47" s="1367"/>
      <c r="P47" s="1367"/>
      <c r="Q47" s="1367"/>
      <c r="R47" s="1367"/>
      <c r="S47" s="1367"/>
      <c r="T47" s="1365"/>
      <c r="U47" s="1346">
        <v>0</v>
      </c>
      <c r="V47" s="1347">
        <v>0</v>
      </c>
      <c r="W47" s="1368"/>
    </row>
    <row r="48" spans="3:23" ht="18">
      <c r="C48" s="1387" t="str">
        <f>" Active | "&amp;CHOOSE($E48,C49,C50,C51)</f>
        <v xml:space="preserve"> Active | Scenario 2 - Badoo + Other App Global Paying User Base Growth</v>
      </c>
      <c r="D48" s="1337"/>
      <c r="E48" s="1388">
        <v>2</v>
      </c>
      <c r="F48" s="1337"/>
      <c r="G48" s="1411"/>
      <c r="H48" s="1411"/>
      <c r="I48" s="1411"/>
      <c r="J48" s="1411"/>
      <c r="K48" s="1411"/>
      <c r="L48" s="1412">
        <f>CHOOSE($E$48,L49,L50,L51)</f>
        <v>-5.4237243728021238E-2</v>
      </c>
      <c r="M48" s="1412">
        <f t="shared" ref="M48:S48" si="16">CHOOSE($E$48,M49,M50,M51)</f>
        <v>-6.9011393228466666E-2</v>
      </c>
      <c r="N48" s="1412">
        <f t="shared" si="16"/>
        <v>-0.10508461895462096</v>
      </c>
      <c r="O48" s="1412">
        <f t="shared" si="16"/>
        <v>-7.9955736973297248E-2</v>
      </c>
      <c r="P48" s="1412">
        <f t="shared" si="16"/>
        <v>-0.14033815949737441</v>
      </c>
      <c r="Q48" s="1412">
        <f t="shared" si="16"/>
        <v>-0.12113479992110331</v>
      </c>
      <c r="R48" s="1412">
        <f t="shared" si="16"/>
        <v>-0.16874588569571047</v>
      </c>
      <c r="S48" s="1412">
        <f t="shared" si="16"/>
        <v>-0.15359763500496376</v>
      </c>
      <c r="T48" s="1365"/>
      <c r="U48" s="1346">
        <v>1</v>
      </c>
      <c r="V48" s="1347">
        <v>1</v>
      </c>
      <c r="W48" s="1368"/>
    </row>
    <row r="49" spans="3:23" ht="18">
      <c r="C49" s="1392" t="str">
        <f>"Scenario "&amp;TEXT(E49,"0")&amp;" - Badoo + Other App Global Paying User Base Growth"</f>
        <v>Scenario 1 - Badoo + Other App Global Paying User Base Growth</v>
      </c>
      <c r="D49" s="1408"/>
      <c r="E49" s="1394">
        <v>1</v>
      </c>
      <c r="F49" s="1393"/>
      <c r="G49" s="1413">
        <v>0.22</v>
      </c>
      <c r="H49" s="1413">
        <v>0.246</v>
      </c>
      <c r="I49" s="1413">
        <v>-0.06</v>
      </c>
      <c r="J49" s="1413">
        <v>-0.112</v>
      </c>
      <c r="K49" s="1413">
        <v>7.8E-2</v>
      </c>
      <c r="L49" s="1414">
        <f>_xlfn.FORECAST.ETS(L7,G49:K49,G7:K7)*(1+$M$52-$N$52)</f>
        <v>4.0726353244256809E-2</v>
      </c>
      <c r="M49" s="1414">
        <f t="shared" ref="M49:S49" si="17">_xlfn.FORECAST.ETS(M7,H49:L49,H7:L7)*(1+$M$52-$N$52)</f>
        <v>1.195367749620176E-3</v>
      </c>
      <c r="N49" s="1414">
        <f t="shared" si="17"/>
        <v>-3.4620805782025317E-2</v>
      </c>
      <c r="O49" s="1414">
        <f t="shared" si="17"/>
        <v>3.6619640751258246E-3</v>
      </c>
      <c r="P49" s="1414">
        <f t="shared" si="17"/>
        <v>2.9871574394215977E-2</v>
      </c>
      <c r="Q49" s="1414">
        <f t="shared" si="17"/>
        <v>-1.1275374727677506E-2</v>
      </c>
      <c r="R49" s="1414">
        <f t="shared" si="17"/>
        <v>-2.0772133038101909E-2</v>
      </c>
      <c r="S49" s="1414">
        <f t="shared" si="17"/>
        <v>9.3896273016790179E-3</v>
      </c>
      <c r="T49" s="1365"/>
      <c r="U49" s="1346">
        <v>1</v>
      </c>
      <c r="V49" s="1347">
        <v>1</v>
      </c>
      <c r="W49" s="1368"/>
    </row>
    <row r="50" spans="3:23" ht="18">
      <c r="C50" s="1397" t="str">
        <f>"Scenario "&amp;TEXT(E50,"0")&amp;" - Badoo + Other App Global Paying User Base Growth"</f>
        <v>Scenario 2 - Badoo + Other App Global Paying User Base Growth</v>
      </c>
      <c r="D50" s="1409"/>
      <c r="E50" s="1399">
        <v>2</v>
      </c>
      <c r="F50" s="1398"/>
      <c r="G50" s="1415">
        <v>0.22</v>
      </c>
      <c r="H50" s="1415">
        <v>0.246</v>
      </c>
      <c r="I50" s="1415">
        <v>-0.06</v>
      </c>
      <c r="J50" s="1415">
        <v>-0.112</v>
      </c>
      <c r="K50" s="1415">
        <v>7.8E-2</v>
      </c>
      <c r="L50" s="1416">
        <f>_xlfn.FORECAST.ETS(L7,G50:K50,G7:K7)</f>
        <v>-5.4237243728021238E-2</v>
      </c>
      <c r="M50" s="1416">
        <f t="shared" ref="M50:S50" si="18">_xlfn.FORECAST.ETS(M7,H50:L50,H7:L7)</f>
        <v>-6.9011393228466666E-2</v>
      </c>
      <c r="N50" s="1416">
        <f t="shared" si="18"/>
        <v>-0.10508461895462096</v>
      </c>
      <c r="O50" s="1416">
        <f t="shared" si="18"/>
        <v>-7.9955736973297248E-2</v>
      </c>
      <c r="P50" s="1416">
        <f t="shared" si="18"/>
        <v>-0.14033815949737441</v>
      </c>
      <c r="Q50" s="1416">
        <f t="shared" si="18"/>
        <v>-0.12113479992110331</v>
      </c>
      <c r="R50" s="1416">
        <f t="shared" si="18"/>
        <v>-0.16874588569571047</v>
      </c>
      <c r="S50" s="1416">
        <f t="shared" si="18"/>
        <v>-0.15359763500496376</v>
      </c>
      <c r="T50" s="1365"/>
      <c r="U50" s="1346">
        <v>1</v>
      </c>
      <c r="V50" s="1347">
        <v>1</v>
      </c>
      <c r="W50" s="1368"/>
    </row>
    <row r="51" spans="3:23" ht="18">
      <c r="C51" s="1402" t="str">
        <f>"Scenario "&amp;TEXT(E51,"0")&amp;" - Badoo + Other App Global Paying User Base Growth"</f>
        <v>Scenario 3 - Badoo + Other App Global Paying User Base Growth</v>
      </c>
      <c r="D51" s="1410"/>
      <c r="E51" s="1404">
        <v>3</v>
      </c>
      <c r="F51" s="1403"/>
      <c r="G51" s="1417">
        <v>0.22</v>
      </c>
      <c r="H51" s="1417">
        <v>0.246</v>
      </c>
      <c r="I51" s="1417">
        <v>-0.06</v>
      </c>
      <c r="J51" s="1417">
        <v>-0.112</v>
      </c>
      <c r="K51" s="1417">
        <v>7.8E-2</v>
      </c>
      <c r="L51" s="1418">
        <f>_xlfn.FORECAST.LINEAR(L7,G51:K51,G7:K7)</f>
        <v>-0.11820000000000164</v>
      </c>
      <c r="M51" s="1418">
        <f t="shared" ref="M51:S51" si="19">_xlfn.FORECAST.LINEAR(M7,H51:L51,H7:L7)</f>
        <v>-0.17036000000000229</v>
      </c>
      <c r="N51" s="1418">
        <f t="shared" si="19"/>
        <v>-0.14458800000000593</v>
      </c>
      <c r="O51" s="1418">
        <f t="shared" si="19"/>
        <v>-0.1874904000000015</v>
      </c>
      <c r="P51" s="1418">
        <f t="shared" si="19"/>
        <v>-0.2757383200000163</v>
      </c>
      <c r="Q51" s="1418">
        <f t="shared" si="19"/>
        <v>-0.27893745600000841</v>
      </c>
      <c r="R51" s="1418">
        <f t="shared" si="19"/>
        <v>-0.31591440480001154</v>
      </c>
      <c r="S51" s="1418">
        <f t="shared" si="19"/>
        <v>-0.37076367584002412</v>
      </c>
      <c r="T51" s="1365"/>
      <c r="U51" s="1346">
        <v>1</v>
      </c>
      <c r="V51" s="1347">
        <v>1</v>
      </c>
      <c r="W51" s="1368"/>
    </row>
    <row r="52" spans="3:23" ht="18">
      <c r="C52" s="1382"/>
      <c r="E52" s="1383" t="s">
        <v>1045</v>
      </c>
      <c r="G52" s="1366"/>
      <c r="H52" s="1585">
        <f>H51/G51-1</f>
        <v>0.11818181818181817</v>
      </c>
      <c r="I52" s="1585">
        <f t="shared" ref="I52:K52" si="20">I51/H51-1</f>
        <v>-1.2439024390243902</v>
      </c>
      <c r="J52" s="1585">
        <f t="shared" si="20"/>
        <v>0.8666666666666667</v>
      </c>
      <c r="K52" s="1585">
        <f t="shared" si="20"/>
        <v>-1.6964285714285714</v>
      </c>
      <c r="L52" s="1586">
        <f>AVERAGE(H52:K52)</f>
        <v>-0.48887063140111919</v>
      </c>
      <c r="M52" s="1586">
        <f>MEDIAN(H52:K52)</f>
        <v>-0.56286031042128604</v>
      </c>
      <c r="N52" s="1586">
        <f>STDEV(H52:K52)</f>
        <v>1.1880324423241095</v>
      </c>
      <c r="O52" s="1367"/>
      <c r="P52" s="1367"/>
      <c r="Q52" s="1367"/>
      <c r="R52" s="1367"/>
      <c r="S52" s="1367"/>
      <c r="T52" s="1365"/>
      <c r="U52" s="1346">
        <v>0</v>
      </c>
      <c r="V52" s="1347">
        <v>0</v>
      </c>
      <c r="W52" s="1368"/>
    </row>
    <row r="53" spans="3:23" ht="18">
      <c r="C53" s="1385" t="s">
        <v>1183</v>
      </c>
      <c r="E53" s="1383"/>
      <c r="G53" s="1366"/>
      <c r="H53" s="1366"/>
      <c r="I53" s="1366"/>
      <c r="J53" s="1366"/>
      <c r="K53" s="1366"/>
      <c r="L53" s="1419"/>
      <c r="M53" s="1419"/>
      <c r="N53" s="1419"/>
      <c r="O53" s="1419"/>
      <c r="P53" s="1419"/>
      <c r="Q53" s="1419"/>
      <c r="R53" s="1419"/>
      <c r="S53" s="1419"/>
      <c r="T53" s="1365"/>
      <c r="U53" s="1346">
        <v>1</v>
      </c>
      <c r="V53" s="1347">
        <v>1</v>
      </c>
      <c r="W53" s="1368"/>
    </row>
    <row r="54" spans="3:23" ht="18">
      <c r="C54" s="1387" t="str">
        <f>" Active | "&amp;CHOOSE($E$54,C55,C56,C57)</f>
        <v xml:space="preserve"> Active | Scenario 2 - Gross Margin %</v>
      </c>
      <c r="D54" s="1337"/>
      <c r="E54" s="1388">
        <v>2</v>
      </c>
      <c r="F54" s="1337"/>
      <c r="G54" s="1411"/>
      <c r="H54" s="1411"/>
      <c r="I54" s="1411"/>
      <c r="J54" s="1411"/>
      <c r="K54" s="1411"/>
      <c r="L54" s="1412">
        <f>CHOOSE($E$54,L55,L56,L57)</f>
        <v>0.71525349389528659</v>
      </c>
      <c r="M54" s="1412">
        <f t="shared" ref="M54:S54" si="21">CHOOSE($E$54,M55,M56,M57)</f>
        <v>0.70576430054478223</v>
      </c>
      <c r="N54" s="1412">
        <f t="shared" si="21"/>
        <v>0.69917419101019718</v>
      </c>
      <c r="O54" s="1412">
        <f t="shared" si="21"/>
        <v>0.69499334424915027</v>
      </c>
      <c r="P54" s="1412">
        <f t="shared" si="21"/>
        <v>0.69227572772255108</v>
      </c>
      <c r="Q54" s="1412">
        <f t="shared" si="21"/>
        <v>0.68447426489206187</v>
      </c>
      <c r="R54" s="1412">
        <f t="shared" si="21"/>
        <v>0.68049280530582301</v>
      </c>
      <c r="S54" s="1412">
        <f t="shared" si="21"/>
        <v>0.67591751140620637</v>
      </c>
      <c r="T54" s="1365"/>
      <c r="U54" s="1346">
        <v>1</v>
      </c>
      <c r="V54" s="1347">
        <v>1</v>
      </c>
      <c r="W54" s="1368"/>
    </row>
    <row r="55" spans="3:23" ht="18">
      <c r="C55" s="1392" t="s">
        <v>1046</v>
      </c>
      <c r="D55" s="1408"/>
      <c r="E55" s="1394">
        <v>1</v>
      </c>
      <c r="F55" s="1393"/>
      <c r="G55" s="1413">
        <f>G$99</f>
        <v>0.71414283961222236</v>
      </c>
      <c r="H55" s="1413">
        <f t="shared" ref="H55:K57" si="22">H$99</f>
        <v>0.72960517501399913</v>
      </c>
      <c r="I55" s="1413">
        <f t="shared" si="22"/>
        <v>0.73036101510034035</v>
      </c>
      <c r="J55" s="1413">
        <f t="shared" si="22"/>
        <v>0.72386367283783226</v>
      </c>
      <c r="K55" s="1413">
        <f t="shared" si="22"/>
        <v>0.70733388475323955</v>
      </c>
      <c r="L55" s="1416">
        <f>_xlfn.FORECAST.ETS(L7,G55:K55,G7:K7)*(1+$L$58+$N$58)</f>
        <v>0.72282841832950639</v>
      </c>
      <c r="M55" s="1416">
        <f t="shared" ref="M55:S55" si="23">_xlfn.FORECAST.ETS(M7,H55:L55,H7:L7)*(1+$L$58+$N$58)</f>
        <v>0.71435882281646501</v>
      </c>
      <c r="N55" s="1416">
        <f t="shared" si="23"/>
        <v>0.72943091883383038</v>
      </c>
      <c r="O55" s="1416">
        <f t="shared" si="23"/>
        <v>0.72911878267813179</v>
      </c>
      <c r="P55" s="1416">
        <f t="shared" si="23"/>
        <v>0.75345165514493506</v>
      </c>
      <c r="Q55" s="1416">
        <f t="shared" si="23"/>
        <v>0.76820801192451249</v>
      </c>
      <c r="R55" s="1416">
        <f t="shared" si="23"/>
        <v>0.79418165926279927</v>
      </c>
      <c r="S55" s="1416">
        <f t="shared" si="23"/>
        <v>0.82165815775518392</v>
      </c>
      <c r="T55" s="1365"/>
      <c r="U55" s="1346">
        <v>1</v>
      </c>
      <c r="V55" s="1347">
        <v>1</v>
      </c>
      <c r="W55" s="1368"/>
    </row>
    <row r="56" spans="3:23" ht="18">
      <c r="C56" s="1397" t="s">
        <v>1047</v>
      </c>
      <c r="D56" s="1409"/>
      <c r="E56" s="1399">
        <v>2</v>
      </c>
      <c r="F56" s="1398"/>
      <c r="G56" s="1415">
        <f t="shared" ref="G56:G57" si="24">G$99</f>
        <v>0.71414283961222236</v>
      </c>
      <c r="H56" s="1415">
        <f t="shared" si="22"/>
        <v>0.72960517501399913</v>
      </c>
      <c r="I56" s="1415">
        <f t="shared" si="22"/>
        <v>0.73036101510034035</v>
      </c>
      <c r="J56" s="1415">
        <f t="shared" si="22"/>
        <v>0.72386367283783226</v>
      </c>
      <c r="K56" s="1415">
        <f t="shared" si="22"/>
        <v>0.70733388475323955</v>
      </c>
      <c r="L56" s="1416">
        <f>_xlfn.FORECAST.LINEAR(L7,G56:K56,G7:K7)</f>
        <v>0.71525349389528659</v>
      </c>
      <c r="M56" s="1416">
        <f t="shared" ref="M56:S56" si="25">_xlfn.FORECAST.LINEAR(M7,H56:L56,H7:L7)</f>
        <v>0.70576430054478223</v>
      </c>
      <c r="N56" s="1416">
        <f t="shared" si="25"/>
        <v>0.69917419101019718</v>
      </c>
      <c r="O56" s="1416">
        <f t="shared" si="25"/>
        <v>0.69499334424915027</v>
      </c>
      <c r="P56" s="1416">
        <f t="shared" si="25"/>
        <v>0.69227572772255108</v>
      </c>
      <c r="Q56" s="1416">
        <f t="shared" si="25"/>
        <v>0.68447426489206187</v>
      </c>
      <c r="R56" s="1416">
        <f t="shared" si="25"/>
        <v>0.68049280530582301</v>
      </c>
      <c r="S56" s="1416">
        <f t="shared" si="25"/>
        <v>0.67591751140620637</v>
      </c>
      <c r="T56" s="1365"/>
      <c r="U56" s="1346">
        <v>1</v>
      </c>
      <c r="V56" s="1347">
        <v>1</v>
      </c>
      <c r="W56" s="1368"/>
    </row>
    <row r="57" spans="3:23" ht="18">
      <c r="C57" s="1402" t="s">
        <v>1048</v>
      </c>
      <c r="D57" s="1410"/>
      <c r="E57" s="1404">
        <v>3</v>
      </c>
      <c r="F57" s="1403"/>
      <c r="G57" s="1425">
        <f t="shared" si="24"/>
        <v>0.71414283961222236</v>
      </c>
      <c r="H57" s="1425">
        <f t="shared" si="22"/>
        <v>0.72960517501399913</v>
      </c>
      <c r="I57" s="1425">
        <f t="shared" si="22"/>
        <v>0.73036101510034035</v>
      </c>
      <c r="J57" s="1425">
        <f t="shared" si="22"/>
        <v>0.72386367283783226</v>
      </c>
      <c r="K57" s="1425">
        <f t="shared" si="22"/>
        <v>0.70733388475323955</v>
      </c>
      <c r="L57" s="1418">
        <f>_xlfn.FORECAST.ETS(L7,G57:K57,G7:K7)*(1+$M$58-$N$58)</f>
        <v>0.69503316381699964</v>
      </c>
      <c r="M57" s="1418">
        <f t="shared" ref="M57:S57" si="26">_xlfn.FORECAST.ETS(M7,H57:L57,H7:L7)*(1+$M$58-$N$58)</f>
        <v>0.67196418184089601</v>
      </c>
      <c r="N57" s="1418">
        <f t="shared" si="26"/>
        <v>0.6452017213732314</v>
      </c>
      <c r="O57" s="1418">
        <f t="shared" si="26"/>
        <v>0.61458608289966721</v>
      </c>
      <c r="P57" s="1418">
        <f t="shared" si="26"/>
        <v>0.58050991192832213</v>
      </c>
      <c r="Q57" s="1418">
        <f t="shared" si="26"/>
        <v>0.54145628647134569</v>
      </c>
      <c r="R57" s="1418">
        <f t="shared" si="26"/>
        <v>0.49978399027022985</v>
      </c>
      <c r="S57" s="1418">
        <f t="shared" si="26"/>
        <v>0.45496806233784964</v>
      </c>
      <c r="T57" s="1365"/>
      <c r="U57" s="1346">
        <v>1</v>
      </c>
      <c r="V57" s="1347">
        <v>1</v>
      </c>
      <c r="W57" s="1368"/>
    </row>
    <row r="58" spans="3:23" ht="18">
      <c r="C58" s="1382"/>
      <c r="E58" s="1383" t="s">
        <v>1045</v>
      </c>
      <c r="G58" s="1366"/>
      <c r="H58" s="1585">
        <f>H57/G57-1</f>
        <v>2.1651600413963079E-2</v>
      </c>
      <c r="I58" s="1585">
        <f t="shared" ref="I58:J58" si="27">I57/H57-1</f>
        <v>1.03595768262843E-3</v>
      </c>
      <c r="J58" s="1585">
        <f t="shared" si="27"/>
        <v>-8.8960693796279466E-3</v>
      </c>
      <c r="K58" s="1585">
        <f>K57/J57-1</f>
        <v>-2.283549887203129E-2</v>
      </c>
      <c r="L58" s="1586">
        <f>AVERAGE(H58:K58)</f>
        <v>-2.2610025387669319E-3</v>
      </c>
      <c r="M58" s="1586">
        <f>MEDIAN(H58:K58)</f>
        <v>-3.9300558484997583E-3</v>
      </c>
      <c r="N58" s="1586">
        <f>STDEV(H58:K58)</f>
        <v>1.8708434265740297E-2</v>
      </c>
      <c r="O58" s="1367"/>
      <c r="P58" s="1367"/>
      <c r="Q58" s="1367"/>
      <c r="R58" s="1367"/>
      <c r="S58" s="1367"/>
      <c r="T58" s="1365"/>
      <c r="U58" s="1346">
        <v>0</v>
      </c>
      <c r="V58" s="1347">
        <v>0</v>
      </c>
      <c r="W58" s="1368"/>
    </row>
    <row r="59" spans="3:23" ht="18">
      <c r="C59" s="1420" t="str">
        <f>" Active | "&amp;CHOOSE($E$59,C60,C61,C62)</f>
        <v xml:space="preserve"> Active | Scenario 3 - Marketing Expense Margin %</v>
      </c>
      <c r="D59" s="1421"/>
      <c r="E59" s="1422">
        <v>3</v>
      </c>
      <c r="F59" s="1421"/>
      <c r="G59" s="1423"/>
      <c r="H59" s="1423"/>
      <c r="I59" s="1423"/>
      <c r="J59" s="1423"/>
      <c r="K59" s="1423"/>
      <c r="L59" s="1412">
        <f>CHOOSE($E$59,L60,L61,L62)</f>
        <v>0.25516796981572504</v>
      </c>
      <c r="M59" s="1412">
        <f t="shared" ref="M59:S59" si="28">CHOOSE($E$59,M60,M61,M62)</f>
        <v>0.24845159689112636</v>
      </c>
      <c r="N59" s="1412">
        <f t="shared" si="28"/>
        <v>0.23977934258867906</v>
      </c>
      <c r="O59" s="1412">
        <f t="shared" si="28"/>
        <v>0.23189621835613633</v>
      </c>
      <c r="P59" s="1412">
        <f t="shared" si="28"/>
        <v>0.22761702546480581</v>
      </c>
      <c r="Q59" s="1412">
        <f t="shared" si="28"/>
        <v>0.21991572438696494</v>
      </c>
      <c r="R59" s="1412">
        <f t="shared" si="28"/>
        <v>0.21356826674981452</v>
      </c>
      <c r="S59" s="1412">
        <f t="shared" si="28"/>
        <v>0.20802007387033852</v>
      </c>
      <c r="T59" s="1365"/>
      <c r="U59" s="1346">
        <v>1</v>
      </c>
      <c r="V59" s="1347">
        <v>1</v>
      </c>
      <c r="W59" s="1368"/>
    </row>
    <row r="60" spans="3:23" ht="18">
      <c r="C60" s="1397" t="s">
        <v>1049</v>
      </c>
      <c r="D60" s="1409"/>
      <c r="E60" s="1399">
        <v>1</v>
      </c>
      <c r="F60" s="1398"/>
      <c r="G60" s="1550">
        <f>-G$105</f>
        <v>0.29226899006013007</v>
      </c>
      <c r="H60" s="1550">
        <f t="shared" ref="H60:K62" si="29">-H$105</f>
        <v>0.28126084282921837</v>
      </c>
      <c r="I60" s="1550">
        <f t="shared" si="29"/>
        <v>0.27823395670972917</v>
      </c>
      <c r="J60" s="1550">
        <f t="shared" si="29"/>
        <v>0.27589172365780745</v>
      </c>
      <c r="K60" s="1550">
        <f t="shared" si="29"/>
        <v>0.25705674871414586</v>
      </c>
      <c r="L60" s="1424">
        <f>FORECAST(L7,G60:K60,G7:K7)*(1+$L$63)</f>
        <v>0.24625324392872708</v>
      </c>
      <c r="M60" s="1424">
        <f t="shared" ref="M60:S60" si="30">FORECAST(M7,H60:L60,H7:L7)*(1+$L$63)</f>
        <v>0.23286280947982899</v>
      </c>
      <c r="N60" s="1424">
        <f t="shared" si="30"/>
        <v>0.21500334612711619</v>
      </c>
      <c r="O60" s="1424">
        <f t="shared" si="30"/>
        <v>0.1953159237211359</v>
      </c>
      <c r="P60" s="1424">
        <f t="shared" si="30"/>
        <v>0.17715877336380007</v>
      </c>
      <c r="Q60" s="1424">
        <f t="shared" si="30"/>
        <v>0.15557480672091301</v>
      </c>
      <c r="R60" s="1424">
        <f t="shared" si="30"/>
        <v>0.13315751283805996</v>
      </c>
      <c r="S60" s="1424">
        <f t="shared" si="30"/>
        <v>0.11063985160025078</v>
      </c>
      <c r="T60" s="1365"/>
      <c r="U60" s="1346">
        <v>1</v>
      </c>
      <c r="V60" s="1347">
        <v>1</v>
      </c>
      <c r="W60" s="1368"/>
    </row>
    <row r="61" spans="3:23" ht="18">
      <c r="C61" s="1397" t="s">
        <v>1050</v>
      </c>
      <c r="D61" s="1409"/>
      <c r="E61" s="1399">
        <v>2</v>
      </c>
      <c r="F61" s="1398"/>
      <c r="G61" s="1415">
        <f t="shared" ref="G61:G62" si="31">-G$105</f>
        <v>0.29226899006013007</v>
      </c>
      <c r="H61" s="1415">
        <f t="shared" si="29"/>
        <v>0.28126084282921837</v>
      </c>
      <c r="I61" s="1415">
        <f t="shared" si="29"/>
        <v>0.27823395670972917</v>
      </c>
      <c r="J61" s="1415">
        <f t="shared" si="29"/>
        <v>0.27589172365780745</v>
      </c>
      <c r="K61" s="1415">
        <f t="shared" si="29"/>
        <v>0.25705674871414586</v>
      </c>
      <c r="L61" s="1424">
        <f>FORECAST(L7,G61:K61,G7:K7)</f>
        <v>0.25420437183519162</v>
      </c>
      <c r="M61" s="1424">
        <f t="shared" ref="M61:S61" si="32">FORECAST(M7,H61:L61,H7:L7)</f>
        <v>0.24674248375412589</v>
      </c>
      <c r="N61" s="1424">
        <f t="shared" si="32"/>
        <v>0.23702476761405222</v>
      </c>
      <c r="O61" s="1424">
        <f t="shared" si="32"/>
        <v>0.22776956600080922</v>
      </c>
      <c r="P61" s="1424">
        <f t="shared" si="32"/>
        <v>0.22183339668931978</v>
      </c>
      <c r="Q61" s="1424">
        <f t="shared" si="32"/>
        <v>0.21240045676518093</v>
      </c>
      <c r="R61" s="1424">
        <f t="shared" si="32"/>
        <v>0.20399150669391375</v>
      </c>
      <c r="S61" s="1424">
        <f t="shared" si="32"/>
        <v>0.19617324942988645</v>
      </c>
      <c r="T61" s="1365"/>
      <c r="U61" s="1346">
        <v>1</v>
      </c>
      <c r="V61" s="1347">
        <v>1</v>
      </c>
      <c r="W61" s="1368"/>
    </row>
    <row r="62" spans="3:23" ht="18">
      <c r="C62" s="1402" t="s">
        <v>1051</v>
      </c>
      <c r="D62" s="1410"/>
      <c r="E62" s="1404">
        <v>3</v>
      </c>
      <c r="F62" s="1403"/>
      <c r="G62" s="1425">
        <f t="shared" si="31"/>
        <v>0.29226899006013007</v>
      </c>
      <c r="H62" s="1425">
        <f t="shared" si="29"/>
        <v>0.28126084282921837</v>
      </c>
      <c r="I62" s="1425">
        <f t="shared" si="29"/>
        <v>0.27823395670972917</v>
      </c>
      <c r="J62" s="1425">
        <f t="shared" si="29"/>
        <v>0.27589172365780745</v>
      </c>
      <c r="K62" s="1425">
        <f t="shared" si="29"/>
        <v>0.25705674871414586</v>
      </c>
      <c r="L62" s="1426">
        <f>_xlfn.FORECAST.LINEAR(L7,G62:K62,G7:K7)*(1+$M$63+$N$63)</f>
        <v>0.25516796981572504</v>
      </c>
      <c r="M62" s="1426">
        <f t="shared" ref="M62:S62" si="33">_xlfn.FORECAST.LINEAR(M7,H62:L62,H7:L7)*(1+$M$63+$N$63)</f>
        <v>0.24845159689112636</v>
      </c>
      <c r="N62" s="1426">
        <f t="shared" si="33"/>
        <v>0.23977934258867906</v>
      </c>
      <c r="O62" s="1426">
        <f t="shared" si="33"/>
        <v>0.23189621835613633</v>
      </c>
      <c r="P62" s="1426">
        <f t="shared" si="33"/>
        <v>0.22761702546480581</v>
      </c>
      <c r="Q62" s="1426">
        <f t="shared" si="33"/>
        <v>0.21991572438696494</v>
      </c>
      <c r="R62" s="1426">
        <f t="shared" si="33"/>
        <v>0.21356826674981452</v>
      </c>
      <c r="S62" s="1426">
        <f t="shared" si="33"/>
        <v>0.20802007387033852</v>
      </c>
      <c r="T62" s="1365"/>
      <c r="U62" s="1346">
        <v>1</v>
      </c>
      <c r="V62" s="1347">
        <v>1</v>
      </c>
      <c r="W62" s="1368"/>
    </row>
    <row r="63" spans="3:23" ht="18">
      <c r="C63" s="1382"/>
      <c r="E63" s="1383" t="s">
        <v>1045</v>
      </c>
      <c r="G63" s="1366"/>
      <c r="H63" s="1585">
        <f>H62/G62-1</f>
        <v>-3.7664437916068105E-2</v>
      </c>
      <c r="I63" s="1585">
        <f t="shared" ref="I63:K63" si="34">I62/H62-1</f>
        <v>-1.0761846864432267E-2</v>
      </c>
      <c r="J63" s="1585">
        <f t="shared" si="34"/>
        <v>-8.4182142238133917E-3</v>
      </c>
      <c r="K63" s="1585">
        <f t="shared" si="34"/>
        <v>-6.8269445324220301E-2</v>
      </c>
      <c r="L63" s="1587">
        <f>AVERAGE(H63:K63)</f>
        <v>-3.1278486082133516E-2</v>
      </c>
      <c r="M63" s="1587">
        <f>MEDIAN(H63:K63)</f>
        <v>-2.4213142390250186E-2</v>
      </c>
      <c r="N63" s="1587">
        <f>STDEV(H63:K63)</f>
        <v>2.8003785224505383E-2</v>
      </c>
      <c r="O63" s="1367"/>
      <c r="P63" s="1367"/>
      <c r="Q63" s="1367"/>
      <c r="R63" s="1367"/>
      <c r="S63" s="1367"/>
      <c r="T63" s="1365"/>
      <c r="U63" s="1346">
        <v>0</v>
      </c>
      <c r="V63" s="1347">
        <v>0</v>
      </c>
      <c r="W63" s="1368"/>
    </row>
    <row r="64" spans="3:23" ht="18">
      <c r="C64" s="1420" t="str">
        <f>" Active | "&amp;CHOOSE($E$64,C65,C66,C67)</f>
        <v xml:space="preserve"> Active | Scenario 3 - General &amp; Adminisstrative Expense Margin %</v>
      </c>
      <c r="D64" s="1421"/>
      <c r="E64" s="1422">
        <v>3</v>
      </c>
      <c r="F64" s="1421"/>
      <c r="G64" s="1423"/>
      <c r="H64" s="1423"/>
      <c r="I64" s="1423"/>
      <c r="J64" s="1423"/>
      <c r="K64" s="1423"/>
      <c r="L64" s="1412">
        <f>CHOOSE($E$64,L65,L66,L67)</f>
        <v>0.3128301419187135</v>
      </c>
      <c r="M64" s="1412">
        <f t="shared" ref="M64:S64" si="35">CHOOSE($E$64,M65,M66,M67)</f>
        <v>0.34547766947878628</v>
      </c>
      <c r="N64" s="1412">
        <f t="shared" si="35"/>
        <v>0.3308452804929829</v>
      </c>
      <c r="O64" s="1412">
        <f t="shared" si="35"/>
        <v>0.32085394177328691</v>
      </c>
      <c r="P64" s="1412">
        <f t="shared" si="35"/>
        <v>0.30795601190984373</v>
      </c>
      <c r="Q64" s="1412">
        <f t="shared" si="35"/>
        <v>0.32359260911472265</v>
      </c>
      <c r="R64" s="1412">
        <f t="shared" si="35"/>
        <v>0.32574510255392447</v>
      </c>
      <c r="S64" s="1412">
        <f t="shared" si="35"/>
        <v>0.3217985891689521</v>
      </c>
      <c r="T64" s="1365"/>
      <c r="U64" s="1346">
        <v>1</v>
      </c>
      <c r="V64" s="1347">
        <v>1</v>
      </c>
      <c r="W64" s="1368"/>
    </row>
    <row r="65" spans="3:23" ht="18">
      <c r="C65" s="1397" t="s">
        <v>1184</v>
      </c>
      <c r="D65" s="1409"/>
      <c r="E65" s="1399">
        <v>1</v>
      </c>
      <c r="F65" s="1398"/>
      <c r="G65" s="1550">
        <f>-G$110</f>
        <v>0.13719270258109378</v>
      </c>
      <c r="H65" s="1550">
        <f t="shared" ref="H65:K67" si="36">-H$110</f>
        <v>0.38393835604673449</v>
      </c>
      <c r="I65" s="1550">
        <f t="shared" si="36"/>
        <v>0.34923709768566585</v>
      </c>
      <c r="J65" s="1550">
        <f t="shared" si="36"/>
        <v>0.35340225765714117</v>
      </c>
      <c r="K65" s="1550">
        <f t="shared" si="36"/>
        <v>0.21072701862468271</v>
      </c>
      <c r="L65" s="1424">
        <f>L66*(1+$L$68)</f>
        <v>0.24078756564927492</v>
      </c>
      <c r="M65" s="1424">
        <f t="shared" ref="M65:S65" si="37">M66*(1+$L$68)</f>
        <v>0.2659165977733603</v>
      </c>
      <c r="N65" s="1424">
        <f t="shared" si="37"/>
        <v>0.25465394481442527</v>
      </c>
      <c r="O65" s="1424">
        <f t="shared" si="37"/>
        <v>0.24696354096415285</v>
      </c>
      <c r="P65" s="1424">
        <f t="shared" si="37"/>
        <v>0.23703591341942432</v>
      </c>
      <c r="Q65" s="1424">
        <f t="shared" si="37"/>
        <v>0.24907151252412749</v>
      </c>
      <c r="R65" s="1424">
        <f t="shared" si="37"/>
        <v>0.25072830189909801</v>
      </c>
      <c r="S65" s="1424">
        <f t="shared" si="37"/>
        <v>0.24769064272424554</v>
      </c>
      <c r="T65" s="1365"/>
      <c r="U65" s="1346">
        <v>1</v>
      </c>
      <c r="V65" s="1347">
        <v>1</v>
      </c>
      <c r="W65" s="1368"/>
    </row>
    <row r="66" spans="3:23" ht="18">
      <c r="C66" s="1397" t="s">
        <v>1185</v>
      </c>
      <c r="D66" s="1409"/>
      <c r="E66" s="1399">
        <v>2</v>
      </c>
      <c r="F66" s="1398"/>
      <c r="G66" s="1415">
        <f t="shared" ref="G66:G67" si="38">-G$110</f>
        <v>0.13719270258109378</v>
      </c>
      <c r="H66" s="1415">
        <f t="shared" si="36"/>
        <v>0.38393835604673449</v>
      </c>
      <c r="I66" s="1415">
        <f t="shared" si="36"/>
        <v>0.34923709768566585</v>
      </c>
      <c r="J66" s="1415">
        <f t="shared" si="36"/>
        <v>0.35340225765714117</v>
      </c>
      <c r="K66" s="1415">
        <f t="shared" si="36"/>
        <v>0.21072701862468271</v>
      </c>
      <c r="L66" s="1424">
        <f>AVERAGE(G66:K66)</f>
        <v>0.28689948651906361</v>
      </c>
      <c r="M66" s="1424">
        <f t="shared" ref="M66:S66" si="39">AVERAGE(H66:L66)</f>
        <v>0.31684084330665757</v>
      </c>
      <c r="N66" s="1424">
        <f t="shared" si="39"/>
        <v>0.30342134075864219</v>
      </c>
      <c r="O66" s="1424">
        <f t="shared" si="39"/>
        <v>0.29425818937323744</v>
      </c>
      <c r="P66" s="1424">
        <f t="shared" si="39"/>
        <v>0.28242937571645671</v>
      </c>
      <c r="Q66" s="1424">
        <f t="shared" si="39"/>
        <v>0.29676984713481147</v>
      </c>
      <c r="R66" s="1424">
        <f t="shared" si="39"/>
        <v>0.29874391925796107</v>
      </c>
      <c r="S66" s="1424">
        <f t="shared" si="39"/>
        <v>0.29512453444822173</v>
      </c>
      <c r="T66" s="1365"/>
      <c r="U66" s="1346">
        <v>1</v>
      </c>
      <c r="V66" s="1347">
        <v>1</v>
      </c>
      <c r="W66" s="1368"/>
    </row>
    <row r="67" spans="3:23" ht="18">
      <c r="C67" s="1402" t="s">
        <v>1186</v>
      </c>
      <c r="D67" s="1410"/>
      <c r="E67" s="1404">
        <v>3</v>
      </c>
      <c r="F67" s="1403"/>
      <c r="G67" s="1425">
        <f t="shared" si="38"/>
        <v>0.13719270258109378</v>
      </c>
      <c r="H67" s="1425">
        <f t="shared" si="36"/>
        <v>0.38393835604673449</v>
      </c>
      <c r="I67" s="1425">
        <f t="shared" si="36"/>
        <v>0.34923709768566585</v>
      </c>
      <c r="J67" s="1425">
        <f t="shared" si="36"/>
        <v>0.35340225765714117</v>
      </c>
      <c r="K67" s="1425">
        <f t="shared" si="36"/>
        <v>0.21072701862468271</v>
      </c>
      <c r="L67" s="1426">
        <f>L66*(1-$M$68)</f>
        <v>0.3128301419187135</v>
      </c>
      <c r="M67" s="1426">
        <f t="shared" ref="M67:S67" si="40">M66*(1-$M$68)</f>
        <v>0.34547766947878628</v>
      </c>
      <c r="N67" s="1426">
        <f t="shared" si="40"/>
        <v>0.3308452804929829</v>
      </c>
      <c r="O67" s="1426">
        <f t="shared" si="40"/>
        <v>0.32085394177328691</v>
      </c>
      <c r="P67" s="1426">
        <f t="shared" si="40"/>
        <v>0.30795601190984373</v>
      </c>
      <c r="Q67" s="1426">
        <f t="shared" si="40"/>
        <v>0.32359260911472265</v>
      </c>
      <c r="R67" s="1426">
        <f t="shared" si="40"/>
        <v>0.32574510255392447</v>
      </c>
      <c r="S67" s="1426">
        <f t="shared" si="40"/>
        <v>0.3217985891689521</v>
      </c>
      <c r="T67" s="1365"/>
      <c r="U67" s="1346">
        <v>1</v>
      </c>
      <c r="V67" s="1347">
        <v>1</v>
      </c>
      <c r="W67" s="1368"/>
    </row>
    <row r="68" spans="3:23" ht="18">
      <c r="C68" s="1427"/>
      <c r="E68" s="1428"/>
      <c r="G68" s="1366"/>
      <c r="H68" s="1585">
        <f>H67/G67-1</f>
        <v>1.7985333682000384</v>
      </c>
      <c r="I68" s="1585">
        <f t="shared" ref="I68:K68" si="41">I67/H67-1</f>
        <v>-9.0382369499036552E-2</v>
      </c>
      <c r="J68" s="1585">
        <f t="shared" si="41"/>
        <v>1.1926453401076564E-2</v>
      </c>
      <c r="K68" s="1585">
        <f t="shared" si="41"/>
        <v>-0.40371909330267242</v>
      </c>
      <c r="L68" s="1588">
        <f>AVERAGE(I68:K68)</f>
        <v>-0.16072500313354413</v>
      </c>
      <c r="M68" s="1588">
        <f>MEDIAN(I68:K68)</f>
        <v>-9.0382369499036552E-2</v>
      </c>
      <c r="N68" s="1588">
        <f>STDEV(I68:K68)</f>
        <v>0.21656724060587629</v>
      </c>
      <c r="O68" s="1588">
        <f>AVERAGE(H66:K66)</f>
        <v>0.3243261825035561</v>
      </c>
      <c r="P68" s="1429"/>
      <c r="Q68" s="1429"/>
      <c r="R68" s="1429"/>
      <c r="S68" s="1429"/>
      <c r="T68" s="1365"/>
      <c r="U68" s="1346">
        <v>0</v>
      </c>
      <c r="V68" s="1347">
        <v>0</v>
      </c>
      <c r="W68" s="1368"/>
    </row>
    <row r="69" spans="3:23" ht="18">
      <c r="C69" s="1420" t="str">
        <f>" Active | "&amp;CHOOSE($E$69,C70,C71,C72)</f>
        <v xml:space="preserve"> Active | Scenario 3 - Product Development Expense Margin %</v>
      </c>
      <c r="D69" s="1421"/>
      <c r="E69" s="1422">
        <v>3</v>
      </c>
      <c r="F69" s="1421"/>
      <c r="G69" s="1423"/>
      <c r="H69" s="1423"/>
      <c r="I69" s="1423"/>
      <c r="J69" s="1423"/>
      <c r="K69" s="1423"/>
      <c r="L69" s="1412">
        <f>CHOOSE($E$69,L70,L71,L72)</f>
        <v>0.12434296279256642</v>
      </c>
      <c r="M69" s="1412">
        <f t="shared" ref="M69:S69" si="42">CHOOSE($E$69,M70,M71,M72)</f>
        <v>0.13076026485624387</v>
      </c>
      <c r="N69" s="1412">
        <f t="shared" si="42"/>
        <v>0.13672207819911344</v>
      </c>
      <c r="O69" s="1412">
        <f t="shared" si="42"/>
        <v>0.13203529186137639</v>
      </c>
      <c r="P69" s="1412">
        <f t="shared" si="42"/>
        <v>0.133336320248091</v>
      </c>
      <c r="Q69" s="1412">
        <f t="shared" si="42"/>
        <v>0.13143938359147822</v>
      </c>
      <c r="R69" s="1412">
        <f t="shared" si="42"/>
        <v>0.1328586677512606</v>
      </c>
      <c r="S69" s="1412">
        <f t="shared" si="42"/>
        <v>0.13327834833026392</v>
      </c>
      <c r="T69" s="1365"/>
      <c r="U69" s="1346">
        <v>1</v>
      </c>
      <c r="V69" s="1347">
        <v>1</v>
      </c>
      <c r="W69" s="1368"/>
    </row>
    <row r="70" spans="3:23" ht="18">
      <c r="C70" s="1397" t="s">
        <v>1187</v>
      </c>
      <c r="D70" s="1409"/>
      <c r="E70" s="1399">
        <v>1</v>
      </c>
      <c r="F70" s="1398"/>
      <c r="G70" s="1550">
        <f>-G$115</f>
        <v>8.0183662617090035E-2</v>
      </c>
      <c r="H70" s="1550">
        <f t="shared" ref="H70:K72" si="43">-H$115</f>
        <v>8.7740603453902735E-2</v>
      </c>
      <c r="I70" s="1550">
        <f t="shared" si="43"/>
        <v>0.13919780263106019</v>
      </c>
      <c r="J70" s="1550">
        <f t="shared" si="43"/>
        <v>0.10910312417335637</v>
      </c>
      <c r="K70" s="1550">
        <f t="shared" si="43"/>
        <v>0.12413127596664861</v>
      </c>
      <c r="L70" s="1424">
        <f>AVERAGE(G70:K70)*(1-$M$73)</f>
        <v>9.553567058667628E-2</v>
      </c>
      <c r="M70" s="1424">
        <f t="shared" ref="M70:S70" si="44">AVERAGE(H70:L70)*(1-$M$73)</f>
        <v>9.8249923974572939E-2</v>
      </c>
      <c r="N70" s="1424">
        <f t="shared" si="44"/>
        <v>0.10010798442400934</v>
      </c>
      <c r="O70" s="1424">
        <f t="shared" si="44"/>
        <v>9.3196857768073196E-2</v>
      </c>
      <c r="P70" s="1424">
        <f t="shared" si="44"/>
        <v>9.0384610825207018E-2</v>
      </c>
      <c r="Q70" s="1424">
        <f t="shared" si="44"/>
        <v>8.4418160027901951E-2</v>
      </c>
      <c r="R70" s="1424">
        <f t="shared" si="44"/>
        <v>8.2452570851625426E-2</v>
      </c>
      <c r="S70" s="1424">
        <f t="shared" si="44"/>
        <v>7.9659579907463252E-2</v>
      </c>
      <c r="T70" s="1365"/>
      <c r="U70" s="1346">
        <v>1</v>
      </c>
      <c r="V70" s="1347">
        <v>1</v>
      </c>
      <c r="W70" s="1368"/>
    </row>
    <row r="71" spans="3:23" ht="18">
      <c r="C71" s="1397" t="s">
        <v>1188</v>
      </c>
      <c r="D71" s="1409"/>
      <c r="E71" s="1399">
        <v>2</v>
      </c>
      <c r="F71" s="1398"/>
      <c r="G71" s="1415">
        <f t="shared" ref="G71:G72" si="45">-G$115</f>
        <v>8.0183662617090035E-2</v>
      </c>
      <c r="H71" s="1415">
        <f t="shared" si="43"/>
        <v>8.7740603453902735E-2</v>
      </c>
      <c r="I71" s="1415">
        <f t="shared" si="43"/>
        <v>0.13919780263106019</v>
      </c>
      <c r="J71" s="1415">
        <f t="shared" si="43"/>
        <v>0.10910312417335637</v>
      </c>
      <c r="K71" s="1415">
        <f t="shared" si="43"/>
        <v>0.12413127596664861</v>
      </c>
      <c r="L71" s="1424">
        <f>AVERAGE(G71:K71)</f>
        <v>0.10807129376841158</v>
      </c>
      <c r="M71" s="1424">
        <f t="shared" ref="M71:S71" si="46">AVERAGE(H71:L71)</f>
        <v>0.1136488199986759</v>
      </c>
      <c r="N71" s="1424">
        <f t="shared" si="46"/>
        <v>0.11883046330763052</v>
      </c>
      <c r="O71" s="1424">
        <f t="shared" si="46"/>
        <v>0.11475699544294457</v>
      </c>
      <c r="P71" s="1424">
        <f t="shared" si="46"/>
        <v>0.11588776969686224</v>
      </c>
      <c r="Q71" s="1424">
        <f t="shared" si="46"/>
        <v>0.11423906844290496</v>
      </c>
      <c r="R71" s="1424">
        <f t="shared" si="46"/>
        <v>0.11547262337780365</v>
      </c>
      <c r="S71" s="1424">
        <f t="shared" si="46"/>
        <v>0.11583738405362917</v>
      </c>
      <c r="T71" s="1365"/>
      <c r="U71" s="1346">
        <v>1</v>
      </c>
      <c r="V71" s="1347">
        <v>1</v>
      </c>
      <c r="W71" s="1368"/>
    </row>
    <row r="72" spans="3:23" ht="18">
      <c r="C72" s="1402" t="s">
        <v>1189</v>
      </c>
      <c r="D72" s="1410"/>
      <c r="E72" s="1404">
        <v>3</v>
      </c>
      <c r="F72" s="1403"/>
      <c r="G72" s="1425">
        <f t="shared" si="45"/>
        <v>8.0183662617090035E-2</v>
      </c>
      <c r="H72" s="1425">
        <f t="shared" si="43"/>
        <v>8.7740603453902735E-2</v>
      </c>
      <c r="I72" s="1425">
        <f t="shared" si="43"/>
        <v>0.13919780263106019</v>
      </c>
      <c r="J72" s="1425">
        <f t="shared" si="43"/>
        <v>0.10910312417335637</v>
      </c>
      <c r="K72" s="1425">
        <f t="shared" si="43"/>
        <v>0.12413127596664861</v>
      </c>
      <c r="L72" s="1426">
        <f>L71*(1+$L$73)</f>
        <v>0.12434296279256642</v>
      </c>
      <c r="M72" s="1426">
        <f t="shared" ref="M72:S72" si="47">M71*(1+$L$73)</f>
        <v>0.13076026485624387</v>
      </c>
      <c r="N72" s="1426">
        <f t="shared" si="47"/>
        <v>0.13672207819911344</v>
      </c>
      <c r="O72" s="1426">
        <f t="shared" si="47"/>
        <v>0.13203529186137639</v>
      </c>
      <c r="P72" s="1426">
        <f t="shared" si="47"/>
        <v>0.133336320248091</v>
      </c>
      <c r="Q72" s="1426">
        <f t="shared" si="47"/>
        <v>0.13143938359147822</v>
      </c>
      <c r="R72" s="1426">
        <f t="shared" si="47"/>
        <v>0.1328586677512606</v>
      </c>
      <c r="S72" s="1426">
        <f t="shared" si="47"/>
        <v>0.13327834833026392</v>
      </c>
      <c r="T72" s="1365"/>
      <c r="U72" s="1346">
        <v>1</v>
      </c>
      <c r="V72" s="1347">
        <v>1</v>
      </c>
      <c r="W72" s="1368"/>
    </row>
    <row r="73" spans="3:23" ht="18">
      <c r="C73" s="1427"/>
      <c r="E73" s="1428"/>
      <c r="G73" s="1366"/>
      <c r="H73" s="1585">
        <f>H72/G72-1</f>
        <v>9.4245393514888365E-2</v>
      </c>
      <c r="I73" s="1585">
        <f t="shared" ref="I73:K73" si="48">I72/H72-1</f>
        <v>0.58646962924288637</v>
      </c>
      <c r="J73" s="1585">
        <f t="shared" si="48"/>
        <v>-0.21620081559382731</v>
      </c>
      <c r="K73" s="1585">
        <f t="shared" si="48"/>
        <v>0.13774263484346871</v>
      </c>
      <c r="L73" s="1588">
        <f>AVERAGE(H73:K73)</f>
        <v>0.15056421050185403</v>
      </c>
      <c r="M73" s="1588">
        <f>MEDIAN(H73:K73)</f>
        <v>0.11599401417917854</v>
      </c>
      <c r="N73" s="1588">
        <f>STDEV(H73:K73)</f>
        <v>0.33058852591700538</v>
      </c>
      <c r="O73" s="1588">
        <f>AVERAGE(G71:K71)</f>
        <v>0.10807129376841158</v>
      </c>
      <c r="P73" s="1429"/>
      <c r="Q73" s="1429"/>
      <c r="R73" s="1429"/>
      <c r="S73" s="1429"/>
      <c r="T73" s="1365"/>
      <c r="U73" s="1346">
        <v>0</v>
      </c>
      <c r="V73" s="1347">
        <v>0</v>
      </c>
      <c r="W73" s="1368"/>
    </row>
    <row r="74" spans="3:23" ht="18">
      <c r="C74" s="1344" t="s">
        <v>1055</v>
      </c>
      <c r="D74" s="1345"/>
      <c r="E74" s="1345"/>
      <c r="F74" s="1345"/>
      <c r="G74" s="1345"/>
      <c r="H74" s="1345"/>
      <c r="I74" s="1345"/>
      <c r="J74" s="1345"/>
      <c r="K74" s="1345"/>
      <c r="L74" s="1345"/>
      <c r="M74" s="1345"/>
      <c r="N74" s="1345"/>
      <c r="O74" s="1345"/>
      <c r="P74" s="1345"/>
      <c r="Q74" s="1345"/>
      <c r="R74" s="1345"/>
      <c r="S74" s="1345"/>
      <c r="T74" s="1365"/>
      <c r="U74" s="1346">
        <v>1</v>
      </c>
      <c r="V74" s="1347">
        <v>1</v>
      </c>
    </row>
    <row r="75" spans="3:23" ht="18">
      <c r="C75" s="1430"/>
      <c r="G75" s="1366"/>
      <c r="H75" s="1366"/>
      <c r="I75" s="1366"/>
      <c r="J75" s="1366"/>
      <c r="K75" s="1366"/>
      <c r="L75" s="1367"/>
      <c r="M75" s="1367"/>
      <c r="N75" s="1367"/>
      <c r="O75" s="1367"/>
      <c r="P75" s="1367"/>
      <c r="Q75" s="1367"/>
      <c r="R75" s="1367"/>
      <c r="S75" s="1367"/>
      <c r="T75" s="1365"/>
      <c r="U75" s="1346">
        <v>0</v>
      </c>
      <c r="V75" s="1347">
        <v>0</v>
      </c>
      <c r="W75" s="1368"/>
    </row>
    <row r="76" spans="3:23" ht="18.600000000000001" thickBot="1">
      <c r="C76" s="1431" t="s">
        <v>1190</v>
      </c>
      <c r="D76" s="1350"/>
      <c r="E76" s="1350"/>
      <c r="F76" s="1432"/>
      <c r="G76" s="1433"/>
      <c r="H76" s="1433"/>
      <c r="I76" s="1433"/>
      <c r="J76" s="1433"/>
      <c r="K76" s="1433"/>
      <c r="L76" s="1433"/>
      <c r="M76" s="1433"/>
      <c r="N76" s="1433"/>
      <c r="O76" s="1433"/>
      <c r="P76" s="1433"/>
      <c r="Q76" s="1433"/>
      <c r="R76" s="1433"/>
      <c r="S76" s="1433"/>
      <c r="T76" s="1365"/>
      <c r="U76" s="1346">
        <v>1</v>
      </c>
      <c r="V76" s="1347">
        <v>1</v>
      </c>
    </row>
    <row r="77" spans="3:23" ht="18">
      <c r="C77" s="1370"/>
      <c r="F77" s="1434"/>
      <c r="G77" s="1435"/>
      <c r="H77" s="1435"/>
      <c r="I77" s="1435"/>
      <c r="J77" s="1435"/>
      <c r="K77" s="1435"/>
      <c r="L77" s="1435"/>
      <c r="M77" s="1435"/>
      <c r="N77" s="1435"/>
      <c r="O77" s="1435"/>
      <c r="P77" s="1435"/>
      <c r="Q77" s="1435"/>
      <c r="R77" s="1435"/>
      <c r="S77" s="1435"/>
      <c r="T77" s="1365"/>
      <c r="U77" s="1346">
        <v>0</v>
      </c>
      <c r="V77" s="1347">
        <v>0</v>
      </c>
    </row>
    <row r="78" spans="3:23" ht="18.600000000000001" thickBot="1">
      <c r="C78" s="1370" t="s">
        <v>1191</v>
      </c>
      <c r="F78" s="1434"/>
      <c r="G78" s="1435"/>
      <c r="H78" s="1435"/>
      <c r="I78" s="1435"/>
      <c r="J78" s="1435"/>
      <c r="K78" s="1435"/>
      <c r="L78" s="1435"/>
      <c r="M78" s="1435"/>
      <c r="N78" s="1435"/>
      <c r="O78" s="1435"/>
      <c r="P78" s="1435"/>
      <c r="Q78" s="1435"/>
      <c r="R78" s="1435"/>
      <c r="S78" s="1435"/>
      <c r="T78" s="1365"/>
      <c r="U78" s="1346">
        <v>1</v>
      </c>
      <c r="V78" s="1347">
        <v>1</v>
      </c>
    </row>
    <row r="79" spans="3:23" ht="19.2" thickTop="1" thickBot="1">
      <c r="C79" s="1355" t="s">
        <v>1192</v>
      </c>
      <c r="F79" s="1434"/>
      <c r="G79" s="1436">
        <v>890600</v>
      </c>
      <c r="H79" s="1436">
        <v>1142100</v>
      </c>
      <c r="I79" s="1436">
        <v>1499800</v>
      </c>
      <c r="J79" s="1436">
        <v>2002200</v>
      </c>
      <c r="K79" s="1437">
        <v>2517400</v>
      </c>
      <c r="L79" s="1541">
        <f>K79*(1+L43)</f>
        <v>3193701.4981210437</v>
      </c>
      <c r="M79" s="1541">
        <f t="shared" ref="M79:S79" si="49">L79*(1+M43)</f>
        <v>4097451.4174066773</v>
      </c>
      <c r="N79" s="1541">
        <f t="shared" si="49"/>
        <v>5177687.0168896159</v>
      </c>
      <c r="O79" s="1541">
        <f t="shared" si="49"/>
        <v>6544009.8389415378</v>
      </c>
      <c r="P79" s="1541">
        <f t="shared" si="49"/>
        <v>8202533.9865204077</v>
      </c>
      <c r="Q79" s="1541">
        <f t="shared" si="49"/>
        <v>10388663.313600035</v>
      </c>
      <c r="R79" s="1541">
        <f t="shared" si="49"/>
        <v>13153007.403124459</v>
      </c>
      <c r="S79" s="1541">
        <f t="shared" si="49"/>
        <v>16608500.835874572</v>
      </c>
      <c r="T79" s="1365"/>
      <c r="U79" s="1346">
        <v>1</v>
      </c>
      <c r="V79" s="1347">
        <v>1</v>
      </c>
    </row>
    <row r="80" spans="3:23" ht="19.2" thickTop="1" thickBot="1">
      <c r="C80" s="1430" t="s">
        <v>1193</v>
      </c>
      <c r="F80" s="1434"/>
      <c r="G80" s="1439">
        <v>0</v>
      </c>
      <c r="H80" s="1439">
        <f>H79/G79-1</f>
        <v>0.28239389175836505</v>
      </c>
      <c r="I80" s="1439">
        <f t="shared" ref="I80:K80" si="50">I79/H79-1</f>
        <v>0.31319499168198939</v>
      </c>
      <c r="J80" s="1439">
        <f t="shared" si="50"/>
        <v>0.3349779970662754</v>
      </c>
      <c r="K80" s="1439">
        <f t="shared" si="50"/>
        <v>0.25731695135351118</v>
      </c>
      <c r="L80" s="1439">
        <f t="shared" ref="L80" si="51">L79/K79-1</f>
        <v>0.26865078975174539</v>
      </c>
      <c r="M80" s="1439">
        <f t="shared" ref="M80" si="52">M79/L79-1</f>
        <v>0.28297883187183848</v>
      </c>
      <c r="N80" s="1439">
        <f t="shared" ref="N80" si="53">N79/M79-1</f>
        <v>0.26363597500971281</v>
      </c>
      <c r="O80" s="1439">
        <f t="shared" ref="O80" si="54">O79/N79-1</f>
        <v>0.26388671574681455</v>
      </c>
      <c r="P80" s="1439">
        <f t="shared" ref="P80" si="55">P79/O79-1</f>
        <v>0.25344157304126669</v>
      </c>
      <c r="Q80" s="1439">
        <f t="shared" ref="Q80" si="56">Q79/P79-1</f>
        <v>0.26651877708427563</v>
      </c>
      <c r="R80" s="1439">
        <f t="shared" ref="R80" si="57">R79/Q79-1</f>
        <v>0.2660923745507815</v>
      </c>
      <c r="S80" s="1439">
        <f t="shared" ref="S80" si="58">S79/R79-1</f>
        <v>0.2627150830865701</v>
      </c>
      <c r="T80" s="1365"/>
      <c r="U80" s="1346">
        <v>1</v>
      </c>
      <c r="V80" s="1347">
        <v>1</v>
      </c>
    </row>
    <row r="81" spans="2:22" ht="19.2" thickTop="1" thickBot="1">
      <c r="C81" s="1355" t="s">
        <v>1194</v>
      </c>
      <c r="F81" s="1434"/>
      <c r="G81" s="1441">
        <f>G33</f>
        <v>27</v>
      </c>
      <c r="H81" s="1441">
        <f t="shared" ref="H81:K81" si="59">H33</f>
        <v>27.79</v>
      </c>
      <c r="I81" s="1441">
        <f t="shared" si="59"/>
        <v>29.37</v>
      </c>
      <c r="J81" s="1441">
        <f t="shared" si="59"/>
        <v>28.9</v>
      </c>
      <c r="K81" s="1441">
        <f t="shared" si="59"/>
        <v>27.97</v>
      </c>
      <c r="L81" s="1442">
        <f>L33</f>
        <v>28.951044784552735</v>
      </c>
      <c r="M81" s="1442">
        <f t="shared" ref="M81:S81" si="60">M33</f>
        <v>28.608076504889681</v>
      </c>
      <c r="N81" s="1442">
        <f t="shared" si="60"/>
        <v>28.692753778402395</v>
      </c>
      <c r="O81" s="1442">
        <f t="shared" si="60"/>
        <v>28.806725800291087</v>
      </c>
      <c r="P81" s="1442">
        <f t="shared" si="60"/>
        <v>29.24669491341858</v>
      </c>
      <c r="Q81" s="1442">
        <f t="shared" si="60"/>
        <v>29.381939523973209</v>
      </c>
      <c r="R81" s="1442">
        <f t="shared" si="60"/>
        <v>29.811782445145038</v>
      </c>
      <c r="S81" s="1442">
        <f t="shared" si="60"/>
        <v>30.141396831889125</v>
      </c>
      <c r="T81" s="1365"/>
      <c r="U81" s="1346">
        <v>1</v>
      </c>
      <c r="V81" s="1347">
        <v>1</v>
      </c>
    </row>
    <row r="82" spans="2:22" ht="18.600000000000001" thickTop="1">
      <c r="C82" s="1355" t="s">
        <v>1193</v>
      </c>
      <c r="F82" s="1434"/>
      <c r="G82" s="1443">
        <v>0</v>
      </c>
      <c r="H82" s="1444">
        <f>H81/G81-1</f>
        <v>2.9259259259259318E-2</v>
      </c>
      <c r="I82" s="1444">
        <f t="shared" ref="I82:K82" si="61">I81/H81-1</f>
        <v>5.6854983807124837E-2</v>
      </c>
      <c r="J82" s="1444">
        <f t="shared" si="61"/>
        <v>-1.6002723867892477E-2</v>
      </c>
      <c r="K82" s="1444">
        <f t="shared" si="61"/>
        <v>-3.2179930795847689E-2</v>
      </c>
      <c r="L82" s="1445">
        <f>L81/K81-1</f>
        <v>3.5074893977573796E-2</v>
      </c>
      <c r="M82" s="1445">
        <f t="shared" ref="M82:S82" si="62">M81/L81-1</f>
        <v>-1.1846490591802428E-2</v>
      </c>
      <c r="N82" s="1445">
        <f t="shared" si="62"/>
        <v>2.9599079650894922E-3</v>
      </c>
      <c r="O82" s="1445">
        <f t="shared" si="62"/>
        <v>3.9721534840786443E-3</v>
      </c>
      <c r="P82" s="1445">
        <f t="shared" si="62"/>
        <v>1.5273138508613338E-2</v>
      </c>
      <c r="Q82" s="1445">
        <f t="shared" si="62"/>
        <v>4.6242698860505804E-3</v>
      </c>
      <c r="R82" s="1445">
        <f t="shared" si="62"/>
        <v>1.4629494449170499E-2</v>
      </c>
      <c r="S82" s="1445">
        <f t="shared" si="62"/>
        <v>1.1056513891800623E-2</v>
      </c>
      <c r="T82" s="1365"/>
      <c r="U82" s="1346">
        <v>1</v>
      </c>
      <c r="V82" s="1347">
        <v>1</v>
      </c>
    </row>
    <row r="83" spans="2:22" ht="18">
      <c r="C83" s="1359" t="s">
        <v>1195</v>
      </c>
      <c r="D83" s="1337"/>
      <c r="E83" s="1337"/>
      <c r="F83" s="1446"/>
      <c r="G83" s="1447"/>
      <c r="H83" s="1447"/>
      <c r="I83" s="1447"/>
      <c r="J83" s="1447"/>
      <c r="K83" s="1447"/>
      <c r="L83" s="1448">
        <f>L79*L81*12/1000000</f>
        <v>1109.5319412071462</v>
      </c>
      <c r="M83" s="1448">
        <f t="shared" ref="M83:S83" si="63">M79*M81*12/1000000</f>
        <v>1406.6424434908668</v>
      </c>
      <c r="N83" s="1448">
        <f t="shared" si="63"/>
        <v>1782.7451846069348</v>
      </c>
      <c r="O83" s="1448">
        <f t="shared" si="63"/>
        <v>2262.1379647775507</v>
      </c>
      <c r="P83" s="1448">
        <f t="shared" si="63"/>
        <v>2878.7641082485134</v>
      </c>
      <c r="Q83" s="1448">
        <f t="shared" si="63"/>
        <v>3662.8689265813846</v>
      </c>
      <c r="R83" s="1448">
        <f t="shared" si="63"/>
        <v>4705.3751424159409</v>
      </c>
      <c r="S83" s="1448">
        <f t="shared" si="63"/>
        <v>6007.2409737222933</v>
      </c>
      <c r="T83" s="1365"/>
      <c r="U83" s="1346">
        <v>1</v>
      </c>
      <c r="V83" s="1347">
        <v>1</v>
      </c>
    </row>
    <row r="84" spans="2:22" ht="18">
      <c r="C84" s="1355"/>
      <c r="F84" s="1434"/>
      <c r="G84" s="1449"/>
      <c r="H84" s="1449"/>
      <c r="I84" s="1449"/>
      <c r="J84" s="1449"/>
      <c r="K84" s="1449"/>
      <c r="L84" s="1450"/>
      <c r="M84" s="1450"/>
      <c r="N84" s="1450"/>
      <c r="O84" s="1450"/>
      <c r="P84" s="1450"/>
      <c r="Q84" s="1450"/>
      <c r="R84" s="1450"/>
      <c r="S84" s="1450"/>
      <c r="T84" s="1365"/>
      <c r="U84" s="1346">
        <v>0</v>
      </c>
      <c r="V84" s="1347">
        <v>0</v>
      </c>
    </row>
    <row r="85" spans="2:22" ht="18.600000000000001" thickBot="1">
      <c r="C85" s="1370" t="s">
        <v>1196</v>
      </c>
      <c r="F85" s="1434"/>
      <c r="G85" s="1451"/>
      <c r="H85" s="1439"/>
      <c r="I85" s="1439"/>
      <c r="J85" s="1439"/>
      <c r="K85" s="1439"/>
      <c r="L85" s="1452"/>
      <c r="M85" s="1452"/>
      <c r="N85" s="1452"/>
      <c r="O85" s="1452"/>
      <c r="P85" s="1452"/>
      <c r="Q85" s="1452"/>
      <c r="R85" s="1452"/>
      <c r="S85" s="1452"/>
      <c r="T85" s="1365"/>
      <c r="U85" s="1346">
        <v>1</v>
      </c>
      <c r="V85" s="1347">
        <v>1</v>
      </c>
    </row>
    <row r="86" spans="2:22" ht="19.2" thickTop="1" thickBot="1">
      <c r="C86" s="1355" t="s">
        <v>1197</v>
      </c>
      <c r="F86" s="1434"/>
      <c r="G86" s="1436">
        <v>1142900</v>
      </c>
      <c r="H86" s="1436">
        <v>1363400</v>
      </c>
      <c r="I86" s="1436">
        <v>1394100</v>
      </c>
      <c r="J86" s="1436">
        <v>1179700</v>
      </c>
      <c r="K86" s="1437">
        <v>1203300</v>
      </c>
      <c r="L86" s="1438">
        <f>K86*(1+L87)</f>
        <v>1138036.324622072</v>
      </c>
      <c r="M86" s="1438">
        <f t="shared" ref="M86:S86" si="64">L86*(1+M87)</f>
        <v>1059498.8523152994</v>
      </c>
      <c r="N86" s="1438">
        <f t="shared" si="64"/>
        <v>948161.81913688802</v>
      </c>
      <c r="O86" s="1438">
        <f t="shared" si="64"/>
        <v>872350.84211785591</v>
      </c>
      <c r="P86" s="1438">
        <f t="shared" si="64"/>
        <v>749926.73049905139</v>
      </c>
      <c r="Q86" s="1438">
        <f t="shared" si="64"/>
        <v>659084.50604456163</v>
      </c>
      <c r="R86" s="1438">
        <f t="shared" si="64"/>
        <v>547866.70732375223</v>
      </c>
      <c r="S86" s="1438">
        <f t="shared" si="64"/>
        <v>463715.67678086727</v>
      </c>
      <c r="T86" s="1365"/>
      <c r="U86" s="1346">
        <v>1</v>
      </c>
      <c r="V86" s="1347">
        <v>1</v>
      </c>
    </row>
    <row r="87" spans="2:22" ht="19.2" thickTop="1" thickBot="1">
      <c r="C87" s="1430" t="s">
        <v>1193</v>
      </c>
      <c r="F87" s="1434"/>
      <c r="G87" s="1439">
        <v>0</v>
      </c>
      <c r="H87" s="1439">
        <f>H86/G86-1</f>
        <v>0.19293026511505817</v>
      </c>
      <c r="I87" s="1439">
        <f t="shared" ref="I87:K87" si="65">I86/H86-1</f>
        <v>2.2517236320962253E-2</v>
      </c>
      <c r="J87" s="1439">
        <f t="shared" si="65"/>
        <v>-0.15379097625708338</v>
      </c>
      <c r="K87" s="1439">
        <f t="shared" si="65"/>
        <v>2.000508603882345E-2</v>
      </c>
      <c r="L87" s="1440">
        <f>L48</f>
        <v>-5.4237243728021238E-2</v>
      </c>
      <c r="M87" s="1440">
        <f t="shared" ref="M87:S87" si="66">M48</f>
        <v>-6.9011393228466666E-2</v>
      </c>
      <c r="N87" s="1440">
        <f t="shared" si="66"/>
        <v>-0.10508461895462096</v>
      </c>
      <c r="O87" s="1440">
        <f t="shared" si="66"/>
        <v>-7.9955736973297248E-2</v>
      </c>
      <c r="P87" s="1440">
        <f t="shared" si="66"/>
        <v>-0.14033815949737441</v>
      </c>
      <c r="Q87" s="1440">
        <f t="shared" si="66"/>
        <v>-0.12113479992110331</v>
      </c>
      <c r="R87" s="1440">
        <f t="shared" si="66"/>
        <v>-0.16874588569571047</v>
      </c>
      <c r="S87" s="1440">
        <f t="shared" si="66"/>
        <v>-0.15359763500496376</v>
      </c>
      <c r="T87" s="1365"/>
      <c r="U87" s="1346">
        <v>1</v>
      </c>
      <c r="V87" s="1347">
        <v>1</v>
      </c>
    </row>
    <row r="88" spans="2:22" ht="18">
      <c r="C88" s="1355" t="s">
        <v>1198</v>
      </c>
      <c r="F88" s="1434"/>
      <c r="G88" s="1542">
        <f>G38</f>
        <v>14.52</v>
      </c>
      <c r="H88" s="1542">
        <f t="shared" ref="H88:K88" si="67">H38</f>
        <v>13.1</v>
      </c>
      <c r="I88" s="1542">
        <f t="shared" si="67"/>
        <v>13.13</v>
      </c>
      <c r="J88" s="1542">
        <f t="shared" si="67"/>
        <v>13.06</v>
      </c>
      <c r="K88" s="1542">
        <f t="shared" si="67"/>
        <v>12.7</v>
      </c>
      <c r="L88" s="1543">
        <f>L38</f>
        <v>12.352769333287343</v>
      </c>
      <c r="M88" s="1543">
        <f t="shared" ref="M88:S88" si="68">M38</f>
        <v>12.228761944328873</v>
      </c>
      <c r="N88" s="1543">
        <f t="shared" si="68"/>
        <v>11.864592014979541</v>
      </c>
      <c r="O88" s="1543">
        <f t="shared" si="68"/>
        <v>11.635128888046875</v>
      </c>
      <c r="P88" s="1543">
        <f t="shared" si="68"/>
        <v>11.31016315553881</v>
      </c>
      <c r="Q88" s="1543">
        <f t="shared" si="68"/>
        <v>11.104676826340441</v>
      </c>
      <c r="R88" s="1543">
        <f t="shared" si="68"/>
        <v>10.755526303674847</v>
      </c>
      <c r="S88" s="1543">
        <f t="shared" si="68"/>
        <v>10.552772018730256</v>
      </c>
      <c r="T88" s="1365"/>
      <c r="U88" s="1346">
        <v>1</v>
      </c>
      <c r="V88" s="1347">
        <v>1</v>
      </c>
    </row>
    <row r="89" spans="2:22" ht="18">
      <c r="C89" s="1355" t="s">
        <v>1193</v>
      </c>
      <c r="F89" s="1434"/>
      <c r="G89" s="1439">
        <v>0</v>
      </c>
      <c r="H89" s="1439">
        <f>H88/G88-1</f>
        <v>-9.779614325068875E-2</v>
      </c>
      <c r="I89" s="1439">
        <f t="shared" ref="I89:K89" si="69">I88/H88-1</f>
        <v>2.2900763358779663E-3</v>
      </c>
      <c r="J89" s="1439">
        <f t="shared" si="69"/>
        <v>-5.331302361005319E-3</v>
      </c>
      <c r="K89" s="1439">
        <f t="shared" si="69"/>
        <v>-2.7565084226646386E-2</v>
      </c>
      <c r="L89" s="1440">
        <f>L88/K88-1</f>
        <v>-2.734099737894935E-2</v>
      </c>
      <c r="M89" s="1440">
        <f t="shared" ref="M89:S89" si="70">M88/L88-1</f>
        <v>-1.0038833043235385E-2</v>
      </c>
      <c r="N89" s="1440">
        <f t="shared" si="70"/>
        <v>-2.9779787275867053E-2</v>
      </c>
      <c r="O89" s="1440">
        <f t="shared" si="70"/>
        <v>-1.9340161603783712E-2</v>
      </c>
      <c r="P89" s="1440">
        <f t="shared" si="70"/>
        <v>-2.792970629160052E-2</v>
      </c>
      <c r="Q89" s="1440">
        <f t="shared" si="70"/>
        <v>-1.816829044572521E-2</v>
      </c>
      <c r="R89" s="1440">
        <f t="shared" si="70"/>
        <v>-3.144175450810105E-2</v>
      </c>
      <c r="S89" s="1440">
        <f t="shared" si="70"/>
        <v>-1.8851172803632688E-2</v>
      </c>
      <c r="T89" s="1365"/>
      <c r="U89" s="1346">
        <v>1</v>
      </c>
      <c r="V89" s="1347">
        <v>1</v>
      </c>
    </row>
    <row r="90" spans="2:22" ht="18">
      <c r="C90" s="1359" t="s">
        <v>1199</v>
      </c>
      <c r="D90" s="1337"/>
      <c r="E90" s="1337"/>
      <c r="F90" s="1446"/>
      <c r="G90" s="1453"/>
      <c r="H90" s="1453"/>
      <c r="I90" s="1453"/>
      <c r="J90" s="1453"/>
      <c r="K90" s="1453"/>
      <c r="L90" s="1448">
        <f>L86*L88*12/1000000</f>
        <v>168.69480253150283</v>
      </c>
      <c r="M90" s="1448">
        <f t="shared" ref="M90:S90" si="71">M86*M88*12/1000000</f>
        <v>155.47631094304143</v>
      </c>
      <c r="N90" s="1448">
        <f t="shared" si="71"/>
        <v>134.99463777887996</v>
      </c>
      <c r="O90" s="1448">
        <f t="shared" si="71"/>
        <v>121.79897380364982</v>
      </c>
      <c r="P90" s="1448">
        <f t="shared" si="71"/>
        <v>101.78152411972864</v>
      </c>
      <c r="Q90" s="1448">
        <f t="shared" si="71"/>
        <v>87.82704529047696</v>
      </c>
      <c r="R90" s="1448">
        <f t="shared" si="71"/>
        <v>70.711137378340155</v>
      </c>
      <c r="S90" s="1448">
        <f t="shared" si="71"/>
        <v>58.721829822956401</v>
      </c>
      <c r="T90" s="1365"/>
      <c r="U90" s="1346">
        <v>1</v>
      </c>
      <c r="V90" s="1347">
        <v>1</v>
      </c>
    </row>
    <row r="91" spans="2:22">
      <c r="U91" s="1346">
        <v>0</v>
      </c>
      <c r="V91" s="1347">
        <v>0</v>
      </c>
    </row>
    <row r="92" spans="2:22" ht="18">
      <c r="C92" s="1454" t="s">
        <v>661</v>
      </c>
      <c r="D92" s="1455" t="s">
        <v>1057</v>
      </c>
      <c r="E92" s="1455" t="s">
        <v>1027</v>
      </c>
      <c r="F92" s="1455"/>
      <c r="G92" s="1456">
        <f>'DCF - Financials'!G9</f>
        <v>488.94</v>
      </c>
      <c r="H92" s="1456">
        <f>'DCF - Financials'!H9</f>
        <v>582.18200000000002</v>
      </c>
      <c r="I92" s="1456">
        <f>'DCF - Financials'!I9</f>
        <v>760.91</v>
      </c>
      <c r="J92" s="1456">
        <f>'DCF - Financials'!J9</f>
        <v>903.50300000000004</v>
      </c>
      <c r="K92" s="1456">
        <f>'DCF - Financials'!K9</f>
        <v>1051.83</v>
      </c>
      <c r="L92" s="1456">
        <f>L83+L90</f>
        <v>1278.226743738649</v>
      </c>
      <c r="M92" s="1456">
        <f t="shared" ref="M92:S92" si="72">M83+M90</f>
        <v>1562.1187544339082</v>
      </c>
      <c r="N92" s="1456">
        <f t="shared" si="72"/>
        <v>1917.7398223858147</v>
      </c>
      <c r="O92" s="1456">
        <f t="shared" si="72"/>
        <v>2383.9369385812006</v>
      </c>
      <c r="P92" s="1456">
        <f t="shared" si="72"/>
        <v>2980.545632368242</v>
      </c>
      <c r="Q92" s="1456">
        <f t="shared" si="72"/>
        <v>3750.6959718718617</v>
      </c>
      <c r="R92" s="1456">
        <f t="shared" si="72"/>
        <v>4776.0862797942809</v>
      </c>
      <c r="S92" s="1456">
        <f t="shared" si="72"/>
        <v>6065.9628035452497</v>
      </c>
      <c r="T92" s="1365"/>
      <c r="U92" s="1346">
        <v>1</v>
      </c>
      <c r="V92" s="1347">
        <v>1</v>
      </c>
    </row>
    <row r="93" spans="2:22" ht="18">
      <c r="C93" s="1430" t="s">
        <v>1200</v>
      </c>
      <c r="D93" s="1457" t="s">
        <v>1058</v>
      </c>
      <c r="E93" s="1457" t="s">
        <v>1027</v>
      </c>
      <c r="G93" s="1450"/>
      <c r="H93" s="1458">
        <f>IFERROR(H92/G92,0)-1</f>
        <v>0.1907023356649078</v>
      </c>
      <c r="I93" s="1458">
        <f t="shared" ref="I93:K93" si="73">IFERROR(I92/H92,0)-1</f>
        <v>0.30699678107533379</v>
      </c>
      <c r="J93" s="1458">
        <f t="shared" si="73"/>
        <v>0.18739798399285079</v>
      </c>
      <c r="K93" s="1458">
        <f t="shared" si="73"/>
        <v>0.16416879634046588</v>
      </c>
      <c r="L93" s="1458">
        <f>IFERROR(L92/K92,0)-1</f>
        <v>0.2152408124303824</v>
      </c>
      <c r="M93" s="1458">
        <f t="shared" ref="M93" si="74">IFERROR(M92/L92,0)-1</f>
        <v>0.2220983186949379</v>
      </c>
      <c r="N93" s="1458">
        <f t="shared" ref="N93" si="75">IFERROR(N92/M92,0)-1</f>
        <v>0.22765303018257343</v>
      </c>
      <c r="O93" s="1458">
        <f t="shared" ref="O93" si="76">IFERROR(O92/N92,0)-1</f>
        <v>0.24309716612934551</v>
      </c>
      <c r="P93" s="1458">
        <f t="shared" ref="P93" si="77">IFERROR(P92/O92,0)-1</f>
        <v>0.25026194448839445</v>
      </c>
      <c r="Q93" s="1458">
        <f t="shared" ref="Q93" si="78">IFERROR(Q92/P92,0)-1</f>
        <v>0.2583924000826936</v>
      </c>
      <c r="R93" s="1458">
        <f t="shared" ref="R93" si="79">IFERROR(R92/Q92,0)-1</f>
        <v>0.27338667692936913</v>
      </c>
      <c r="S93" s="1458">
        <f t="shared" ref="S93" si="80">IFERROR(S92/R92,0)-1</f>
        <v>0.2700697701396062</v>
      </c>
      <c r="T93" s="1365"/>
      <c r="U93" s="1346">
        <v>1</v>
      </c>
      <c r="V93" s="1347">
        <v>1</v>
      </c>
    </row>
    <row r="94" spans="2:22" ht="18">
      <c r="C94" s="1430"/>
      <c r="D94" s="1457"/>
      <c r="E94" s="1457"/>
      <c r="G94" s="1450"/>
      <c r="H94" s="1458"/>
      <c r="I94" s="1458"/>
      <c r="J94" s="1458"/>
      <c r="K94" s="1458"/>
      <c r="L94" s="1365"/>
      <c r="M94" s="1365"/>
      <c r="N94" s="1365"/>
      <c r="O94" s="1365"/>
      <c r="P94" s="1365"/>
      <c r="Q94" s="1365"/>
      <c r="R94" s="1365"/>
      <c r="S94" s="1365"/>
      <c r="T94" s="1365"/>
      <c r="U94" s="1346">
        <v>0</v>
      </c>
      <c r="V94" s="1347">
        <v>0</v>
      </c>
    </row>
    <row r="95" spans="2:22" ht="18">
      <c r="B95" s="1341"/>
      <c r="C95" s="1344" t="s">
        <v>1066</v>
      </c>
      <c r="D95" s="1345"/>
      <c r="E95" s="1345"/>
      <c r="F95" s="1345"/>
      <c r="G95" s="1345"/>
      <c r="H95" s="1345"/>
      <c r="I95" s="1345"/>
      <c r="J95" s="1345"/>
      <c r="K95" s="1345"/>
      <c r="L95" s="1345"/>
      <c r="M95" s="1345"/>
      <c r="N95" s="1345"/>
      <c r="O95" s="1345"/>
      <c r="P95" s="1345"/>
      <c r="Q95" s="1345"/>
      <c r="R95" s="1345"/>
      <c r="S95" s="1345"/>
      <c r="T95" s="1365"/>
      <c r="U95" s="1346">
        <v>1</v>
      </c>
      <c r="V95" s="1347">
        <v>1</v>
      </c>
    </row>
    <row r="96" spans="2:22" ht="18">
      <c r="C96" s="1459"/>
      <c r="G96" s="1460"/>
      <c r="H96" s="1366"/>
      <c r="I96" s="1461"/>
      <c r="J96" s="1461"/>
      <c r="K96" s="1461"/>
      <c r="L96" s="1461"/>
      <c r="M96" s="1462"/>
      <c r="N96" s="1462"/>
      <c r="O96" s="1462"/>
      <c r="P96" s="1462"/>
      <c r="Q96" s="1462"/>
      <c r="R96" s="1462"/>
      <c r="S96" s="1462"/>
      <c r="T96" s="1365"/>
      <c r="U96" s="1346">
        <v>0</v>
      </c>
      <c r="V96" s="1347">
        <v>0</v>
      </c>
    </row>
    <row r="97" spans="2:22" ht="18.600000000000001" thickBot="1">
      <c r="C97" s="1431" t="s">
        <v>1201</v>
      </c>
      <c r="D97" s="1350"/>
      <c r="E97" s="1350"/>
      <c r="F97" s="1350"/>
      <c r="G97" s="1350"/>
      <c r="H97" s="1350"/>
      <c r="I97" s="1350"/>
      <c r="J97" s="1350"/>
      <c r="K97" s="1350"/>
      <c r="L97" s="1350"/>
      <c r="M97" s="1350"/>
      <c r="N97" s="1350"/>
      <c r="O97" s="1350"/>
      <c r="P97" s="1350"/>
      <c r="Q97" s="1350"/>
      <c r="R97" s="1350"/>
      <c r="S97" s="1350"/>
      <c r="T97" s="1365"/>
      <c r="U97" s="1346">
        <v>1</v>
      </c>
      <c r="V97" s="1347">
        <v>1</v>
      </c>
    </row>
    <row r="98" spans="2:22" ht="18">
      <c r="C98" s="1370" t="s">
        <v>1202</v>
      </c>
      <c r="T98" s="1365"/>
      <c r="U98" s="1346">
        <v>1</v>
      </c>
      <c r="V98" s="1347">
        <v>1</v>
      </c>
    </row>
    <row r="99" spans="2:22" ht="18">
      <c r="C99" s="1355" t="s">
        <v>1069</v>
      </c>
      <c r="D99" s="1340" t="s">
        <v>1058</v>
      </c>
      <c r="E99" s="1340" t="s">
        <v>1020</v>
      </c>
      <c r="G99" s="1461">
        <f>1-G100</f>
        <v>0.71414283961222236</v>
      </c>
      <c r="H99" s="1461">
        <f t="shared" ref="H99:K99" si="81">1-H100</f>
        <v>0.72960517501399913</v>
      </c>
      <c r="I99" s="1461">
        <f t="shared" si="81"/>
        <v>0.73036101510034035</v>
      </c>
      <c r="J99" s="1461">
        <f t="shared" si="81"/>
        <v>0.72386367283783226</v>
      </c>
      <c r="K99" s="1461">
        <f t="shared" si="81"/>
        <v>0.70733388475323955</v>
      </c>
      <c r="L99" s="1463">
        <f>L54</f>
        <v>0.71525349389528659</v>
      </c>
      <c r="M99" s="1464">
        <f t="shared" ref="M99:S99" si="82">M54</f>
        <v>0.70576430054478223</v>
      </c>
      <c r="N99" s="1464">
        <f t="shared" si="82"/>
        <v>0.69917419101019718</v>
      </c>
      <c r="O99" s="1464">
        <f t="shared" si="82"/>
        <v>0.69499334424915027</v>
      </c>
      <c r="P99" s="1464">
        <f t="shared" si="82"/>
        <v>0.69227572772255108</v>
      </c>
      <c r="Q99" s="1464">
        <f t="shared" si="82"/>
        <v>0.68447426489206187</v>
      </c>
      <c r="R99" s="1464">
        <f t="shared" si="82"/>
        <v>0.68049280530582301</v>
      </c>
      <c r="S99" s="1465">
        <f t="shared" si="82"/>
        <v>0.67591751140620637</v>
      </c>
      <c r="T99" s="1365"/>
      <c r="U99" s="1346">
        <v>1</v>
      </c>
      <c r="V99" s="1347">
        <v>1</v>
      </c>
    </row>
    <row r="100" spans="2:22" ht="18">
      <c r="B100" s="1466"/>
      <c r="C100" s="1355" t="s">
        <v>1203</v>
      </c>
      <c r="D100" s="1340" t="s">
        <v>1058</v>
      </c>
      <c r="E100" s="1340" t="s">
        <v>1020</v>
      </c>
      <c r="F100" s="1353"/>
      <c r="G100" s="1439">
        <f>-G101/G92</f>
        <v>0.28585716038777764</v>
      </c>
      <c r="H100" s="1439">
        <f>-H101/H92</f>
        <v>0.27039482498600093</v>
      </c>
      <c r="I100" s="1439">
        <f>-I101/I92</f>
        <v>0.2696389848996596</v>
      </c>
      <c r="J100" s="1439">
        <f>-J101/J92</f>
        <v>0.27613632716216768</v>
      </c>
      <c r="K100" s="1439">
        <f>-K101/K92</f>
        <v>0.29266611524676039</v>
      </c>
      <c r="L100" s="1467">
        <f>1-L99</f>
        <v>0.28474650610471341</v>
      </c>
      <c r="M100" s="1467">
        <f t="shared" ref="M100:S100" si="83">1-M99</f>
        <v>0.29423569945521777</v>
      </c>
      <c r="N100" s="1467">
        <f t="shared" si="83"/>
        <v>0.30082580898980282</v>
      </c>
      <c r="O100" s="1467">
        <f t="shared" si="83"/>
        <v>0.30500665575084973</v>
      </c>
      <c r="P100" s="1467">
        <f t="shared" si="83"/>
        <v>0.30772427227744892</v>
      </c>
      <c r="Q100" s="1467">
        <f t="shared" si="83"/>
        <v>0.31552573510793813</v>
      </c>
      <c r="R100" s="1467">
        <f t="shared" si="83"/>
        <v>0.31950719469417699</v>
      </c>
      <c r="S100" s="1467">
        <f t="shared" si="83"/>
        <v>0.32408248859379363</v>
      </c>
      <c r="T100" s="1365"/>
      <c r="U100" s="1346">
        <v>1</v>
      </c>
      <c r="V100" s="1347">
        <v>1</v>
      </c>
    </row>
    <row r="101" spans="2:22" ht="18">
      <c r="B101" s="1466"/>
      <c r="C101" s="1454" t="s">
        <v>1071</v>
      </c>
      <c r="D101" s="1455" t="s">
        <v>1057</v>
      </c>
      <c r="E101" s="1455" t="s">
        <v>1027</v>
      </c>
      <c r="F101" s="1468"/>
      <c r="G101" s="1456">
        <f>'DCF - Financials'!G13</f>
        <v>-139.767</v>
      </c>
      <c r="H101" s="1456">
        <f>'DCF - Financials'!H13</f>
        <v>-157.41900000000001</v>
      </c>
      <c r="I101" s="1456">
        <f>'DCF - Financials'!I13</f>
        <v>-205.17099999999999</v>
      </c>
      <c r="J101" s="1456">
        <f>'DCF - Financials'!J13</f>
        <v>-249.49</v>
      </c>
      <c r="K101" s="1456">
        <f>'DCF - Financials'!K13</f>
        <v>-307.83499999999998</v>
      </c>
      <c r="L101" s="1469">
        <f>-L100*L92</f>
        <v>-363.97059928918515</v>
      </c>
      <c r="M101" s="1469">
        <f t="shared" ref="M101:S101" si="84">-M100*M92</f>
        <v>-459.63110434297454</v>
      </c>
      <c r="N101" s="1469">
        <f t="shared" si="84"/>
        <v>-576.9056335011735</v>
      </c>
      <c r="O101" s="1469">
        <f t="shared" si="84"/>
        <v>-727.11663315757085</v>
      </c>
      <c r="P101" s="1469">
        <f t="shared" si="84"/>
        <v>-917.18623571024602</v>
      </c>
      <c r="Q101" s="1469">
        <f t="shared" si="84"/>
        <v>-1183.4411036912516</v>
      </c>
      <c r="R101" s="1469">
        <f t="shared" si="84"/>
        <v>-1525.9939288744188</v>
      </c>
      <c r="S101" s="1469">
        <f t="shared" si="84"/>
        <v>-1965.8723210903297</v>
      </c>
      <c r="T101" s="1365"/>
      <c r="U101" s="1346">
        <v>1</v>
      </c>
      <c r="V101" s="1347">
        <v>1</v>
      </c>
    </row>
    <row r="102" spans="2:22" ht="18">
      <c r="B102" s="1466"/>
      <c r="C102" s="1355"/>
      <c r="F102" s="1353"/>
      <c r="G102" s="1439"/>
      <c r="H102" s="1439"/>
      <c r="I102" s="1439"/>
      <c r="J102" s="1439"/>
      <c r="K102" s="1439"/>
      <c r="L102" s="1439"/>
      <c r="M102" s="1439"/>
      <c r="N102" s="1439"/>
      <c r="O102" s="1439"/>
      <c r="P102" s="1439"/>
      <c r="Q102" s="1439"/>
      <c r="R102" s="1439"/>
      <c r="S102" s="1439"/>
      <c r="T102" s="1365"/>
      <c r="U102" s="1346">
        <v>0</v>
      </c>
      <c r="V102" s="1347">
        <v>0</v>
      </c>
    </row>
    <row r="103" spans="2:22" ht="18.600000000000001" thickBot="1">
      <c r="B103" s="1466"/>
      <c r="C103" s="1431" t="s">
        <v>1072</v>
      </c>
      <c r="D103" s="1350"/>
      <c r="E103" s="1350"/>
      <c r="F103" s="1350"/>
      <c r="G103" s="1350"/>
      <c r="H103" s="1350"/>
      <c r="I103" s="1350"/>
      <c r="J103" s="1350"/>
      <c r="K103" s="1350"/>
      <c r="L103" s="1350"/>
      <c r="M103" s="1350"/>
      <c r="N103" s="1350"/>
      <c r="O103" s="1350"/>
      <c r="P103" s="1350"/>
      <c r="Q103" s="1350"/>
      <c r="R103" s="1350"/>
      <c r="S103" s="1350"/>
      <c r="T103" s="1365"/>
      <c r="U103" s="1346">
        <v>1</v>
      </c>
      <c r="V103" s="1347">
        <v>1</v>
      </c>
    </row>
    <row r="104" spans="2:22" ht="18">
      <c r="B104" s="1466"/>
      <c r="C104" s="1370" t="s">
        <v>1202</v>
      </c>
      <c r="T104" s="1365"/>
      <c r="U104" s="1346">
        <v>1</v>
      </c>
      <c r="V104" s="1347">
        <v>1</v>
      </c>
    </row>
    <row r="105" spans="2:22" ht="18">
      <c r="B105" s="1466"/>
      <c r="C105" s="1355" t="s">
        <v>1073</v>
      </c>
      <c r="D105" s="1340" t="s">
        <v>1058</v>
      </c>
      <c r="E105" s="1340" t="s">
        <v>1020</v>
      </c>
      <c r="F105" s="1353"/>
      <c r="G105" s="1439">
        <f>'DCF - Financials'!G19/'DCF - Financials'!G$9</f>
        <v>-0.29226899006013007</v>
      </c>
      <c r="H105" s="1439">
        <f>'DCF - Financials'!H19/'DCF - Financials'!H$9</f>
        <v>-0.28126084282921837</v>
      </c>
      <c r="I105" s="1439">
        <f>'DCF - Financials'!I19/'DCF - Financials'!I$9</f>
        <v>-0.27823395670972917</v>
      </c>
      <c r="J105" s="1439">
        <f>'DCF - Financials'!J19/'DCF - Financials'!J$9</f>
        <v>-0.27589172365780745</v>
      </c>
      <c r="K105" s="1439">
        <f>'DCF - Financials'!K19/'DCF - Financials'!K$9</f>
        <v>-0.25705674871414586</v>
      </c>
      <c r="L105" s="1463">
        <f>-L59</f>
        <v>-0.25516796981572504</v>
      </c>
      <c r="M105" s="1463">
        <f t="shared" ref="M105:S105" si="85">-M59</f>
        <v>-0.24845159689112636</v>
      </c>
      <c r="N105" s="1463">
        <f t="shared" si="85"/>
        <v>-0.23977934258867906</v>
      </c>
      <c r="O105" s="1463">
        <f t="shared" si="85"/>
        <v>-0.23189621835613633</v>
      </c>
      <c r="P105" s="1463">
        <f t="shared" si="85"/>
        <v>-0.22761702546480581</v>
      </c>
      <c r="Q105" s="1463">
        <f t="shared" si="85"/>
        <v>-0.21991572438696494</v>
      </c>
      <c r="R105" s="1463">
        <f t="shared" si="85"/>
        <v>-0.21356826674981452</v>
      </c>
      <c r="S105" s="1463">
        <f t="shared" si="85"/>
        <v>-0.20802007387033852</v>
      </c>
      <c r="T105" s="1365"/>
      <c r="U105" s="1346">
        <v>1</v>
      </c>
      <c r="V105" s="1347">
        <v>1</v>
      </c>
    </row>
    <row r="106" spans="2:22" ht="18">
      <c r="B106" s="1466"/>
      <c r="C106" s="1454" t="s">
        <v>1074</v>
      </c>
      <c r="D106" s="1455" t="s">
        <v>1057</v>
      </c>
      <c r="E106" s="1455" t="s">
        <v>1027</v>
      </c>
      <c r="F106" s="1468"/>
      <c r="G106" s="1456">
        <f>'DCF - Financials'!G19</f>
        <v>-142.90199999999999</v>
      </c>
      <c r="H106" s="1456">
        <f>'DCF - Financials'!H19</f>
        <v>-163.745</v>
      </c>
      <c r="I106" s="1456">
        <f>'DCF - Financials'!I19</f>
        <v>-211.71100000000001</v>
      </c>
      <c r="J106" s="1456">
        <f>'DCF - Financials'!J19</f>
        <v>-249.26900000000001</v>
      </c>
      <c r="K106" s="1456">
        <f>'DCF - Financials'!K19</f>
        <v>-270.38</v>
      </c>
      <c r="L106" s="1469">
        <f>L105*L92</f>
        <v>-326.16252316395611</v>
      </c>
      <c r="M106" s="1469">
        <f t="shared" ref="M106:S106" si="86">M105*M92</f>
        <v>-388.11089907268178</v>
      </c>
      <c r="N106" s="1469">
        <f t="shared" si="86"/>
        <v>-459.83439386780077</v>
      </c>
      <c r="O106" s="1469">
        <f t="shared" si="86"/>
        <v>-552.82596085648527</v>
      </c>
      <c r="P106" s="1469">
        <f t="shared" si="86"/>
        <v>-678.42293110177786</v>
      </c>
      <c r="Q106" s="1469">
        <f t="shared" si="86"/>
        <v>-824.83702160947189</v>
      </c>
      <c r="R106" s="1469">
        <f t="shared" si="86"/>
        <v>-1020.0204686232343</v>
      </c>
      <c r="S106" s="1469">
        <f t="shared" si="86"/>
        <v>-1261.8420304882086</v>
      </c>
      <c r="T106" s="1365"/>
      <c r="U106" s="1346">
        <v>1</v>
      </c>
      <c r="V106" s="1347">
        <v>1</v>
      </c>
    </row>
    <row r="107" spans="2:22" ht="18">
      <c r="B107" s="1466"/>
      <c r="C107" s="1355"/>
      <c r="F107" s="1353"/>
      <c r="G107" s="1439"/>
      <c r="H107" s="1439"/>
      <c r="I107" s="1439"/>
      <c r="J107" s="1439"/>
      <c r="K107" s="1439"/>
      <c r="L107" s="1365"/>
      <c r="M107" s="1365"/>
      <c r="N107" s="1365"/>
      <c r="O107" s="1365"/>
      <c r="P107" s="1365"/>
      <c r="Q107" s="1365"/>
      <c r="R107" s="1365"/>
      <c r="S107" s="1365"/>
      <c r="T107" s="1365"/>
      <c r="U107" s="1346">
        <v>0</v>
      </c>
      <c r="V107" s="1347">
        <v>0</v>
      </c>
    </row>
    <row r="108" spans="2:22" ht="18.600000000000001" thickBot="1">
      <c r="B108" s="1466"/>
      <c r="C108" s="1431" t="s">
        <v>1204</v>
      </c>
      <c r="D108" s="1350"/>
      <c r="E108" s="1350"/>
      <c r="F108" s="1350"/>
      <c r="G108" s="1350"/>
      <c r="H108" s="1350"/>
      <c r="I108" s="1350"/>
      <c r="J108" s="1350"/>
      <c r="K108" s="1350"/>
      <c r="L108" s="1350"/>
      <c r="M108" s="1350"/>
      <c r="N108" s="1350"/>
      <c r="O108" s="1350"/>
      <c r="P108" s="1350"/>
      <c r="Q108" s="1350"/>
      <c r="R108" s="1350"/>
      <c r="S108" s="1350"/>
      <c r="T108" s="1365"/>
      <c r="U108" s="1346">
        <v>1</v>
      </c>
      <c r="V108" s="1347">
        <v>1</v>
      </c>
    </row>
    <row r="109" spans="2:22" ht="18.600000000000001" thickBot="1">
      <c r="B109" s="1466"/>
      <c r="C109" s="1370" t="s">
        <v>1202</v>
      </c>
      <c r="T109" s="1365"/>
      <c r="U109" s="1346">
        <v>1</v>
      </c>
      <c r="V109" s="1347">
        <v>1</v>
      </c>
    </row>
    <row r="110" spans="2:22" ht="19.2" thickTop="1" thickBot="1">
      <c r="B110" s="1466"/>
      <c r="C110" s="1355" t="s">
        <v>1073</v>
      </c>
      <c r="D110" s="1340" t="s">
        <v>1058</v>
      </c>
      <c r="E110" s="1340" t="s">
        <v>1020</v>
      </c>
      <c r="F110" s="1353"/>
      <c r="G110" s="1439">
        <f>G111/G92</f>
        <v>-0.13719270258109378</v>
      </c>
      <c r="H110" s="1439">
        <f t="shared" ref="H110:K110" si="87">H111/H92</f>
        <v>-0.38393835604673449</v>
      </c>
      <c r="I110" s="1439">
        <f t="shared" si="87"/>
        <v>-0.34923709768566585</v>
      </c>
      <c r="J110" s="1439">
        <f t="shared" si="87"/>
        <v>-0.35340225765714117</v>
      </c>
      <c r="K110" s="1439">
        <f t="shared" si="87"/>
        <v>-0.21072701862468271</v>
      </c>
      <c r="L110" s="1463">
        <f>-L64</f>
        <v>-0.3128301419187135</v>
      </c>
      <c r="M110" s="1463">
        <f t="shared" ref="M110:S110" si="88">-M64</f>
        <v>-0.34547766947878628</v>
      </c>
      <c r="N110" s="1463">
        <f t="shared" si="88"/>
        <v>-0.3308452804929829</v>
      </c>
      <c r="O110" s="1463">
        <f t="shared" si="88"/>
        <v>-0.32085394177328691</v>
      </c>
      <c r="P110" s="1463">
        <f t="shared" si="88"/>
        <v>-0.30795601190984373</v>
      </c>
      <c r="Q110" s="1463">
        <f t="shared" si="88"/>
        <v>-0.32359260911472265</v>
      </c>
      <c r="R110" s="1463">
        <f t="shared" si="88"/>
        <v>-0.32574510255392447</v>
      </c>
      <c r="S110" s="1463">
        <f t="shared" si="88"/>
        <v>-0.3217985891689521</v>
      </c>
      <c r="T110" s="1365"/>
      <c r="U110" s="1346">
        <v>1</v>
      </c>
      <c r="V110" s="1347">
        <v>1</v>
      </c>
    </row>
    <row r="111" spans="2:22" ht="18.600000000000001" thickTop="1">
      <c r="B111" s="1466"/>
      <c r="C111" s="1454" t="s">
        <v>1074</v>
      </c>
      <c r="D111" s="1455" t="s">
        <v>1057</v>
      </c>
      <c r="E111" s="1455" t="s">
        <v>1027</v>
      </c>
      <c r="F111" s="1468"/>
      <c r="G111" s="1456">
        <f>'DCF - Financials'!G20</f>
        <v>-67.078999999999994</v>
      </c>
      <c r="H111" s="1456">
        <f>'DCF - Financials'!H20</f>
        <v>-223.52199999999999</v>
      </c>
      <c r="I111" s="1456">
        <f>'DCF - Financials'!I20</f>
        <v>-265.738</v>
      </c>
      <c r="J111" s="1456">
        <f>'DCF - Financials'!J20</f>
        <v>-319.3</v>
      </c>
      <c r="K111" s="1456">
        <f>'DCF - Financials'!K20</f>
        <v>-221.649</v>
      </c>
      <c r="L111" s="1469">
        <f>L110*L92</f>
        <v>-399.86785364805661</v>
      </c>
      <c r="M111" s="1469">
        <f t="shared" ref="M111:S111" si="89">M110*M92</f>
        <v>-539.67714673093099</v>
      </c>
      <c r="N111" s="1469">
        <f t="shared" si="89"/>
        <v>-634.47516944979805</v>
      </c>
      <c r="O111" s="1469">
        <f t="shared" si="89"/>
        <v>-764.89556368272042</v>
      </c>
      <c r="P111" s="1469">
        <f t="shared" si="89"/>
        <v>-917.87694625942709</v>
      </c>
      <c r="Q111" s="1469">
        <f t="shared" si="89"/>
        <v>-1213.6974955340961</v>
      </c>
      <c r="R111" s="1469">
        <f t="shared" si="89"/>
        <v>-1555.7867150179795</v>
      </c>
      <c r="S111" s="1469">
        <f t="shared" si="89"/>
        <v>-1952.0182721322026</v>
      </c>
      <c r="T111" s="1365"/>
      <c r="U111" s="1346">
        <v>1</v>
      </c>
      <c r="V111" s="1347">
        <v>1</v>
      </c>
    </row>
    <row r="112" spans="2:22" ht="18">
      <c r="B112" s="1466"/>
      <c r="C112" s="1355"/>
      <c r="F112" s="1353"/>
      <c r="G112" s="1439"/>
      <c r="H112" s="1439"/>
      <c r="I112" s="1439"/>
      <c r="J112" s="1439"/>
      <c r="K112" s="1439"/>
      <c r="L112" s="1365"/>
      <c r="M112" s="1365"/>
      <c r="N112" s="1365"/>
      <c r="O112" s="1365"/>
      <c r="P112" s="1365"/>
      <c r="Q112" s="1365"/>
      <c r="R112" s="1365"/>
      <c r="S112" s="1365"/>
      <c r="T112" s="1365"/>
      <c r="U112" s="1346">
        <v>0</v>
      </c>
      <c r="V112" s="1347">
        <v>0</v>
      </c>
    </row>
    <row r="113" spans="1:23" ht="18.600000000000001" thickBot="1">
      <c r="B113" s="1466"/>
      <c r="C113" s="1431" t="s">
        <v>1205</v>
      </c>
      <c r="D113" s="1350"/>
      <c r="E113" s="1350"/>
      <c r="F113" s="1350"/>
      <c r="G113" s="1350"/>
      <c r="H113" s="1350"/>
      <c r="I113" s="1350"/>
      <c r="J113" s="1350"/>
      <c r="K113" s="1350"/>
      <c r="L113" s="1350"/>
      <c r="M113" s="1350"/>
      <c r="N113" s="1350"/>
      <c r="O113" s="1350"/>
      <c r="P113" s="1350"/>
      <c r="Q113" s="1350"/>
      <c r="R113" s="1350"/>
      <c r="S113" s="1350"/>
      <c r="T113" s="1365"/>
      <c r="U113" s="1346">
        <v>1</v>
      </c>
      <c r="V113" s="1347">
        <v>1</v>
      </c>
    </row>
    <row r="114" spans="1:23" ht="18">
      <c r="B114" s="1466"/>
      <c r="C114" s="1370" t="s">
        <v>1202</v>
      </c>
      <c r="T114" s="1365"/>
      <c r="U114" s="1346">
        <v>1</v>
      </c>
      <c r="V114" s="1347">
        <v>1</v>
      </c>
    </row>
    <row r="115" spans="1:23" ht="18">
      <c r="B115" s="1466"/>
      <c r="C115" s="1355" t="s">
        <v>1206</v>
      </c>
      <c r="D115" s="1340" t="s">
        <v>1058</v>
      </c>
      <c r="E115" s="1340" t="s">
        <v>1020</v>
      </c>
      <c r="F115" s="1353"/>
      <c r="G115" s="1439">
        <f>'DCF - Financials'!G21/'DCF - Financials'!G9</f>
        <v>-8.0183662617090035E-2</v>
      </c>
      <c r="H115" s="1439">
        <f>'DCF - Financials'!H21/'DCF - Financials'!H9</f>
        <v>-8.7740603453902735E-2</v>
      </c>
      <c r="I115" s="1439">
        <f>'DCF - Financials'!I21/'DCF - Financials'!I9</f>
        <v>-0.13919780263106019</v>
      </c>
      <c r="J115" s="1439">
        <f>'DCF - Financials'!J21/'DCF - Financials'!J9</f>
        <v>-0.10910312417335637</v>
      </c>
      <c r="K115" s="1439">
        <f>'DCF - Financials'!K21/'DCF - Financials'!K9</f>
        <v>-0.12413127596664861</v>
      </c>
      <c r="L115" s="1463">
        <f>-L69</f>
        <v>-0.12434296279256642</v>
      </c>
      <c r="M115" s="1463">
        <f t="shared" ref="M115:S115" si="90">-M69</f>
        <v>-0.13076026485624387</v>
      </c>
      <c r="N115" s="1463">
        <f t="shared" si="90"/>
        <v>-0.13672207819911344</v>
      </c>
      <c r="O115" s="1463">
        <f t="shared" si="90"/>
        <v>-0.13203529186137639</v>
      </c>
      <c r="P115" s="1463">
        <f t="shared" si="90"/>
        <v>-0.133336320248091</v>
      </c>
      <c r="Q115" s="1463">
        <f t="shared" si="90"/>
        <v>-0.13143938359147822</v>
      </c>
      <c r="R115" s="1463">
        <f t="shared" si="90"/>
        <v>-0.1328586677512606</v>
      </c>
      <c r="S115" s="1463">
        <f t="shared" si="90"/>
        <v>-0.13327834833026392</v>
      </c>
      <c r="T115" s="1365"/>
      <c r="U115" s="1346">
        <v>1</v>
      </c>
      <c r="V115" s="1347">
        <v>1</v>
      </c>
    </row>
    <row r="116" spans="1:23" ht="18.600000000000001" thickTop="1">
      <c r="B116" s="1466"/>
      <c r="C116" s="1454" t="s">
        <v>1207</v>
      </c>
      <c r="D116" s="1455" t="s">
        <v>1057</v>
      </c>
      <c r="E116" s="1455" t="s">
        <v>1027</v>
      </c>
      <c r="F116" s="1468"/>
      <c r="G116" s="1456">
        <f>'DCF - Financials'!G21</f>
        <v>-39.204999999999998</v>
      </c>
      <c r="H116" s="1456">
        <f>'DCF - Financials'!H21</f>
        <v>-51.081000000000003</v>
      </c>
      <c r="I116" s="1456">
        <f>'DCF - Financials'!I21</f>
        <v>-105.917</v>
      </c>
      <c r="J116" s="1456">
        <f>'DCF - Financials'!J21</f>
        <v>-98.575000000000003</v>
      </c>
      <c r="K116" s="1456">
        <f>'DCF - Financials'!K21</f>
        <v>-130.565</v>
      </c>
      <c r="L116" s="1469">
        <f t="shared" ref="L116:S116" si="91">L115*L92</f>
        <v>-158.93850043715815</v>
      </c>
      <c r="M116" s="1469">
        <f t="shared" si="91"/>
        <v>-204.2630620666836</v>
      </c>
      <c r="N116" s="1469">
        <f t="shared" si="91"/>
        <v>-262.19737396178726</v>
      </c>
      <c r="O116" s="1469">
        <f t="shared" si="91"/>
        <v>-314.76380946468493</v>
      </c>
      <c r="P116" s="1469">
        <f t="shared" si="91"/>
        <v>-397.41498695150079</v>
      </c>
      <c r="Q116" s="1469">
        <f t="shared" si="91"/>
        <v>-492.98916658187784</v>
      </c>
      <c r="R116" s="1469">
        <f t="shared" si="91"/>
        <v>-634.54446019854265</v>
      </c>
      <c r="S116" s="1469">
        <f t="shared" si="91"/>
        <v>-808.46150348932804</v>
      </c>
      <c r="T116" s="1365"/>
      <c r="U116" s="1346">
        <v>1</v>
      </c>
      <c r="V116" s="1347">
        <v>1</v>
      </c>
    </row>
    <row r="117" spans="1:23" ht="18">
      <c r="B117" s="1466"/>
      <c r="C117" s="1370"/>
      <c r="D117" s="1353"/>
      <c r="E117" s="1353"/>
      <c r="F117" s="1470"/>
      <c r="G117" s="1471"/>
      <c r="H117" s="1471"/>
      <c r="I117" s="1471"/>
      <c r="J117" s="1471"/>
      <c r="K117" s="1471"/>
      <c r="L117" s="1471"/>
      <c r="M117" s="1471"/>
      <c r="N117" s="1471"/>
      <c r="O117" s="1471"/>
      <c r="P117" s="1471"/>
      <c r="Q117" s="1471"/>
      <c r="R117" s="1471"/>
      <c r="S117" s="1471"/>
      <c r="T117" s="1365"/>
      <c r="U117" s="1346">
        <v>0</v>
      </c>
      <c r="V117" s="1347">
        <v>0</v>
      </c>
    </row>
    <row r="118" spans="1:23" s="1353" customFormat="1" ht="18">
      <c r="B118" s="1466"/>
      <c r="C118" s="1454" t="s">
        <v>1078</v>
      </c>
      <c r="D118" s="1455" t="s">
        <v>1057</v>
      </c>
      <c r="E118" s="1455" t="s">
        <v>1027</v>
      </c>
      <c r="F118" s="1455"/>
      <c r="G118" s="1456">
        <f>'DCF - Financials'!G23</f>
        <v>-255.92</v>
      </c>
      <c r="H118" s="1456">
        <f>'DCF - Financials'!H23</f>
        <v>-530.52300000000002</v>
      </c>
      <c r="I118" s="1456">
        <f>'DCF - Financials'!I23</f>
        <v>-690.42200000000003</v>
      </c>
      <c r="J118" s="1456">
        <f>'DCF - Financials'!J23</f>
        <v>-756.85699999999997</v>
      </c>
      <c r="K118" s="1456">
        <f>'DCF - Financials'!K23</f>
        <v>-690.62200000000007</v>
      </c>
      <c r="L118" s="1469">
        <f>L106+L111+L116</f>
        <v>-884.96887724917087</v>
      </c>
      <c r="M118" s="1469">
        <f t="shared" ref="M118:S118" si="92">M106+M111+M116</f>
        <v>-1132.0511078702964</v>
      </c>
      <c r="N118" s="1469">
        <f t="shared" si="92"/>
        <v>-1356.506937279386</v>
      </c>
      <c r="O118" s="1469">
        <f t="shared" si="92"/>
        <v>-1632.4853340038908</v>
      </c>
      <c r="P118" s="1469">
        <f t="shared" si="92"/>
        <v>-1993.7148643127057</v>
      </c>
      <c r="Q118" s="1469">
        <f t="shared" si="92"/>
        <v>-2531.5236837254456</v>
      </c>
      <c r="R118" s="1469">
        <f t="shared" si="92"/>
        <v>-3210.3516438397564</v>
      </c>
      <c r="S118" s="1469">
        <f t="shared" si="92"/>
        <v>-4022.3218061097391</v>
      </c>
      <c r="T118" s="1472"/>
      <c r="U118" s="1346">
        <v>1</v>
      </c>
      <c r="V118" s="1347">
        <v>1</v>
      </c>
    </row>
    <row r="119" spans="1:23" ht="18">
      <c r="B119" s="1466"/>
      <c r="D119" s="1353"/>
      <c r="E119" s="1353"/>
      <c r="F119" s="1353"/>
      <c r="G119" s="1353"/>
      <c r="H119" s="1353"/>
      <c r="I119" s="1353"/>
      <c r="J119" s="1353"/>
      <c r="K119" s="1353"/>
      <c r="L119" s="1353"/>
      <c r="M119" s="1353"/>
      <c r="N119" s="1353"/>
      <c r="O119" s="1353"/>
      <c r="P119" s="1353"/>
      <c r="Q119" s="1353"/>
      <c r="R119" s="1353"/>
      <c r="S119" s="1353"/>
      <c r="T119" s="1365"/>
      <c r="U119" s="1346">
        <v>0</v>
      </c>
      <c r="V119" s="1347">
        <v>0</v>
      </c>
    </row>
    <row r="120" spans="1:23" ht="18.600000000000001" thickBot="1">
      <c r="B120" s="1466"/>
      <c r="C120" s="1431" t="s">
        <v>1079</v>
      </c>
      <c r="D120" s="1350"/>
      <c r="E120" s="1350"/>
      <c r="F120" s="1350"/>
      <c r="G120" s="1350"/>
      <c r="H120" s="1350"/>
      <c r="I120" s="1350"/>
      <c r="J120" s="1350"/>
      <c r="K120" s="1350"/>
      <c r="L120" s="1350"/>
      <c r="M120" s="1350"/>
      <c r="N120" s="1350"/>
      <c r="O120" s="1350"/>
      <c r="P120" s="1350"/>
      <c r="Q120" s="1350"/>
      <c r="R120" s="1350"/>
      <c r="S120" s="1350"/>
      <c r="T120" s="1365"/>
      <c r="U120" s="1346">
        <v>1</v>
      </c>
      <c r="V120" s="1347">
        <v>1</v>
      </c>
    </row>
    <row r="121" spans="1:23" ht="18">
      <c r="B121" s="1466"/>
      <c r="C121" s="1370" t="s">
        <v>1080</v>
      </c>
      <c r="G121" s="1450"/>
      <c r="H121" s="1450"/>
      <c r="I121" s="1450"/>
      <c r="J121" s="1450"/>
      <c r="K121" s="1450"/>
      <c r="L121" s="1450"/>
      <c r="M121" s="1450"/>
      <c r="N121" s="1450"/>
      <c r="O121" s="1450"/>
      <c r="P121" s="1450"/>
      <c r="Q121" s="1450"/>
      <c r="R121" s="1450"/>
      <c r="S121" s="1450"/>
      <c r="T121" s="1365"/>
      <c r="U121" s="1346">
        <v>1</v>
      </c>
      <c r="V121" s="1347">
        <v>1</v>
      </c>
    </row>
    <row r="122" spans="1:23" ht="18">
      <c r="B122" s="1466"/>
      <c r="C122" s="1355" t="s">
        <v>1081</v>
      </c>
      <c r="D122" s="1340" t="s">
        <v>1058</v>
      </c>
      <c r="E122" s="1340" t="s">
        <v>1027</v>
      </c>
      <c r="G122" s="1473">
        <f>G123/G92</f>
        <v>0.249202356117315</v>
      </c>
      <c r="H122" s="1473">
        <f>H123/H92</f>
        <v>3.5665822715233449E-2</v>
      </c>
      <c r="I122" s="1473">
        <f>I123/I92</f>
        <v>8.9640036272358156E-2</v>
      </c>
      <c r="J122" s="1473">
        <f>J123/J92</f>
        <v>7.0280895580866948E-2</v>
      </c>
      <c r="K122" s="1473">
        <f>K123/K92</f>
        <v>0.21684492741222428</v>
      </c>
      <c r="L122" s="1473">
        <f t="shared" ref="L122:S122" si="93">L123/L92</f>
        <v>8.164094704851893E-2</v>
      </c>
      <c r="M122" s="1473">
        <f t="shared" si="93"/>
        <v>3.9803296998862939E-2</v>
      </c>
      <c r="N122" s="1473">
        <f t="shared" si="93"/>
        <v>5.0556017409659093E-2</v>
      </c>
      <c r="O122" s="1473">
        <f t="shared" si="93"/>
        <v>6.8936419938587776E-2</v>
      </c>
      <c r="P122" s="1473">
        <f t="shared" si="93"/>
        <v>8.2094897780047915E-2</v>
      </c>
      <c r="Q122" s="1473">
        <f t="shared" si="93"/>
        <v>6.825507547913344E-2</v>
      </c>
      <c r="R122" s="1473">
        <f t="shared" si="93"/>
        <v>6.7049295931060585E-2</v>
      </c>
      <c r="S122" s="1473">
        <f t="shared" si="93"/>
        <v>7.1549027716889077E-2</v>
      </c>
      <c r="T122" s="1365"/>
      <c r="U122" s="1346">
        <v>1</v>
      </c>
      <c r="V122" s="1347">
        <v>1</v>
      </c>
    </row>
    <row r="123" spans="1:23" s="1455" customFormat="1" ht="18">
      <c r="A123" s="1353"/>
      <c r="B123" s="1466"/>
      <c r="C123" s="1454" t="s">
        <v>1082</v>
      </c>
      <c r="D123" s="1455" t="s">
        <v>1057</v>
      </c>
      <c r="E123" s="1455" t="s">
        <v>1027</v>
      </c>
      <c r="G123" s="1474">
        <f>'DCF - Financials'!G53</f>
        <v>121.845</v>
      </c>
      <c r="H123" s="1474">
        <f>'DCF - Financials'!H53</f>
        <v>20.764000000000042</v>
      </c>
      <c r="I123" s="1474">
        <f>'DCF - Financials'!I53</f>
        <v>68.208000000000041</v>
      </c>
      <c r="J123" s="1474">
        <f>'DCF - Financials'!J53</f>
        <v>63.499000000000038</v>
      </c>
      <c r="K123" s="1474">
        <f>'DCF - Financials'!K53</f>
        <v>228.08399999999983</v>
      </c>
      <c r="L123" s="1474">
        <f>'DCF - Financials'!L53</f>
        <v>104.35564190156782</v>
      </c>
      <c r="M123" s="1474">
        <f>'DCF - Financials'!M53</f>
        <v>62.177476730226687</v>
      </c>
      <c r="N123" s="1474">
        <f>'DCF - Financials'!N53</f>
        <v>96.95328784773379</v>
      </c>
      <c r="O123" s="1474">
        <f>'DCF - Financials'!O53</f>
        <v>164.34007790514497</v>
      </c>
      <c r="P123" s="1474">
        <f>'DCF - Financials'!P53</f>
        <v>244.68758901803909</v>
      </c>
      <c r="Q123" s="1474">
        <f>'DCF - Financials'!Q53</f>
        <v>256.00403665939569</v>
      </c>
      <c r="R123" s="1474">
        <f>'DCF - Financials'!R53</f>
        <v>320.23322236620498</v>
      </c>
      <c r="S123" s="1474">
        <f>'DCF - Financials'!S53</f>
        <v>434.01374076047722</v>
      </c>
      <c r="T123" s="1472"/>
      <c r="U123" s="1346">
        <v>1</v>
      </c>
      <c r="V123" s="1347">
        <v>1</v>
      </c>
      <c r="W123" s="1353"/>
    </row>
    <row r="124" spans="1:23" s="1353" customFormat="1" ht="18">
      <c r="B124" s="1466"/>
      <c r="C124" s="1370"/>
      <c r="G124" s="1475"/>
      <c r="H124" s="1475"/>
      <c r="I124" s="1475"/>
      <c r="J124" s="1475"/>
      <c r="K124" s="1475"/>
      <c r="L124" s="1476"/>
      <c r="M124" s="1476"/>
      <c r="N124" s="1476"/>
      <c r="O124" s="1476"/>
      <c r="P124" s="1476"/>
      <c r="Q124" s="1476"/>
      <c r="R124" s="1476"/>
      <c r="S124" s="1476"/>
      <c r="T124" s="1472"/>
      <c r="U124" s="1346">
        <v>0</v>
      </c>
      <c r="V124" s="1347">
        <v>0</v>
      </c>
    </row>
    <row r="125" spans="1:23" ht="18">
      <c r="B125" s="1466"/>
      <c r="C125" s="1355"/>
      <c r="G125" s="1473"/>
      <c r="H125" s="1473"/>
      <c r="I125" s="1473"/>
      <c r="J125" s="1473"/>
      <c r="K125" s="1473"/>
      <c r="L125" s="1473"/>
      <c r="M125" s="1473"/>
      <c r="N125" s="1473"/>
      <c r="O125" s="1473"/>
      <c r="P125" s="1473"/>
      <c r="Q125" s="1473"/>
      <c r="R125" s="1473"/>
      <c r="S125" s="1473"/>
      <c r="T125" s="1365"/>
      <c r="U125" s="1346">
        <v>0</v>
      </c>
      <c r="V125" s="1347">
        <v>0</v>
      </c>
    </row>
    <row r="126" spans="1:23" ht="18">
      <c r="B126" s="1341"/>
      <c r="C126" s="1344" t="s">
        <v>1083</v>
      </c>
      <c r="D126" s="1345"/>
      <c r="E126" s="1345"/>
      <c r="F126" s="1345"/>
      <c r="G126" s="1345"/>
      <c r="H126" s="1345"/>
      <c r="I126" s="1345"/>
      <c r="J126" s="1345"/>
      <c r="K126" s="1345"/>
      <c r="L126" s="1345"/>
      <c r="M126" s="1345"/>
      <c r="N126" s="1345"/>
      <c r="O126" s="1345"/>
      <c r="P126" s="1345"/>
      <c r="Q126" s="1345"/>
      <c r="R126" s="1345"/>
      <c r="S126" s="1345"/>
      <c r="T126" s="1365"/>
      <c r="U126" s="1346">
        <v>1</v>
      </c>
      <c r="V126" s="1347">
        <v>1</v>
      </c>
    </row>
    <row r="127" spans="1:23" ht="18">
      <c r="B127" s="1466"/>
      <c r="C127" s="1355"/>
      <c r="G127" s="1473"/>
      <c r="H127" s="1473"/>
      <c r="I127" s="1473"/>
      <c r="J127" s="1473"/>
      <c r="K127" s="1473"/>
      <c r="L127" s="1473"/>
      <c r="M127" s="1473"/>
      <c r="N127" s="1473"/>
      <c r="O127" s="1473"/>
      <c r="P127" s="1473"/>
      <c r="Q127" s="1473"/>
      <c r="R127" s="1473"/>
      <c r="S127" s="1473"/>
      <c r="T127" s="1365"/>
      <c r="U127" s="1346">
        <v>0</v>
      </c>
      <c r="V127" s="1347">
        <v>0</v>
      </c>
    </row>
    <row r="128" spans="1:23" ht="18.600000000000001" thickBot="1">
      <c r="B128" s="1466"/>
      <c r="C128" s="1431" t="s">
        <v>1084</v>
      </c>
      <c r="D128" s="1350"/>
      <c r="E128" s="1350"/>
      <c r="F128" s="1350"/>
      <c r="G128" s="1350"/>
      <c r="H128" s="1350"/>
      <c r="I128" s="1350"/>
      <c r="J128" s="1350"/>
      <c r="K128" s="1350"/>
      <c r="L128" s="1350"/>
      <c r="M128" s="1350"/>
      <c r="N128" s="1350"/>
      <c r="O128" s="1350"/>
      <c r="P128" s="1350"/>
      <c r="Q128" s="1350"/>
      <c r="R128" s="1350"/>
      <c r="S128" s="1350"/>
      <c r="T128" s="1365"/>
      <c r="U128" s="1346">
        <v>1</v>
      </c>
      <c r="V128" s="1347">
        <v>1</v>
      </c>
    </row>
    <row r="129" spans="2:22" ht="18">
      <c r="B129" s="1466"/>
      <c r="C129" s="1370" t="s">
        <v>1208</v>
      </c>
      <c r="G129" s="1477"/>
      <c r="H129" s="1477"/>
      <c r="I129" s="1477"/>
      <c r="J129" s="1477"/>
      <c r="K129" s="1477"/>
      <c r="T129" s="1365"/>
      <c r="U129" s="1346">
        <v>1</v>
      </c>
      <c r="V129" s="1347">
        <v>1</v>
      </c>
    </row>
    <row r="130" spans="2:22" ht="18">
      <c r="B130" s="1466"/>
      <c r="C130" s="1478" t="s">
        <v>1209</v>
      </c>
      <c r="D130" s="1340" t="s">
        <v>1058</v>
      </c>
      <c r="E130" s="1340" t="s">
        <v>1020</v>
      </c>
      <c r="G130" s="1479">
        <f>'DCF - Financials'!G117/'DCF - Financials'!G9</f>
        <v>7.001677097394364E-2</v>
      </c>
      <c r="H130" s="1479">
        <f>'DCF - Financials'!H117/'DCF - Financials'!H9</f>
        <v>7.1446729716823948E-2</v>
      </c>
      <c r="I130" s="1479">
        <f>'DCF - Financials'!I117/'DCF - Financials'!I9</f>
        <v>6.2475194175395252E-2</v>
      </c>
      <c r="J130" s="1479">
        <f>'DCF - Financials'!J117/'DCF - Financials'!J9</f>
        <v>7.4078337315980139E-2</v>
      </c>
      <c r="K130" s="1479">
        <f>'DCF - Financials'!K117/'DCF - Financials'!K9</f>
        <v>9.7617485715372265E-2</v>
      </c>
      <c r="L130" s="1416">
        <f>AVERAGE(G130:K130)</f>
        <v>7.5126903579503052E-2</v>
      </c>
      <c r="M130" s="1416">
        <f t="shared" ref="M130:S130" si="94">AVERAGE(H130:L130)</f>
        <v>7.6148930100614923E-2</v>
      </c>
      <c r="N130" s="1416">
        <f t="shared" si="94"/>
        <v>7.7089370177373134E-2</v>
      </c>
      <c r="O130" s="1416">
        <f t="shared" si="94"/>
        <v>8.0012205377768694E-2</v>
      </c>
      <c r="P130" s="1416">
        <f t="shared" si="94"/>
        <v>8.1198978990126416E-2</v>
      </c>
      <c r="Q130" s="1416">
        <f t="shared" si="94"/>
        <v>7.7915277645077247E-2</v>
      </c>
      <c r="R130" s="1416">
        <f t="shared" si="94"/>
        <v>7.847295245819208E-2</v>
      </c>
      <c r="S130" s="1416">
        <f t="shared" si="94"/>
        <v>7.8937756929707503E-2</v>
      </c>
      <c r="T130" s="1365"/>
      <c r="U130" s="1346">
        <v>1</v>
      </c>
      <c r="V130" s="1347">
        <v>1</v>
      </c>
    </row>
    <row r="131" spans="2:22" ht="18">
      <c r="B131" s="1466"/>
      <c r="C131" s="1480" t="s">
        <v>21</v>
      </c>
      <c r="D131" s="1340" t="s">
        <v>1058</v>
      </c>
      <c r="E131" s="1340" t="s">
        <v>1020</v>
      </c>
      <c r="G131" s="1481">
        <f>'DCF - Financials'!G118/'DCF - Financials'!G9</f>
        <v>0.15983351740499857</v>
      </c>
      <c r="H131" s="1481">
        <f>'DCF - Financials'!H118/'DCF - Financials'!H9</f>
        <v>0.1397964897574985</v>
      </c>
      <c r="I131" s="1481">
        <f>'DCF - Financials'!I118/'DCF - Financials'!I9</f>
        <v>6.9326201521861974E-2</v>
      </c>
      <c r="J131" s="1481">
        <f>'DCF - Financials'!J118/'DCF - Financials'!J9</f>
        <v>3.5287099212730891E-2</v>
      </c>
      <c r="K131" s="1481">
        <f>'DCF - Financials'!K118/'DCF - Financials'!K9</f>
        <v>3.3020545145128019E-2</v>
      </c>
      <c r="L131" s="1549">
        <f>AVERAGE(G131:K131)</f>
        <v>8.74527706084436E-2</v>
      </c>
      <c r="M131" s="1549">
        <f t="shared" ref="M131:S134" si="95">AVERAGE(H131:L131)</f>
        <v>7.2976621249132595E-2</v>
      </c>
      <c r="N131" s="1549">
        <f t="shared" si="95"/>
        <v>5.9612647547459409E-2</v>
      </c>
      <c r="O131" s="1549">
        <f t="shared" si="95"/>
        <v>5.76699367525789E-2</v>
      </c>
      <c r="P131" s="1549">
        <f t="shared" si="95"/>
        <v>6.2146504260548505E-2</v>
      </c>
      <c r="Q131" s="1549">
        <f t="shared" si="95"/>
        <v>6.7971696083632599E-2</v>
      </c>
      <c r="R131" s="1549">
        <f t="shared" si="95"/>
        <v>6.4075481178670388E-2</v>
      </c>
      <c r="S131" s="1549">
        <f t="shared" si="95"/>
        <v>6.2295253164577957E-2</v>
      </c>
      <c r="T131" s="1365"/>
      <c r="U131" s="1346">
        <v>1</v>
      </c>
      <c r="V131" s="1347">
        <v>1</v>
      </c>
    </row>
    <row r="132" spans="2:22" ht="18">
      <c r="B132" s="1466"/>
      <c r="C132" s="1482" t="s">
        <v>1210</v>
      </c>
      <c r="D132" s="1373" t="s">
        <v>1058</v>
      </c>
      <c r="E132" s="1373" t="s">
        <v>1020</v>
      </c>
      <c r="F132" s="1373"/>
      <c r="G132" s="1483">
        <f>-'DCF - Financials'!G131/'DCF - Financials'!G13</f>
        <v>5.7710332195725751E-2</v>
      </c>
      <c r="H132" s="1483">
        <f>-'DCF - Financials'!H131/'DCF - Financials'!H13</f>
        <v>0.15081406945794343</v>
      </c>
      <c r="I132" s="1483">
        <f>-'DCF - Financials'!I131/'DCF - Financials'!I13</f>
        <v>9.3429383294910101E-2</v>
      </c>
      <c r="J132" s="1483">
        <f>-'DCF - Financials'!J131/'DCF - Financials'!J13</f>
        <v>1.3495530883001322E-2</v>
      </c>
      <c r="K132" s="1483">
        <f>-'DCF - Financials'!K131/'DCF - Financials'!K13</f>
        <v>1.497880357983985E-2</v>
      </c>
      <c r="L132" s="1416">
        <f t="shared" ref="L132:L134" si="96">AVERAGE(G132:K132)</f>
        <v>6.6085623882284089E-2</v>
      </c>
      <c r="M132" s="1416">
        <f t="shared" si="95"/>
        <v>6.7760682219595747E-2</v>
      </c>
      <c r="N132" s="1416">
        <f t="shared" si="95"/>
        <v>5.1150004771926216E-2</v>
      </c>
      <c r="O132" s="1416">
        <f t="shared" si="95"/>
        <v>4.2694129067329445E-2</v>
      </c>
      <c r="P132" s="1416">
        <f t="shared" si="95"/>
        <v>4.8533848704195068E-2</v>
      </c>
      <c r="Q132" s="1416">
        <f t="shared" si="95"/>
        <v>5.5244857729066107E-2</v>
      </c>
      <c r="R132" s="1416">
        <f t="shared" si="95"/>
        <v>5.3076704498422521E-2</v>
      </c>
      <c r="S132" s="1416">
        <f t="shared" si="95"/>
        <v>5.0139908954187871E-2</v>
      </c>
      <c r="T132" s="1365"/>
      <c r="U132" s="1346">
        <v>1</v>
      </c>
      <c r="V132" s="1347">
        <v>1</v>
      </c>
    </row>
    <row r="133" spans="2:22" ht="18">
      <c r="B133" s="1466"/>
      <c r="C133" s="1480" t="s">
        <v>1211</v>
      </c>
      <c r="D133" s="1340" t="s">
        <v>1058</v>
      </c>
      <c r="E133" s="1340" t="s">
        <v>1020</v>
      </c>
      <c r="G133" s="1481">
        <f>-'DCF - Financials'!G133/'DCF - Financials'!G13</f>
        <v>0.17707327194545208</v>
      </c>
      <c r="H133" s="1481">
        <f>-'DCF - Financials'!H133/'DCF - Financials'!H13</f>
        <v>0.19863548872753603</v>
      </c>
      <c r="I133" s="1481">
        <f>-'DCF - Financials'!I133/'DCF - Financials'!I13</f>
        <v>0.19285863986625792</v>
      </c>
      <c r="J133" s="1481">
        <f>-'DCF - Financials'!J133/'DCF - Financials'!J13</f>
        <v>0.18480901038117759</v>
      </c>
      <c r="K133" s="1481">
        <f>-'DCF - Financials'!K133/'DCF - Financials'!K13</f>
        <v>0.15836081017428169</v>
      </c>
      <c r="L133" s="1416">
        <f t="shared" si="96"/>
        <v>0.18234744421894106</v>
      </c>
      <c r="M133" s="1416">
        <f t="shared" si="95"/>
        <v>0.18340227867363884</v>
      </c>
      <c r="N133" s="1416">
        <f t="shared" si="95"/>
        <v>0.18035563666285945</v>
      </c>
      <c r="O133" s="1416">
        <f t="shared" si="95"/>
        <v>0.17785503602217975</v>
      </c>
      <c r="P133" s="1416">
        <f t="shared" si="95"/>
        <v>0.17646424115038017</v>
      </c>
      <c r="Q133" s="1416">
        <f t="shared" si="95"/>
        <v>0.18008492734559986</v>
      </c>
      <c r="R133" s="1416">
        <f t="shared" si="95"/>
        <v>0.17963242397093163</v>
      </c>
      <c r="S133" s="1416">
        <f t="shared" si="95"/>
        <v>0.17887845303039018</v>
      </c>
      <c r="T133" s="1365"/>
      <c r="U133" s="1346">
        <v>1</v>
      </c>
      <c r="V133" s="1347">
        <v>1</v>
      </c>
    </row>
    <row r="134" spans="2:22" ht="18">
      <c r="B134" s="1466"/>
      <c r="C134" s="1480" t="s">
        <v>1212</v>
      </c>
      <c r="D134" s="1340" t="s">
        <v>1058</v>
      </c>
      <c r="E134" s="1340" t="s">
        <v>1020</v>
      </c>
      <c r="G134" s="1481">
        <f>-'DCF - Financials'!G132/'DCF - Financials'!G13</f>
        <v>0.63426273726988491</v>
      </c>
      <c r="H134" s="1481">
        <f>-'DCF - Financials'!H132/'DCF - Financials'!H13</f>
        <v>1.1497087390975675</v>
      </c>
      <c r="I134" s="1481">
        <f>-'DCF - Financials'!I132/'DCF - Financials'!I13</f>
        <v>0.54336139122975469</v>
      </c>
      <c r="J134" s="1481">
        <f>-'DCF - Financials'!J132/'DCF - Financials'!J13</f>
        <v>0.62705118441620911</v>
      </c>
      <c r="K134" s="1481">
        <f>-'DCF - Financials'!K132/'DCF - Financials'!K13</f>
        <v>0.60356684587522547</v>
      </c>
      <c r="L134" s="1416">
        <f t="shared" si="96"/>
        <v>0.7115901795777283</v>
      </c>
      <c r="M134" s="1416">
        <f t="shared" si="95"/>
        <v>0.727055668039297</v>
      </c>
      <c r="N134" s="1416">
        <f t="shared" si="95"/>
        <v>0.64252505382764302</v>
      </c>
      <c r="O134" s="1416">
        <f t="shared" si="95"/>
        <v>0.66235778634722053</v>
      </c>
      <c r="P134" s="1416">
        <f t="shared" si="95"/>
        <v>0.66941910673342275</v>
      </c>
      <c r="Q134" s="1416">
        <f t="shared" si="95"/>
        <v>0.68258955890506223</v>
      </c>
      <c r="R134" s="1416">
        <f t="shared" si="95"/>
        <v>0.67678943477052911</v>
      </c>
      <c r="S134" s="1416">
        <f t="shared" si="95"/>
        <v>0.66673618811677549</v>
      </c>
      <c r="T134" s="1365"/>
      <c r="U134" s="1346">
        <v>1</v>
      </c>
      <c r="V134" s="1347">
        <v>1</v>
      </c>
    </row>
    <row r="135" spans="2:22" ht="18">
      <c r="B135" s="1466"/>
      <c r="C135" s="1484" t="str">
        <f>C130</f>
        <v>Accounts Receivable</v>
      </c>
      <c r="D135" s="1337" t="s">
        <v>1057</v>
      </c>
      <c r="E135" s="1337" t="s">
        <v>1027</v>
      </c>
      <c r="F135" s="1337"/>
      <c r="G135" s="1448">
        <f>G130*'DCF - Financials'!G$9</f>
        <v>34.234000000000002</v>
      </c>
      <c r="H135" s="1448">
        <f>H130*'DCF - Financials'!H$9</f>
        <v>41.594999999999999</v>
      </c>
      <c r="I135" s="1448">
        <f>I130*'DCF - Financials'!I$9</f>
        <v>47.537999999999997</v>
      </c>
      <c r="J135" s="1448">
        <f>J130*'DCF - Financials'!J$9</f>
        <v>66.930000000000007</v>
      </c>
      <c r="K135" s="1448">
        <f>K130*'DCF - Financials'!K$9</f>
        <v>102.67700000000001</v>
      </c>
      <c r="L135" s="1485">
        <f>L130*L$92</f>
        <v>96.029217329595639</v>
      </c>
      <c r="M135" s="1485">
        <f t="shared" ref="M135:S135" si="97">M130*M$92</f>
        <v>118.95367184024732</v>
      </c>
      <c r="N135" s="1485">
        <f t="shared" si="97"/>
        <v>147.83735507178989</v>
      </c>
      <c r="O135" s="1485">
        <f t="shared" si="97"/>
        <v>190.74405193740819</v>
      </c>
      <c r="P135" s="1485">
        <f t="shared" si="97"/>
        <v>242.01726218178194</v>
      </c>
      <c r="Q135" s="1485">
        <f t="shared" si="97"/>
        <v>292.23651801066893</v>
      </c>
      <c r="R135" s="1485">
        <f t="shared" si="97"/>
        <v>374.79359157052011</v>
      </c>
      <c r="S135" s="1485">
        <f t="shared" si="97"/>
        <v>478.83349733090199</v>
      </c>
      <c r="T135" s="1365"/>
      <c r="U135" s="1346">
        <v>1</v>
      </c>
      <c r="V135" s="1347">
        <v>1</v>
      </c>
    </row>
    <row r="136" spans="2:22" ht="18">
      <c r="B136" s="1466"/>
      <c r="C136" s="1478" t="str">
        <f>C131</f>
        <v>Other Current Assets</v>
      </c>
      <c r="D136" s="1340" t="s">
        <v>1057</v>
      </c>
      <c r="E136" s="1340" t="s">
        <v>1027</v>
      </c>
      <c r="G136" s="1450">
        <f>G131*'DCF - Financials'!G$9</f>
        <v>78.149000000000001</v>
      </c>
      <c r="H136" s="1450">
        <f>H131*'DCF - Financials'!H$9</f>
        <v>81.387</v>
      </c>
      <c r="I136" s="1450">
        <f>I131*'DCF - Financials'!I$9</f>
        <v>52.750999999999991</v>
      </c>
      <c r="J136" s="1450">
        <f>J131*'DCF - Financials'!J$9</f>
        <v>31.881999999999998</v>
      </c>
      <c r="K136" s="1450">
        <f>K131*'DCF - Financials'!K$9</f>
        <v>34.731999999999999</v>
      </c>
      <c r="L136" s="1486">
        <f>L131*L$92</f>
        <v>111.78447020575389</v>
      </c>
      <c r="M136" s="1486">
        <f t="shared" ref="M136:S136" si="98">M131*M$92</f>
        <v>113.99814868849009</v>
      </c>
      <c r="N136" s="1486">
        <f t="shared" si="98"/>
        <v>114.32154811961298</v>
      </c>
      <c r="O136" s="1486">
        <f t="shared" si="98"/>
        <v>137.4814924701144</v>
      </c>
      <c r="P136" s="1486">
        <f t="shared" si="98"/>
        <v>185.23049184073218</v>
      </c>
      <c r="Q136" s="1486">
        <f t="shared" si="98"/>
        <v>254.94116670217917</v>
      </c>
      <c r="R136" s="1486">
        <f t="shared" si="98"/>
        <v>306.03002652866434</v>
      </c>
      <c r="S136" s="1486">
        <f t="shared" si="98"/>
        <v>377.88068853376438</v>
      </c>
      <c r="T136" s="1365"/>
      <c r="U136" s="1346">
        <v>1</v>
      </c>
      <c r="V136" s="1347">
        <v>1</v>
      </c>
    </row>
    <row r="137" spans="2:22" ht="18">
      <c r="B137" s="1466"/>
      <c r="C137" s="1484" t="str">
        <f>C132</f>
        <v>Accounts Payable</v>
      </c>
      <c r="D137" s="1337" t="s">
        <v>1057</v>
      </c>
      <c r="E137" s="1337" t="s">
        <v>1027</v>
      </c>
      <c r="F137" s="1337"/>
      <c r="G137" s="1448">
        <f>-G132*'DCF - Financials'!G$13</f>
        <v>8.0660000000000007</v>
      </c>
      <c r="H137" s="1448">
        <f>-H132*'DCF - Financials'!H$13</f>
        <v>23.741</v>
      </c>
      <c r="I137" s="1448">
        <f>-I132*'DCF - Financials'!I$13</f>
        <v>19.169</v>
      </c>
      <c r="J137" s="1448">
        <f>-J132*'DCF - Financials'!J$13</f>
        <v>3.367</v>
      </c>
      <c r="K137" s="1448">
        <f>-K132*'DCF - Financials'!K$13</f>
        <v>4.6109999999999998</v>
      </c>
      <c r="L137" s="1485">
        <f>L132*-L$101</f>
        <v>24.053224128834625</v>
      </c>
      <c r="M137" s="1485">
        <f t="shared" ref="M137:S137" si="99">M132*-M$101</f>
        <v>31.144917199626153</v>
      </c>
      <c r="N137" s="1485">
        <f t="shared" si="99"/>
        <v>29.508725906536142</v>
      </c>
      <c r="O137" s="1485">
        <f t="shared" si="99"/>
        <v>31.043611383031365</v>
      </c>
      <c r="P137" s="1485">
        <f t="shared" si="99"/>
        <v>44.514577997531276</v>
      </c>
      <c r="Q137" s="1485">
        <f t="shared" si="99"/>
        <v>65.379035404152162</v>
      </c>
      <c r="R137" s="1485">
        <f t="shared" si="99"/>
        <v>80.994728829254313</v>
      </c>
      <c r="S137" s="1485">
        <f t="shared" si="99"/>
        <v>98.568659195027124</v>
      </c>
      <c r="T137" s="1365"/>
      <c r="U137" s="1346">
        <v>1</v>
      </c>
      <c r="V137" s="1347">
        <v>1</v>
      </c>
    </row>
    <row r="138" spans="2:22" ht="18">
      <c r="B138" s="1466"/>
      <c r="C138" s="1478" t="str">
        <f>C133</f>
        <v>Deferred Revenue</v>
      </c>
      <c r="D138" s="1340" t="s">
        <v>1057</v>
      </c>
      <c r="E138" s="1340" t="s">
        <v>1027</v>
      </c>
      <c r="G138" s="1450">
        <f>-G133*'DCF - Financials'!G$13</f>
        <v>24.748999999999999</v>
      </c>
      <c r="H138" s="1450">
        <f>-H133*'DCF - Financials'!H$13</f>
        <v>31.268999999999998</v>
      </c>
      <c r="I138" s="1450">
        <f>-I133*'DCF - Financials'!I$13</f>
        <v>39.569000000000003</v>
      </c>
      <c r="J138" s="1450">
        <f>-J133*'DCF - Financials'!J$13</f>
        <v>46.107999999999997</v>
      </c>
      <c r="K138" s="1450">
        <f>-K133*'DCF - Financials'!K$13</f>
        <v>48.749000000000002</v>
      </c>
      <c r="L138" s="1486">
        <f t="shared" ref="L138:S138" si="100">L133*-L$101</f>
        <v>66.369108551219242</v>
      </c>
      <c r="M138" s="1486">
        <f t="shared" si="100"/>
        <v>84.297391885782588</v>
      </c>
      <c r="N138" s="1486">
        <f t="shared" si="100"/>
        <v>104.0481828244944</v>
      </c>
      <c r="O138" s="1486">
        <f t="shared" si="100"/>
        <v>129.32135498256582</v>
      </c>
      <c r="P138" s="1486">
        <f t="shared" si="100"/>
        <v>161.85057307818229</v>
      </c>
      <c r="Q138" s="1486">
        <f t="shared" si="100"/>
        <v>213.11990517603556</v>
      </c>
      <c r="R138" s="1486">
        <f t="shared" si="100"/>
        <v>274.11798840863725</v>
      </c>
      <c r="S138" s="1486">
        <f t="shared" si="100"/>
        <v>351.65219965190067</v>
      </c>
      <c r="T138" s="1365"/>
      <c r="U138" s="1346">
        <v>1</v>
      </c>
      <c r="V138" s="1347">
        <v>1</v>
      </c>
    </row>
    <row r="139" spans="2:22" ht="18">
      <c r="B139" s="1466"/>
      <c r="C139" s="1478" t="str">
        <f>C134</f>
        <v>Accrued Expenses &amp; Other</v>
      </c>
      <c r="D139" s="1340" t="s">
        <v>1057</v>
      </c>
      <c r="E139" s="1340" t="s">
        <v>1027</v>
      </c>
      <c r="G139" s="1450">
        <f>-G134*'DCF - Financials'!G$13</f>
        <v>88.649000000000001</v>
      </c>
      <c r="H139" s="1450">
        <f>-H134*'DCF - Financials'!H$13</f>
        <v>180.98599999999999</v>
      </c>
      <c r="I139" s="1450">
        <f>-I134*'DCF - Financials'!I$13</f>
        <v>111.482</v>
      </c>
      <c r="J139" s="1450">
        <f>-J134*'DCF - Financials'!J$13</f>
        <v>156.44300000000001</v>
      </c>
      <c r="K139" s="1450">
        <f>-K134*'DCF - Financials'!K$13</f>
        <v>185.79900000000001</v>
      </c>
      <c r="L139" s="1486">
        <f t="shared" ref="L139:S139" si="101">L134*-L$101</f>
        <v>258.99790410920463</v>
      </c>
      <c r="M139" s="1486">
        <f t="shared" si="101"/>
        <v>334.1773996197212</v>
      </c>
      <c r="N139" s="1486">
        <f t="shared" si="101"/>
        <v>370.676323218812</v>
      </c>
      <c r="O139" s="1486">
        <f t="shared" si="101"/>
        <v>481.61136355449264</v>
      </c>
      <c r="P139" s="1486">
        <f t="shared" si="101"/>
        <v>613.9819906173434</v>
      </c>
      <c r="Q139" s="1486">
        <f t="shared" si="101"/>
        <v>807.80454095873142</v>
      </c>
      <c r="R139" s="1486">
        <f t="shared" si="101"/>
        <v>1032.7765685861768</v>
      </c>
      <c r="S139" s="1486">
        <f t="shared" si="101"/>
        <v>1310.7182176880442</v>
      </c>
      <c r="T139" s="1365"/>
      <c r="U139" s="1346">
        <v>1</v>
      </c>
      <c r="V139" s="1347">
        <v>1</v>
      </c>
    </row>
    <row r="140" spans="2:22" ht="18">
      <c r="B140" s="1466"/>
      <c r="C140" s="1487" t="s">
        <v>1086</v>
      </c>
      <c r="D140" s="1337" t="s">
        <v>1057</v>
      </c>
      <c r="E140" s="1337" t="s">
        <v>1027</v>
      </c>
      <c r="F140" s="1488"/>
      <c r="G140" s="1489">
        <f t="shared" ref="G140:S140" si="102">SUM(G135:G136)-SUM(G137:G139)</f>
        <v>-9.0809999999999889</v>
      </c>
      <c r="H140" s="1489">
        <f t="shared" si="102"/>
        <v>-113.01399999999998</v>
      </c>
      <c r="I140" s="1489">
        <f t="shared" si="102"/>
        <v>-69.931000000000012</v>
      </c>
      <c r="J140" s="1489">
        <f t="shared" si="102"/>
        <v>-107.10599999999999</v>
      </c>
      <c r="K140" s="1489">
        <f t="shared" si="102"/>
        <v>-101.75</v>
      </c>
      <c r="L140" s="1489">
        <f t="shared" si="102"/>
        <v>-141.60654925390901</v>
      </c>
      <c r="M140" s="1489">
        <f t="shared" si="102"/>
        <v>-216.66788817639252</v>
      </c>
      <c r="N140" s="1489">
        <f t="shared" si="102"/>
        <v>-242.07432875843966</v>
      </c>
      <c r="O140" s="1489">
        <f t="shared" si="102"/>
        <v>-313.75078551256723</v>
      </c>
      <c r="P140" s="1489">
        <f t="shared" si="102"/>
        <v>-393.09938767054285</v>
      </c>
      <c r="Q140" s="1489">
        <f t="shared" si="102"/>
        <v>-539.12579682607111</v>
      </c>
      <c r="R140" s="1489">
        <f t="shared" si="102"/>
        <v>-707.06566772488395</v>
      </c>
      <c r="S140" s="1489">
        <f t="shared" si="102"/>
        <v>-904.22489067030551</v>
      </c>
      <c r="T140" s="1365"/>
      <c r="U140" s="1346">
        <v>1</v>
      </c>
      <c r="V140" s="1347">
        <v>1</v>
      </c>
    </row>
    <row r="141" spans="2:22" ht="18">
      <c r="B141" s="1466"/>
      <c r="C141" s="1490" t="s">
        <v>1087</v>
      </c>
      <c r="D141" s="1340" t="s">
        <v>1058</v>
      </c>
      <c r="E141" s="1340" t="s">
        <v>1027</v>
      </c>
      <c r="F141" s="1480"/>
      <c r="G141" s="1481">
        <f>G140/G92</f>
        <v>-1.8572831022211293E-2</v>
      </c>
      <c r="H141" s="1481">
        <f>H140/H92</f>
        <v>-0.1941214259458382</v>
      </c>
      <c r="I141" s="1481">
        <f>I140/I92</f>
        <v>-9.190443022170823E-2</v>
      </c>
      <c r="J141" s="1481">
        <f>J140/J92</f>
        <v>-0.11854526216293691</v>
      </c>
      <c r="K141" s="1481">
        <f>K140/K92</f>
        <v>-9.6736164589334789E-2</v>
      </c>
      <c r="L141" s="1481">
        <f t="shared" ref="L141:S141" si="103">IFERROR(L140/L92,0)</f>
        <v>-0.11078359136793527</v>
      </c>
      <c r="M141" s="1481">
        <f t="shared" si="103"/>
        <v>-0.13870129115434005</v>
      </c>
      <c r="N141" s="1481">
        <f t="shared" si="103"/>
        <v>-0.12622897325940738</v>
      </c>
      <c r="O141" s="1481">
        <f t="shared" si="103"/>
        <v>-0.13161035446654723</v>
      </c>
      <c r="P141" s="1481">
        <f t="shared" si="103"/>
        <v>-0.13188839768180272</v>
      </c>
      <c r="Q141" s="1481">
        <f t="shared" si="103"/>
        <v>-0.14374020205029023</v>
      </c>
      <c r="R141" s="1481">
        <f t="shared" si="103"/>
        <v>-0.14804290088229713</v>
      </c>
      <c r="S141" s="1481">
        <f t="shared" si="103"/>
        <v>-0.14906535367177517</v>
      </c>
      <c r="T141" s="1365"/>
      <c r="U141" s="1346">
        <v>1</v>
      </c>
      <c r="V141" s="1347">
        <v>1</v>
      </c>
    </row>
    <row r="142" spans="2:22" ht="18">
      <c r="B142" s="1466"/>
      <c r="C142" s="1490"/>
      <c r="G142" s="1435"/>
      <c r="H142" s="1435"/>
      <c r="I142" s="1435"/>
      <c r="J142" s="1435"/>
      <c r="K142" s="1435"/>
      <c r="L142" s="1435"/>
      <c r="M142" s="1435"/>
      <c r="N142" s="1435"/>
      <c r="O142" s="1435"/>
      <c r="P142" s="1435"/>
      <c r="Q142" s="1435"/>
      <c r="R142" s="1435"/>
      <c r="S142" s="1435"/>
      <c r="T142" s="1365"/>
      <c r="U142" s="1346">
        <v>0</v>
      </c>
      <c r="V142" s="1347">
        <v>0</v>
      </c>
    </row>
    <row r="143" spans="2:22" ht="18">
      <c r="B143" s="1341"/>
      <c r="C143" s="1344" t="s">
        <v>1088</v>
      </c>
      <c r="D143" s="1345"/>
      <c r="E143" s="1345"/>
      <c r="F143" s="1345"/>
      <c r="G143" s="1345"/>
      <c r="H143" s="1345"/>
      <c r="I143" s="1345"/>
      <c r="J143" s="1345"/>
      <c r="K143" s="1345"/>
      <c r="L143" s="1345"/>
      <c r="M143" s="1345"/>
      <c r="N143" s="1345"/>
      <c r="O143" s="1345"/>
      <c r="P143" s="1345"/>
      <c r="Q143" s="1345"/>
      <c r="R143" s="1345"/>
      <c r="S143" s="1345"/>
      <c r="T143" s="1365"/>
      <c r="U143" s="1346">
        <v>1</v>
      </c>
      <c r="V143" s="1347">
        <v>1</v>
      </c>
    </row>
    <row r="144" spans="2:22" ht="18">
      <c r="B144" s="1466"/>
      <c r="C144" s="1490"/>
      <c r="G144" s="1435"/>
      <c r="H144" s="1435"/>
      <c r="I144" s="1435"/>
      <c r="J144" s="1435"/>
      <c r="K144" s="1435"/>
      <c r="L144" s="1435"/>
      <c r="M144" s="1435"/>
      <c r="N144" s="1435"/>
      <c r="O144" s="1435"/>
      <c r="P144" s="1435"/>
      <c r="Q144" s="1435"/>
      <c r="R144" s="1435"/>
      <c r="S144" s="1435"/>
      <c r="T144" s="1365"/>
      <c r="U144" s="1346">
        <v>0</v>
      </c>
      <c r="V144" s="1347">
        <v>0</v>
      </c>
    </row>
    <row r="145" spans="2:22" ht="18.600000000000001" thickBot="1">
      <c r="B145" s="1466"/>
      <c r="C145" s="1431" t="s">
        <v>1089</v>
      </c>
      <c r="D145" s="1350"/>
      <c r="E145" s="1350"/>
      <c r="F145" s="1350"/>
      <c r="G145" s="1350"/>
      <c r="H145" s="1350"/>
      <c r="I145" s="1350"/>
      <c r="J145" s="1350"/>
      <c r="K145" s="1350"/>
      <c r="L145" s="1350"/>
      <c r="M145" s="1350"/>
      <c r="N145" s="1350"/>
      <c r="O145" s="1350"/>
      <c r="P145" s="1350"/>
      <c r="Q145" s="1350"/>
      <c r="R145" s="1350"/>
      <c r="S145" s="1350"/>
      <c r="T145" s="1365"/>
      <c r="U145" s="1346">
        <v>1</v>
      </c>
      <c r="V145" s="1347">
        <v>1</v>
      </c>
    </row>
    <row r="146" spans="2:22" ht="18">
      <c r="B146" s="1466"/>
      <c r="C146" s="1490"/>
      <c r="G146" s="1435"/>
      <c r="H146" s="1435"/>
      <c r="I146" s="1435"/>
      <c r="J146" s="1435"/>
      <c r="K146" s="1435"/>
      <c r="L146" s="1435"/>
      <c r="M146" s="1435"/>
      <c r="N146" s="1435"/>
      <c r="O146" s="1435"/>
      <c r="P146" s="1435"/>
      <c r="Q146" s="1435"/>
      <c r="R146" s="1435"/>
      <c r="S146" s="1435"/>
      <c r="T146" s="1365"/>
      <c r="U146" s="1346">
        <v>0</v>
      </c>
      <c r="V146" s="1347">
        <v>0</v>
      </c>
    </row>
    <row r="147" spans="2:22" ht="18">
      <c r="B147" s="1466"/>
      <c r="C147" s="1490" t="s">
        <v>1213</v>
      </c>
      <c r="D147" s="1340" t="s">
        <v>1057</v>
      </c>
      <c r="E147" s="1340" t="s">
        <v>1027</v>
      </c>
      <c r="G147" s="1491"/>
      <c r="H147" s="1435">
        <f>G151</f>
        <v>30.324000000000002</v>
      </c>
      <c r="I147" s="1435">
        <f t="shared" ref="I147:K147" si="104">H151</f>
        <v>28.544</v>
      </c>
      <c r="J147" s="1435">
        <f t="shared" si="104"/>
        <v>41.036999999999999</v>
      </c>
      <c r="K147" s="1435">
        <f t="shared" si="104"/>
        <v>31.885999999999999</v>
      </c>
      <c r="L147" s="1435">
        <f>K151</f>
        <v>27.887</v>
      </c>
      <c r="M147" s="1435">
        <f t="shared" ref="M147:S147" si="105">L151</f>
        <v>20.102582524921324</v>
      </c>
      <c r="N147" s="1435">
        <f t="shared" si="105"/>
        <v>8.2020668090873876</v>
      </c>
      <c r="O147" s="1435">
        <f t="shared" si="105"/>
        <v>-1.7873070952006138</v>
      </c>
      <c r="P147" s="1435">
        <f t="shared" si="105"/>
        <v>-16.111051777441403</v>
      </c>
      <c r="Q147" s="1435">
        <f t="shared" si="105"/>
        <v>-35.563590412426393</v>
      </c>
      <c r="R147" s="1435">
        <f t="shared" si="105"/>
        <v>-59.340183271617086</v>
      </c>
      <c r="S147" s="1435">
        <f t="shared" si="105"/>
        <v>-87.941999051332033</v>
      </c>
      <c r="T147" s="1365"/>
      <c r="U147" s="1346">
        <v>1</v>
      </c>
      <c r="V147" s="1347">
        <v>1</v>
      </c>
    </row>
    <row r="148" spans="2:22" ht="18">
      <c r="B148" s="1466"/>
      <c r="C148" s="1487" t="s">
        <v>1091</v>
      </c>
      <c r="D148" s="1337" t="s">
        <v>1057</v>
      </c>
      <c r="E148" s="1337" t="s">
        <v>1027</v>
      </c>
      <c r="F148" s="1337"/>
      <c r="G148" s="1411"/>
      <c r="H148" s="1492">
        <v>5.620000000000001</v>
      </c>
      <c r="I148" s="1492">
        <v>21.593</v>
      </c>
      <c r="J148" s="1492">
        <v>1.2490000000000023</v>
      </c>
      <c r="K148" s="1492">
        <v>5.1010000000000026</v>
      </c>
      <c r="L148" s="1493">
        <f>L153*L92</f>
        <v>14.144614979255689</v>
      </c>
      <c r="M148" s="1493">
        <f t="shared" ref="M148:S148" si="106">M153*M92</f>
        <v>17.83772239520037</v>
      </c>
      <c r="N148" s="1493">
        <f t="shared" si="106"/>
        <v>13.767827783438319</v>
      </c>
      <c r="O148" s="1493">
        <f t="shared" si="106"/>
        <v>20.569547700940642</v>
      </c>
      <c r="P148" s="1493">
        <f t="shared" si="106"/>
        <v>28.533007814387368</v>
      </c>
      <c r="Q148" s="1493">
        <f t="shared" si="106"/>
        <v>34.506027472622286</v>
      </c>
      <c r="R148" s="1493">
        <f t="shared" si="106"/>
        <v>41.28994761425858</v>
      </c>
      <c r="S148" s="1493">
        <f t="shared" si="106"/>
        <v>54.664210672305892</v>
      </c>
      <c r="T148" s="1365"/>
      <c r="U148" s="1346">
        <v>1</v>
      </c>
      <c r="V148" s="1347">
        <v>1</v>
      </c>
    </row>
    <row r="149" spans="2:22" ht="18">
      <c r="B149" s="1466"/>
      <c r="C149" s="1490" t="s">
        <v>1092</v>
      </c>
      <c r="D149" s="1340" t="s">
        <v>1057</v>
      </c>
      <c r="E149" s="1340" t="s">
        <v>1027</v>
      </c>
      <c r="G149" s="1491"/>
      <c r="H149" s="1494">
        <v>-7.4</v>
      </c>
      <c r="I149" s="1494">
        <v>-9.1</v>
      </c>
      <c r="J149" s="1494">
        <v>-10.4</v>
      </c>
      <c r="K149" s="1494">
        <v>-9.1</v>
      </c>
      <c r="L149" s="1495">
        <f t="shared" ref="L149:S149" si="107">-L154*L148</f>
        <v>-21.929032454334369</v>
      </c>
      <c r="M149" s="1495">
        <f t="shared" si="107"/>
        <v>-29.738238111034303</v>
      </c>
      <c r="N149" s="1495">
        <f t="shared" si="107"/>
        <v>-23.757201687726319</v>
      </c>
      <c r="O149" s="1495">
        <f t="shared" si="107"/>
        <v>-34.893292383181432</v>
      </c>
      <c r="P149" s="1495">
        <f t="shared" si="107"/>
        <v>-47.985546449372357</v>
      </c>
      <c r="Q149" s="1495">
        <f t="shared" si="107"/>
        <v>-58.282620331812979</v>
      </c>
      <c r="R149" s="1495">
        <f t="shared" si="107"/>
        <v>-69.891763393973534</v>
      </c>
      <c r="S149" s="1495">
        <f t="shared" si="107"/>
        <v>-92.430695338142826</v>
      </c>
      <c r="T149" s="1365"/>
      <c r="U149" s="1346">
        <v>1</v>
      </c>
      <c r="V149" s="1347">
        <v>1</v>
      </c>
    </row>
    <row r="150" spans="2:22" ht="18">
      <c r="B150" s="1466"/>
      <c r="C150" s="1487" t="s">
        <v>1093</v>
      </c>
      <c r="D150" s="1337" t="s">
        <v>1057</v>
      </c>
      <c r="E150" s="1337" t="s">
        <v>1027</v>
      </c>
      <c r="F150" s="1337"/>
      <c r="G150" s="1411"/>
      <c r="H150" s="1496">
        <f>H151-SUM(H147:H149)</f>
        <v>0</v>
      </c>
      <c r="I150" s="1496">
        <f>I151-SUM(I147:I149)</f>
        <v>0</v>
      </c>
      <c r="J150" s="1496">
        <f>J151-SUM(J147:J149)</f>
        <v>0</v>
      </c>
      <c r="K150" s="1496">
        <f>K151-SUM(K147:K149)</f>
        <v>0</v>
      </c>
      <c r="L150" s="1497">
        <v>0</v>
      </c>
      <c r="M150" s="1497">
        <v>0</v>
      </c>
      <c r="N150" s="1497">
        <v>0</v>
      </c>
      <c r="O150" s="1497">
        <v>0</v>
      </c>
      <c r="P150" s="1497">
        <v>0</v>
      </c>
      <c r="Q150" s="1497">
        <v>0</v>
      </c>
      <c r="R150" s="1497">
        <v>0</v>
      </c>
      <c r="S150" s="1497">
        <v>0</v>
      </c>
      <c r="T150" s="1365"/>
      <c r="U150" s="1346">
        <v>1</v>
      </c>
      <c r="V150" s="1347">
        <v>1</v>
      </c>
    </row>
    <row r="151" spans="2:22" ht="18">
      <c r="B151" s="1466"/>
      <c r="C151" s="1487" t="s">
        <v>1094</v>
      </c>
      <c r="D151" s="1337" t="s">
        <v>1057</v>
      </c>
      <c r="E151" s="1337" t="s">
        <v>1027</v>
      </c>
      <c r="F151" s="1337"/>
      <c r="G151" s="1496">
        <f>'DCF - Financials'!G122</f>
        <v>30.324000000000002</v>
      </c>
      <c r="H151" s="1496">
        <f>'DCF - Financials'!H122</f>
        <v>28.544</v>
      </c>
      <c r="I151" s="1496">
        <f>'DCF - Financials'!I122</f>
        <v>41.036999999999999</v>
      </c>
      <c r="J151" s="1496">
        <f>'DCF - Financials'!J122</f>
        <v>31.885999999999999</v>
      </c>
      <c r="K151" s="1496">
        <f>'DCF - Financials'!K122</f>
        <v>27.887</v>
      </c>
      <c r="L151" s="1496">
        <f t="shared" ref="L151:S151" si="108">SUM(L147:L150)</f>
        <v>20.102582524921324</v>
      </c>
      <c r="M151" s="1496">
        <f t="shared" si="108"/>
        <v>8.2020668090873876</v>
      </c>
      <c r="N151" s="1496">
        <f t="shared" si="108"/>
        <v>-1.7873070952006138</v>
      </c>
      <c r="O151" s="1496">
        <f t="shared" si="108"/>
        <v>-16.111051777441403</v>
      </c>
      <c r="P151" s="1496">
        <f t="shared" si="108"/>
        <v>-35.563590412426393</v>
      </c>
      <c r="Q151" s="1496">
        <f t="shared" si="108"/>
        <v>-59.340183271617086</v>
      </c>
      <c r="R151" s="1496">
        <f t="shared" si="108"/>
        <v>-87.941999051332033</v>
      </c>
      <c r="S151" s="1496">
        <f t="shared" si="108"/>
        <v>-125.70848371716897</v>
      </c>
      <c r="T151" s="1365"/>
      <c r="U151" s="1346">
        <v>1</v>
      </c>
      <c r="V151" s="1347">
        <v>1</v>
      </c>
    </row>
    <row r="152" spans="2:22" ht="18">
      <c r="B152" s="1466"/>
      <c r="C152" s="1490"/>
      <c r="G152" s="1435"/>
      <c r="H152" s="1435"/>
      <c r="I152" s="1435"/>
      <c r="J152" s="1435"/>
      <c r="K152" s="1435"/>
      <c r="L152" s="1435"/>
      <c r="M152" s="1435"/>
      <c r="N152" s="1435"/>
      <c r="O152" s="1435"/>
      <c r="P152" s="1435"/>
      <c r="Q152" s="1435"/>
      <c r="R152" s="1435"/>
      <c r="S152" s="1435"/>
      <c r="T152" s="1365"/>
      <c r="U152" s="1346">
        <v>0</v>
      </c>
      <c r="V152" s="1347">
        <v>0</v>
      </c>
    </row>
    <row r="153" spans="2:22" ht="18">
      <c r="B153" s="1466"/>
      <c r="C153" s="1490" t="s">
        <v>1095</v>
      </c>
      <c r="D153" s="1340" t="s">
        <v>1058</v>
      </c>
      <c r="E153" s="1340" t="s">
        <v>1096</v>
      </c>
      <c r="G153" s="1461"/>
      <c r="H153" s="1461">
        <f>H148/H$92</f>
        <v>9.6533386466775006E-3</v>
      </c>
      <c r="I153" s="1461">
        <f>I148/I$92</f>
        <v>2.8377863347833515E-2</v>
      </c>
      <c r="J153" s="1461">
        <f>J148/J$92</f>
        <v>1.3823971807509243E-3</v>
      </c>
      <c r="K153" s="1461">
        <f>K148/K$92</f>
        <v>4.8496430031468992E-3</v>
      </c>
      <c r="L153" s="1416">
        <f>AVERAGE(H153:K153)</f>
        <v>1.1065810544602209E-2</v>
      </c>
      <c r="M153" s="1416">
        <f t="shared" ref="M153:S153" si="109">AVERAGE(I153:L153)</f>
        <v>1.1418928519083386E-2</v>
      </c>
      <c r="N153" s="1416">
        <f t="shared" si="109"/>
        <v>7.1791948118958551E-3</v>
      </c>
      <c r="O153" s="1416">
        <f t="shared" si="109"/>
        <v>8.6283942196820878E-3</v>
      </c>
      <c r="P153" s="1416">
        <f t="shared" si="109"/>
        <v>9.5730820238158851E-3</v>
      </c>
      <c r="Q153" s="1416">
        <f t="shared" si="109"/>
        <v>9.1998998936193028E-3</v>
      </c>
      <c r="R153" s="1416">
        <f t="shared" si="109"/>
        <v>8.6451427372532825E-3</v>
      </c>
      <c r="S153" s="1416">
        <f t="shared" si="109"/>
        <v>9.0116297185926387E-3</v>
      </c>
      <c r="T153" s="1365"/>
      <c r="U153" s="1346">
        <v>1</v>
      </c>
      <c r="V153" s="1347">
        <v>1</v>
      </c>
    </row>
    <row r="154" spans="2:22" ht="18">
      <c r="B154" s="1466"/>
      <c r="C154" s="1490" t="s">
        <v>1097</v>
      </c>
      <c r="D154" s="1340" t="s">
        <v>1058</v>
      </c>
      <c r="E154" s="1340" t="s">
        <v>1096</v>
      </c>
      <c r="G154" s="1461"/>
      <c r="H154" s="1461">
        <f>-H149/H148</f>
        <v>1.3167259786476866</v>
      </c>
      <c r="I154" s="1461">
        <f>-I149/I148</f>
        <v>0.42143287176399757</v>
      </c>
      <c r="J154" s="1461">
        <f>-J149/J148</f>
        <v>8.326661329063235</v>
      </c>
      <c r="K154" s="1461">
        <f>-K149/K148</f>
        <v>1.7839639286414419</v>
      </c>
      <c r="L154" s="1416">
        <f t="shared" ref="L154:S154" si="110">MEDIAN(H154:K154)</f>
        <v>1.5503449536445641</v>
      </c>
      <c r="M154" s="1416">
        <f t="shared" si="110"/>
        <v>1.667154441143003</v>
      </c>
      <c r="N154" s="1416">
        <f t="shared" si="110"/>
        <v>1.7255591848922225</v>
      </c>
      <c r="O154" s="1416">
        <f t="shared" si="110"/>
        <v>1.6963568130176128</v>
      </c>
      <c r="P154" s="1416">
        <f t="shared" si="110"/>
        <v>1.681755627080308</v>
      </c>
      <c r="Q154" s="1416">
        <f t="shared" si="110"/>
        <v>1.6890562200489603</v>
      </c>
      <c r="R154" s="1416">
        <f t="shared" si="110"/>
        <v>1.6927065165332866</v>
      </c>
      <c r="S154" s="1416">
        <f t="shared" si="110"/>
        <v>1.6908813682911235</v>
      </c>
      <c r="T154" s="1365"/>
      <c r="U154" s="1346">
        <v>1</v>
      </c>
      <c r="V154" s="1347">
        <v>1</v>
      </c>
    </row>
    <row r="155" spans="2:22" ht="18">
      <c r="B155" s="1466"/>
      <c r="C155" s="1490"/>
      <c r="G155" s="1435"/>
      <c r="H155" s="1435"/>
      <c r="I155" s="1435"/>
      <c r="J155" s="1435"/>
      <c r="K155" s="1435"/>
      <c r="L155" s="1435"/>
      <c r="M155" s="1435"/>
      <c r="N155" s="1435"/>
      <c r="O155" s="1435"/>
      <c r="P155" s="1435"/>
      <c r="Q155" s="1435"/>
      <c r="R155" s="1435"/>
      <c r="S155" s="1435"/>
      <c r="T155" s="1365"/>
      <c r="U155" s="1346">
        <v>0</v>
      </c>
      <c r="V155" s="1347">
        <v>0</v>
      </c>
    </row>
    <row r="156" spans="2:22" ht="18">
      <c r="B156" s="1466"/>
      <c r="C156" s="1498" t="s">
        <v>1214</v>
      </c>
      <c r="D156" s="1340" t="s">
        <v>1057</v>
      </c>
      <c r="E156" s="1340" t="s">
        <v>1027</v>
      </c>
      <c r="G156" s="1435"/>
      <c r="H156" s="1435">
        <f>G160</f>
        <v>1.2410000000000001</v>
      </c>
      <c r="I156" s="1435">
        <f t="shared" ref="I156:K156" si="111">H160</f>
        <v>1812.41</v>
      </c>
      <c r="J156" s="1435">
        <f t="shared" si="111"/>
        <v>1696.798</v>
      </c>
      <c r="K156" s="1435">
        <f t="shared" si="111"/>
        <v>1524.4280000000001</v>
      </c>
      <c r="L156" s="1499">
        <f>K160</f>
        <v>1484.29</v>
      </c>
      <c r="M156" s="1499">
        <f t="shared" ref="M156:S156" si="112">L160</f>
        <v>1352.1383469664947</v>
      </c>
      <c r="N156" s="1499">
        <f t="shared" si="112"/>
        <v>1222.4655638411145</v>
      </c>
      <c r="O156" s="1499">
        <f t="shared" si="112"/>
        <v>1042.4061502451536</v>
      </c>
      <c r="P156" s="1499">
        <f t="shared" si="112"/>
        <v>840.90166990366879</v>
      </c>
      <c r="Q156" s="1499">
        <f t="shared" si="112"/>
        <v>575.14010983229696</v>
      </c>
      <c r="R156" s="1499">
        <f t="shared" si="112"/>
        <v>245.52485887406766</v>
      </c>
      <c r="S156" s="1499">
        <f t="shared" si="112"/>
        <v>-177.28273413259791</v>
      </c>
      <c r="T156" s="1365"/>
      <c r="U156" s="1346">
        <v>1</v>
      </c>
      <c r="V156" s="1347">
        <v>1</v>
      </c>
    </row>
    <row r="157" spans="2:22" ht="18">
      <c r="B157" s="1466"/>
      <c r="C157" s="1487" t="s">
        <v>1091</v>
      </c>
      <c r="D157" s="1337" t="s">
        <v>1057</v>
      </c>
      <c r="E157" s="1337" t="s">
        <v>1027</v>
      </c>
      <c r="F157" s="1337"/>
      <c r="G157" s="1411"/>
      <c r="H157" s="1492">
        <v>1895.5690000000002</v>
      </c>
      <c r="I157" s="1492">
        <v>8.6879999999998745</v>
      </c>
      <c r="J157" s="1492">
        <v>54.1400000000001</v>
      </c>
      <c r="K157" s="1492">
        <v>18.861999999999853</v>
      </c>
      <c r="L157" s="1493">
        <f t="shared" ref="L157:S157" si="113">L162*L92</f>
        <v>49.758094996915858</v>
      </c>
      <c r="M157" s="1493">
        <f t="shared" si="113"/>
        <v>44.411032859558951</v>
      </c>
      <c r="N157" s="1493">
        <f t="shared" si="113"/>
        <v>64.587020560299919</v>
      </c>
      <c r="O157" s="1493">
        <f t="shared" si="113"/>
        <v>74.031632155377167</v>
      </c>
      <c r="P157" s="1493">
        <f t="shared" si="113"/>
        <v>96.469945570120302</v>
      </c>
      <c r="Q157" s="1493">
        <f t="shared" si="113"/>
        <v>118.93625169940726</v>
      </c>
      <c r="R157" s="1493">
        <f t="shared" si="113"/>
        <v>153.01860987410373</v>
      </c>
      <c r="S157" s="1493">
        <f t="shared" si="113"/>
        <v>193.34935607478798</v>
      </c>
      <c r="T157" s="1365"/>
      <c r="U157" s="1346">
        <v>1</v>
      </c>
      <c r="V157" s="1347">
        <v>1</v>
      </c>
    </row>
    <row r="158" spans="2:22" ht="18">
      <c r="B158" s="1466"/>
      <c r="C158" s="1490" t="s">
        <v>1100</v>
      </c>
      <c r="D158" s="1340" t="s">
        <v>1057</v>
      </c>
      <c r="E158" s="1340" t="s">
        <v>1027</v>
      </c>
      <c r="G158" s="1491"/>
      <c r="H158" s="1494">
        <v>-84.4</v>
      </c>
      <c r="I158" s="1494">
        <f>-97.9-26.4</f>
        <v>-124.30000000000001</v>
      </c>
      <c r="J158" s="1494">
        <f>-81.11-145.4</f>
        <v>-226.51</v>
      </c>
      <c r="K158" s="1494">
        <v>-59</v>
      </c>
      <c r="L158" s="1495">
        <f>L157*-L163</f>
        <v>-181.90974803042099</v>
      </c>
      <c r="M158" s="1495">
        <f t="shared" ref="M158:S158" si="114">M157*-M163</f>
        <v>-174.08381598493895</v>
      </c>
      <c r="N158" s="1495">
        <f t="shared" si="114"/>
        <v>-244.64643415626074</v>
      </c>
      <c r="O158" s="1495">
        <f t="shared" si="114"/>
        <v>-275.53611249686202</v>
      </c>
      <c r="P158" s="1495">
        <f t="shared" si="114"/>
        <v>-362.23150564149222</v>
      </c>
      <c r="Q158" s="1495">
        <f t="shared" si="114"/>
        <v>-448.5515026576366</v>
      </c>
      <c r="R158" s="1495">
        <f t="shared" si="114"/>
        <v>-575.8262028807693</v>
      </c>
      <c r="S158" s="1495">
        <f t="shared" si="114"/>
        <v>-726.79791183183193</v>
      </c>
      <c r="T158" s="1365"/>
      <c r="U158" s="1346">
        <v>1</v>
      </c>
      <c r="V158" s="1347">
        <v>1</v>
      </c>
    </row>
    <row r="159" spans="2:22" ht="18">
      <c r="B159" s="1466"/>
      <c r="C159" s="1487" t="s">
        <v>1093</v>
      </c>
      <c r="D159" s="1337" t="s">
        <v>1057</v>
      </c>
      <c r="E159" s="1337" t="s">
        <v>1027</v>
      </c>
      <c r="F159" s="1337"/>
      <c r="G159" s="1496"/>
      <c r="H159" s="1496">
        <f>H160-SUM(H156:H158)</f>
        <v>0</v>
      </c>
      <c r="I159" s="1496">
        <f>I160-SUM(I156:I158)</f>
        <v>0</v>
      </c>
      <c r="J159" s="1496">
        <f>J160-SUM(J156:J158)</f>
        <v>0</v>
      </c>
      <c r="K159" s="1496">
        <f>K160-SUM(K156:K158)</f>
        <v>0</v>
      </c>
      <c r="L159" s="1497">
        <v>0</v>
      </c>
      <c r="M159" s="1497">
        <v>0</v>
      </c>
      <c r="N159" s="1497">
        <v>0</v>
      </c>
      <c r="O159" s="1497">
        <v>0</v>
      </c>
      <c r="P159" s="1497">
        <v>0</v>
      </c>
      <c r="Q159" s="1497">
        <v>0</v>
      </c>
      <c r="R159" s="1497">
        <v>0</v>
      </c>
      <c r="S159" s="1497">
        <v>0</v>
      </c>
      <c r="T159" s="1365"/>
      <c r="U159" s="1346">
        <v>1</v>
      </c>
      <c r="V159" s="1347">
        <v>1</v>
      </c>
    </row>
    <row r="160" spans="2:22" ht="18">
      <c r="B160" s="1466"/>
      <c r="C160" s="1487" t="s">
        <v>1094</v>
      </c>
      <c r="D160" s="1337" t="s">
        <v>1057</v>
      </c>
      <c r="E160" s="1337" t="s">
        <v>1027</v>
      </c>
      <c r="F160" s="1337"/>
      <c r="G160" s="1496">
        <f>'DCF - Financials'!G125</f>
        <v>1.2410000000000001</v>
      </c>
      <c r="H160" s="1496">
        <f>'DCF - Financials'!H125</f>
        <v>1812.41</v>
      </c>
      <c r="I160" s="1496">
        <f>'DCF - Financials'!I125</f>
        <v>1696.798</v>
      </c>
      <c r="J160" s="1496">
        <f>'DCF - Financials'!J125</f>
        <v>1524.4280000000001</v>
      </c>
      <c r="K160" s="1496">
        <f>'DCF - Financials'!K125</f>
        <v>1484.29</v>
      </c>
      <c r="L160" s="1497">
        <f>SUM(L156:L159)</f>
        <v>1352.1383469664947</v>
      </c>
      <c r="M160" s="1497">
        <f t="shared" ref="M160:S160" si="115">SUM(M156:M159)</f>
        <v>1222.4655638411145</v>
      </c>
      <c r="N160" s="1497">
        <f t="shared" si="115"/>
        <v>1042.4061502451536</v>
      </c>
      <c r="O160" s="1497">
        <f t="shared" si="115"/>
        <v>840.90166990366879</v>
      </c>
      <c r="P160" s="1497">
        <f t="shared" si="115"/>
        <v>575.14010983229696</v>
      </c>
      <c r="Q160" s="1497">
        <f t="shared" si="115"/>
        <v>245.52485887406766</v>
      </c>
      <c r="R160" s="1497">
        <f t="shared" si="115"/>
        <v>-177.28273413259791</v>
      </c>
      <c r="S160" s="1497">
        <f t="shared" si="115"/>
        <v>-710.73128988964186</v>
      </c>
      <c r="T160" s="1365"/>
      <c r="U160" s="1346">
        <v>1</v>
      </c>
      <c r="V160" s="1347">
        <v>1</v>
      </c>
    </row>
    <row r="161" spans="2:22" ht="18">
      <c r="B161" s="1466"/>
      <c r="C161" s="1490"/>
      <c r="G161" s="1435"/>
      <c r="H161" s="1435"/>
      <c r="I161" s="1435"/>
      <c r="J161" s="1435"/>
      <c r="K161" s="1435"/>
      <c r="L161" s="1365"/>
      <c r="M161" s="1365"/>
      <c r="N161" s="1365"/>
      <c r="O161" s="1365"/>
      <c r="P161" s="1365"/>
      <c r="Q161" s="1365"/>
      <c r="R161" s="1365"/>
      <c r="S161" s="1365"/>
      <c r="T161" s="1365"/>
      <c r="U161" s="1346">
        <v>0</v>
      </c>
      <c r="V161" s="1347">
        <v>0</v>
      </c>
    </row>
    <row r="162" spans="2:22" ht="18">
      <c r="B162" s="1466"/>
      <c r="C162" s="1490" t="s">
        <v>1101</v>
      </c>
      <c r="D162" s="1340" t="s">
        <v>1058</v>
      </c>
      <c r="E162" s="1340" t="s">
        <v>1096</v>
      </c>
      <c r="G162" s="1461"/>
      <c r="H162" s="1461">
        <f>H157/H92</f>
        <v>3.2559732179971212</v>
      </c>
      <c r="I162" s="1461">
        <f>I157/I92</f>
        <v>1.1417907505486687E-2</v>
      </c>
      <c r="J162" s="1461">
        <f>J157/J92</f>
        <v>5.9922324552325885E-2</v>
      </c>
      <c r="K162" s="1461">
        <f>K157/K92</f>
        <v>1.7932555641120576E-2</v>
      </c>
      <c r="L162" s="1416">
        <f>MEDIAN(H162:K162)</f>
        <v>3.8927440096723234E-2</v>
      </c>
      <c r="M162" s="1416">
        <f t="shared" ref="M162:S162" si="116">MEDIAN(I162:L162)</f>
        <v>2.8429997868921905E-2</v>
      </c>
      <c r="N162" s="1416">
        <f t="shared" si="116"/>
        <v>3.367871898282257E-2</v>
      </c>
      <c r="O162" s="1416">
        <f t="shared" si="116"/>
        <v>3.1054358425872237E-2</v>
      </c>
      <c r="P162" s="1416">
        <f t="shared" si="116"/>
        <v>3.23665387043474E-2</v>
      </c>
      <c r="Q162" s="1416">
        <f t="shared" si="116"/>
        <v>3.1710448565109822E-2</v>
      </c>
      <c r="R162" s="1416">
        <f t="shared" si="116"/>
        <v>3.2038493634728611E-2</v>
      </c>
      <c r="S162" s="1416">
        <f t="shared" si="116"/>
        <v>3.1874471099919213E-2</v>
      </c>
      <c r="T162" s="1365"/>
      <c r="U162" s="1346">
        <v>1</v>
      </c>
      <c r="V162" s="1347">
        <v>1</v>
      </c>
    </row>
    <row r="163" spans="2:22" ht="18">
      <c r="B163" s="1466"/>
      <c r="C163" s="1490" t="s">
        <v>1102</v>
      </c>
      <c r="D163" s="1340" t="s">
        <v>1058</v>
      </c>
      <c r="E163" s="1340" t="s">
        <v>1096</v>
      </c>
      <c r="G163" s="1461"/>
      <c r="H163" s="1461">
        <f>-H158/H157</f>
        <v>4.4524889360397855E-2</v>
      </c>
      <c r="I163" s="1461">
        <f>-I158/I157</f>
        <v>14.30709023941089</v>
      </c>
      <c r="J163" s="1461">
        <f>-J158/J157</f>
        <v>4.1837827853712515</v>
      </c>
      <c r="K163" s="1461">
        <f>-K158/K157</f>
        <v>3.1279821864065562</v>
      </c>
      <c r="L163" s="1416">
        <f>MEDIAN(H163:K163)</f>
        <v>3.6558824858889039</v>
      </c>
      <c r="M163" s="1416">
        <f t="shared" ref="M163:S163" si="117">MEDIAN(I163:L163)</f>
        <v>3.9198326356300779</v>
      </c>
      <c r="N163" s="1416">
        <f t="shared" si="117"/>
        <v>3.7878575607594911</v>
      </c>
      <c r="O163" s="1416">
        <f t="shared" si="117"/>
        <v>3.7218700233241977</v>
      </c>
      <c r="P163" s="1416">
        <f t="shared" si="117"/>
        <v>3.7548637920418444</v>
      </c>
      <c r="Q163" s="1416">
        <f t="shared" si="117"/>
        <v>3.7713606764006675</v>
      </c>
      <c r="R163" s="1416">
        <f t="shared" si="117"/>
        <v>3.7631122342212562</v>
      </c>
      <c r="S163" s="1416">
        <f t="shared" si="117"/>
        <v>3.7589880131315505</v>
      </c>
      <c r="T163" s="1365"/>
      <c r="U163" s="1346">
        <v>1</v>
      </c>
      <c r="V163" s="1347">
        <v>1</v>
      </c>
    </row>
    <row r="164" spans="2:22" ht="18">
      <c r="B164" s="1466"/>
      <c r="C164" s="1490"/>
      <c r="G164" s="1435"/>
      <c r="H164" s="1435"/>
      <c r="I164" s="1435"/>
      <c r="J164" s="1435"/>
      <c r="K164" s="1435"/>
      <c r="L164" s="1435"/>
      <c r="M164" s="1435"/>
      <c r="N164" s="1435"/>
      <c r="O164" s="1435"/>
      <c r="P164" s="1435"/>
      <c r="Q164" s="1435"/>
      <c r="R164" s="1435"/>
      <c r="S164" s="1435"/>
      <c r="T164" s="1365"/>
      <c r="U164" s="1346">
        <v>0</v>
      </c>
      <c r="V164" s="1347">
        <v>0</v>
      </c>
    </row>
    <row r="165" spans="2:22" ht="18">
      <c r="B165" s="1466"/>
      <c r="C165" s="1498" t="s">
        <v>1215</v>
      </c>
      <c r="D165" s="1340" t="s">
        <v>1057</v>
      </c>
      <c r="E165" s="1340" t="s">
        <v>1027</v>
      </c>
      <c r="G165" s="1435"/>
      <c r="H165" s="1435">
        <f>G168</f>
        <v>0</v>
      </c>
      <c r="I165" s="1435"/>
      <c r="J165" s="1435"/>
      <c r="K165" s="1435"/>
      <c r="L165" s="1499">
        <f>K168</f>
        <v>1585.75</v>
      </c>
      <c r="M165" s="1499">
        <f t="shared" ref="M165:S165" si="118">L168</f>
        <v>1585.75</v>
      </c>
      <c r="N165" s="1499">
        <f t="shared" si="118"/>
        <v>1585.75</v>
      </c>
      <c r="O165" s="1499">
        <f t="shared" si="118"/>
        <v>1585.75</v>
      </c>
      <c r="P165" s="1499">
        <f t="shared" si="118"/>
        <v>1585.75</v>
      </c>
      <c r="Q165" s="1499">
        <f t="shared" si="118"/>
        <v>1585.75</v>
      </c>
      <c r="R165" s="1499">
        <f t="shared" si="118"/>
        <v>1585.75</v>
      </c>
      <c r="S165" s="1499">
        <f t="shared" si="118"/>
        <v>1585.75</v>
      </c>
      <c r="T165" s="1365"/>
      <c r="U165" s="1346">
        <v>1</v>
      </c>
      <c r="V165" s="1347">
        <v>1</v>
      </c>
    </row>
    <row r="166" spans="2:22" ht="18">
      <c r="B166" s="1466"/>
      <c r="C166" s="1487" t="s">
        <v>1091</v>
      </c>
      <c r="D166" s="1337" t="s">
        <v>1057</v>
      </c>
      <c r="E166" s="1337" t="s">
        <v>1027</v>
      </c>
      <c r="F166" s="1337"/>
      <c r="G166" s="1411"/>
      <c r="H166" s="1411"/>
      <c r="I166" s="1411"/>
      <c r="J166" s="1411"/>
      <c r="K166" s="1411"/>
      <c r="L166" s="1493">
        <f t="shared" ref="L166:S166" si="119">L170</f>
        <v>0</v>
      </c>
      <c r="M166" s="1493">
        <f t="shared" si="119"/>
        <v>0</v>
      </c>
      <c r="N166" s="1493">
        <f t="shared" si="119"/>
        <v>0</v>
      </c>
      <c r="O166" s="1493">
        <f t="shared" si="119"/>
        <v>0</v>
      </c>
      <c r="P166" s="1493">
        <f t="shared" si="119"/>
        <v>0</v>
      </c>
      <c r="Q166" s="1493">
        <f t="shared" si="119"/>
        <v>0</v>
      </c>
      <c r="R166" s="1493">
        <f t="shared" si="119"/>
        <v>0</v>
      </c>
      <c r="S166" s="1493">
        <f t="shared" si="119"/>
        <v>0</v>
      </c>
      <c r="T166" s="1365"/>
      <c r="U166" s="1346">
        <v>1</v>
      </c>
      <c r="V166" s="1347">
        <v>1</v>
      </c>
    </row>
    <row r="167" spans="2:22" ht="18">
      <c r="B167" s="1466"/>
      <c r="C167" s="1490" t="s">
        <v>1216</v>
      </c>
      <c r="D167" s="1340" t="s">
        <v>1057</v>
      </c>
      <c r="E167" s="1340" t="s">
        <v>1027</v>
      </c>
      <c r="G167" s="1491"/>
      <c r="H167" s="1435"/>
      <c r="I167" s="1435"/>
      <c r="J167" s="1435"/>
      <c r="K167" s="1435"/>
      <c r="L167" s="1499">
        <f t="shared" ref="L167:S167" si="120">-L171</f>
        <v>0</v>
      </c>
      <c r="M167" s="1499">
        <f t="shared" si="120"/>
        <v>0</v>
      </c>
      <c r="N167" s="1499">
        <f t="shared" si="120"/>
        <v>0</v>
      </c>
      <c r="O167" s="1499">
        <f t="shared" si="120"/>
        <v>0</v>
      </c>
      <c r="P167" s="1499">
        <f t="shared" si="120"/>
        <v>0</v>
      </c>
      <c r="Q167" s="1499">
        <f t="shared" si="120"/>
        <v>0</v>
      </c>
      <c r="R167" s="1499">
        <f t="shared" si="120"/>
        <v>0</v>
      </c>
      <c r="S167" s="1499">
        <f t="shared" si="120"/>
        <v>0</v>
      </c>
      <c r="T167" s="1365"/>
      <c r="U167" s="1346">
        <v>1</v>
      </c>
      <c r="V167" s="1347">
        <v>1</v>
      </c>
    </row>
    <row r="168" spans="2:22" ht="18">
      <c r="B168" s="1466"/>
      <c r="C168" s="1487" t="s">
        <v>1094</v>
      </c>
      <c r="D168" s="1337" t="s">
        <v>1057</v>
      </c>
      <c r="E168" s="1337" t="s">
        <v>1020</v>
      </c>
      <c r="F168" s="1337"/>
      <c r="G168" s="1411"/>
      <c r="H168" s="1411"/>
      <c r="I168" s="1411"/>
      <c r="J168" s="1411"/>
      <c r="K168" s="1496">
        <f>'DCF - Financials'!K124</f>
        <v>1585.75</v>
      </c>
      <c r="L168" s="1497">
        <f t="shared" ref="L168:S168" si="121">SUM(L165:L167)</f>
        <v>1585.75</v>
      </c>
      <c r="M168" s="1497">
        <f t="shared" si="121"/>
        <v>1585.75</v>
      </c>
      <c r="N168" s="1497">
        <f t="shared" si="121"/>
        <v>1585.75</v>
      </c>
      <c r="O168" s="1497">
        <f t="shared" si="121"/>
        <v>1585.75</v>
      </c>
      <c r="P168" s="1497">
        <f t="shared" si="121"/>
        <v>1585.75</v>
      </c>
      <c r="Q168" s="1497">
        <f t="shared" si="121"/>
        <v>1585.75</v>
      </c>
      <c r="R168" s="1497">
        <f t="shared" si="121"/>
        <v>1585.75</v>
      </c>
      <c r="S168" s="1497">
        <f t="shared" si="121"/>
        <v>1585.75</v>
      </c>
      <c r="T168" s="1365"/>
      <c r="U168" s="1346">
        <v>1</v>
      </c>
      <c r="V168" s="1347">
        <v>1</v>
      </c>
    </row>
    <row r="169" spans="2:22" ht="18">
      <c r="B169" s="1466"/>
      <c r="C169" s="1490"/>
      <c r="G169" s="1435"/>
      <c r="H169" s="1435"/>
      <c r="I169" s="1435"/>
      <c r="J169" s="1435"/>
      <c r="K169" s="1435"/>
      <c r="L169" s="1435"/>
      <c r="M169" s="1435"/>
      <c r="N169" s="1435"/>
      <c r="O169" s="1435"/>
      <c r="P169" s="1435"/>
      <c r="Q169" s="1435"/>
      <c r="R169" s="1435"/>
      <c r="S169" s="1435"/>
      <c r="T169" s="1365"/>
      <c r="U169" s="1346">
        <v>0</v>
      </c>
      <c r="V169" s="1347">
        <v>0</v>
      </c>
    </row>
    <row r="170" spans="2:22" ht="18">
      <c r="B170" s="1466"/>
      <c r="C170" s="1490" t="s">
        <v>1217</v>
      </c>
      <c r="D170" s="1340" t="s">
        <v>1058</v>
      </c>
      <c r="E170" s="1340" t="s">
        <v>1096</v>
      </c>
      <c r="G170" s="1461"/>
      <c r="H170" s="1461"/>
      <c r="I170" s="1461"/>
      <c r="J170" s="1461"/>
      <c r="K170" s="1461"/>
      <c r="L170" s="1416">
        <v>0</v>
      </c>
      <c r="M170" s="1416">
        <v>0</v>
      </c>
      <c r="N170" s="1416">
        <v>0</v>
      </c>
      <c r="O170" s="1416">
        <v>0</v>
      </c>
      <c r="P170" s="1416">
        <v>0</v>
      </c>
      <c r="Q170" s="1416">
        <v>0</v>
      </c>
      <c r="R170" s="1416">
        <v>0</v>
      </c>
      <c r="S170" s="1416">
        <v>0</v>
      </c>
      <c r="T170" s="1365"/>
      <c r="U170" s="1346">
        <v>1</v>
      </c>
      <c r="V170" s="1347">
        <v>1</v>
      </c>
    </row>
    <row r="171" spans="2:22" ht="18">
      <c r="B171" s="1466"/>
      <c r="C171" s="1490" t="s">
        <v>1218</v>
      </c>
      <c r="D171" s="1340" t="s">
        <v>1058</v>
      </c>
      <c r="E171" s="1340" t="s">
        <v>1096</v>
      </c>
      <c r="G171" s="1461"/>
      <c r="H171" s="1461"/>
      <c r="I171" s="1461"/>
      <c r="J171" s="1461"/>
      <c r="K171" s="1461"/>
      <c r="L171" s="1416">
        <v>0</v>
      </c>
      <c r="M171" s="1416">
        <v>0</v>
      </c>
      <c r="N171" s="1416">
        <v>0</v>
      </c>
      <c r="O171" s="1416">
        <v>0</v>
      </c>
      <c r="P171" s="1416">
        <v>0</v>
      </c>
      <c r="Q171" s="1416">
        <v>0</v>
      </c>
      <c r="R171" s="1416">
        <v>0</v>
      </c>
      <c r="S171" s="1416">
        <v>0</v>
      </c>
      <c r="T171" s="1365"/>
      <c r="U171" s="1346">
        <v>1</v>
      </c>
      <c r="V171" s="1347">
        <v>1</v>
      </c>
    </row>
    <row r="172" spans="2:22" ht="18">
      <c r="B172" s="1466"/>
      <c r="C172" s="1355"/>
      <c r="L172" s="1435"/>
      <c r="M172" s="1435"/>
      <c r="N172" s="1435"/>
      <c r="O172" s="1435"/>
      <c r="P172" s="1435"/>
      <c r="Q172" s="1435"/>
      <c r="R172" s="1435"/>
      <c r="S172" s="1435"/>
      <c r="T172" s="1365"/>
      <c r="U172" s="1346">
        <v>0</v>
      </c>
      <c r="V172" s="1347">
        <v>0</v>
      </c>
    </row>
    <row r="173" spans="2:22" ht="18">
      <c r="B173" s="1466"/>
      <c r="C173" s="1500" t="s">
        <v>1219</v>
      </c>
      <c r="D173" s="1337" t="s">
        <v>1057</v>
      </c>
      <c r="E173" s="1337" t="s">
        <v>1027</v>
      </c>
      <c r="F173" s="1455"/>
      <c r="G173" s="1501">
        <f>'DCF - Financials'!G64</f>
        <v>6.734</v>
      </c>
      <c r="H173" s="1501">
        <f>'DCF - Financials'!H64</f>
        <v>92.174999999999997</v>
      </c>
      <c r="I173" s="1501">
        <f>'DCF - Financials'!I64</f>
        <v>107.056</v>
      </c>
      <c r="J173" s="1501">
        <f>'DCF - Financials'!J64</f>
        <v>89.712999999999994</v>
      </c>
      <c r="K173" s="1501">
        <f>'DCF - Financials'!K64</f>
        <v>68.028000000000006</v>
      </c>
      <c r="L173" s="1502">
        <f>-SUM(L149,L158)</f>
        <v>203.83878048475535</v>
      </c>
      <c r="M173" s="1502">
        <f t="shared" ref="M173:S173" si="122">-SUM(M149,M158)</f>
        <v>203.82205409597324</v>
      </c>
      <c r="N173" s="1502">
        <f t="shared" si="122"/>
        <v>268.40363584398705</v>
      </c>
      <c r="O173" s="1502">
        <f t="shared" si="122"/>
        <v>310.42940488004342</v>
      </c>
      <c r="P173" s="1502">
        <f t="shared" si="122"/>
        <v>410.21705209086457</v>
      </c>
      <c r="Q173" s="1502">
        <f t="shared" si="122"/>
        <v>506.83412298944961</v>
      </c>
      <c r="R173" s="1502">
        <f t="shared" si="122"/>
        <v>645.71796627474282</v>
      </c>
      <c r="S173" s="1502">
        <f t="shared" si="122"/>
        <v>819.22860716997479</v>
      </c>
      <c r="T173" s="1365"/>
      <c r="U173" s="1346">
        <v>1</v>
      </c>
      <c r="V173" s="1347">
        <v>1</v>
      </c>
    </row>
    <row r="174" spans="2:22" ht="18">
      <c r="B174" s="1466"/>
      <c r="C174" s="1498" t="s">
        <v>1103</v>
      </c>
      <c r="D174" s="1340" t="s">
        <v>1057</v>
      </c>
      <c r="E174" s="1340" t="s">
        <v>1027</v>
      </c>
      <c r="F174" s="1353"/>
      <c r="G174" s="1503"/>
      <c r="H174" s="1503"/>
      <c r="I174" s="1503"/>
      <c r="J174" s="1503"/>
      <c r="K174" s="1503"/>
      <c r="L174" s="1504">
        <f>-SUM(L149,L158)+L167</f>
        <v>203.83878048475535</v>
      </c>
      <c r="M174" s="1504">
        <f t="shared" ref="M174:S174" si="123">-SUM(M149,M158)+M167</f>
        <v>203.82205409597324</v>
      </c>
      <c r="N174" s="1504">
        <f t="shared" si="123"/>
        <v>268.40363584398705</v>
      </c>
      <c r="O174" s="1504">
        <f t="shared" si="123"/>
        <v>310.42940488004342</v>
      </c>
      <c r="P174" s="1504">
        <f t="shared" si="123"/>
        <v>410.21705209086457</v>
      </c>
      <c r="Q174" s="1504">
        <f t="shared" si="123"/>
        <v>506.83412298944961</v>
      </c>
      <c r="R174" s="1504">
        <f t="shared" si="123"/>
        <v>645.71796627474282</v>
      </c>
      <c r="S174" s="1504">
        <f t="shared" si="123"/>
        <v>819.22860716997479</v>
      </c>
      <c r="T174" s="1365"/>
      <c r="U174" s="1346">
        <v>1</v>
      </c>
      <c r="V174" s="1347">
        <v>1</v>
      </c>
    </row>
    <row r="175" spans="2:22" ht="18">
      <c r="B175" s="1466"/>
      <c r="C175" s="1490"/>
      <c r="G175" s="1435"/>
      <c r="H175" s="1435"/>
      <c r="I175" s="1435"/>
      <c r="J175" s="1435"/>
      <c r="K175" s="1435"/>
      <c r="L175" s="1435"/>
      <c r="M175" s="1435"/>
      <c r="N175" s="1435"/>
      <c r="O175" s="1435"/>
      <c r="P175" s="1435"/>
      <c r="Q175" s="1435"/>
      <c r="R175" s="1435"/>
      <c r="S175" s="1435"/>
      <c r="T175" s="1365"/>
      <c r="U175" s="1346">
        <v>0</v>
      </c>
      <c r="V175" s="1347">
        <v>0</v>
      </c>
    </row>
    <row r="176" spans="2:22" ht="18">
      <c r="B176" s="1341"/>
      <c r="C176" s="1344" t="s">
        <v>1104</v>
      </c>
      <c r="D176" s="1345"/>
      <c r="E176" s="1345"/>
      <c r="F176" s="1345"/>
      <c r="G176" s="1345"/>
      <c r="H176" s="1345"/>
      <c r="I176" s="1345"/>
      <c r="J176" s="1345"/>
      <c r="K176" s="1345"/>
      <c r="L176" s="1345"/>
      <c r="M176" s="1345"/>
      <c r="N176" s="1345"/>
      <c r="O176" s="1345"/>
      <c r="P176" s="1345"/>
      <c r="Q176" s="1345"/>
      <c r="R176" s="1345"/>
      <c r="S176" s="1345"/>
      <c r="T176" s="1365"/>
      <c r="U176" s="1346">
        <v>1</v>
      </c>
      <c r="V176" s="1347">
        <v>1</v>
      </c>
    </row>
    <row r="177" spans="1:22" ht="18">
      <c r="B177" s="1466"/>
      <c r="C177" s="1355"/>
      <c r="T177" s="1365"/>
      <c r="U177" s="1346">
        <v>0</v>
      </c>
      <c r="V177" s="1347">
        <v>0</v>
      </c>
    </row>
    <row r="178" spans="1:22" ht="18.600000000000001" thickBot="1">
      <c r="B178" s="1466"/>
      <c r="C178" s="1431" t="s">
        <v>1105</v>
      </c>
      <c r="D178" s="1350"/>
      <c r="E178" s="1350"/>
      <c r="F178" s="1350"/>
      <c r="G178" s="1350"/>
      <c r="H178" s="1350"/>
      <c r="I178" s="1350"/>
      <c r="J178" s="1350"/>
      <c r="K178" s="1350"/>
      <c r="L178" s="1350"/>
      <c r="M178" s="1350"/>
      <c r="N178" s="1350"/>
      <c r="O178" s="1350"/>
      <c r="P178" s="1350"/>
      <c r="Q178" s="1350"/>
      <c r="R178" s="1350"/>
      <c r="S178" s="1350"/>
      <c r="T178" s="1365"/>
      <c r="U178" s="1346">
        <v>1</v>
      </c>
      <c r="V178" s="1347">
        <v>1</v>
      </c>
    </row>
    <row r="179" spans="1:22" ht="18">
      <c r="B179" s="1466"/>
      <c r="C179" s="1355" t="s">
        <v>1106</v>
      </c>
      <c r="D179" s="1340" t="s">
        <v>1057</v>
      </c>
      <c r="E179" s="1340" t="s">
        <v>1027</v>
      </c>
      <c r="G179" s="1371">
        <f>'DCF - Financials'!G116</f>
        <v>57.448999999999998</v>
      </c>
      <c r="H179" s="1371">
        <f>'DCF - Financials'!H116</f>
        <v>128.029</v>
      </c>
      <c r="I179" s="1371">
        <f>'DCF - Financials'!I116</f>
        <v>369.17500000000001</v>
      </c>
      <c r="J179" s="1371">
        <f>'DCF - Financials'!J116</f>
        <v>402.55900000000003</v>
      </c>
      <c r="K179" s="1371">
        <f>'DCF - Financials'!K116</f>
        <v>355.642</v>
      </c>
      <c r="L179" s="1435">
        <f>'DCF - Financials'!L116</f>
        <v>1008.2421958596346</v>
      </c>
      <c r="M179" s="1435">
        <f>'DCF - Financials'!M116</f>
        <v>1174.4489210721854</v>
      </c>
      <c r="N179" s="1435">
        <f>'DCF - Financials'!N116</f>
        <v>1278.566225969096</v>
      </c>
      <c r="O179" s="1435">
        <f>'DCF - Financials'!O116</f>
        <v>1487.5838062344437</v>
      </c>
      <c r="P179" s="1435">
        <f>'DCF - Financials'!P116</f>
        <v>1774.7706115104972</v>
      </c>
      <c r="Q179" s="1435">
        <f>'DCF - Financials'!Q116</f>
        <v>2145.1499382896568</v>
      </c>
      <c r="R179" s="1435">
        <f>'DCF - Financials'!R116</f>
        <v>2581.2262753039131</v>
      </c>
      <c r="S179" s="1435">
        <f>'DCF - Financials'!S116</f>
        <v>3137.8532341973582</v>
      </c>
      <c r="T179" s="1365"/>
      <c r="U179" s="1346">
        <v>1</v>
      </c>
      <c r="V179" s="1347">
        <v>1</v>
      </c>
    </row>
    <row r="180" spans="1:22" ht="18">
      <c r="B180" s="1466"/>
      <c r="C180" s="1355" t="s">
        <v>1107</v>
      </c>
      <c r="D180" s="1340" t="s">
        <v>1058</v>
      </c>
      <c r="E180" s="1340" t="s">
        <v>1020</v>
      </c>
      <c r="G180" s="1505"/>
      <c r="H180" s="1505">
        <f>H181/G179</f>
        <v>-0.38468902852965242</v>
      </c>
      <c r="I180" s="1505">
        <f>I181/H179</f>
        <v>-0.19214396738238995</v>
      </c>
      <c r="J180" s="1505">
        <f>J181/I179</f>
        <v>-6.5280693438071372E-2</v>
      </c>
      <c r="K180" s="1505">
        <f>K181/J179</f>
        <v>-5.3408320271065853E-2</v>
      </c>
      <c r="L180" s="1506">
        <v>0</v>
      </c>
      <c r="M180" s="1506">
        <v>0</v>
      </c>
      <c r="N180" s="1506">
        <v>0</v>
      </c>
      <c r="O180" s="1506">
        <v>0</v>
      </c>
      <c r="P180" s="1506">
        <v>0</v>
      </c>
      <c r="Q180" s="1506">
        <v>0</v>
      </c>
      <c r="R180" s="1506">
        <v>0</v>
      </c>
      <c r="S180" s="1506">
        <v>0</v>
      </c>
      <c r="T180" s="1365"/>
      <c r="U180" s="1346">
        <v>1</v>
      </c>
      <c r="V180" s="1347">
        <v>1</v>
      </c>
    </row>
    <row r="181" spans="1:22" ht="18">
      <c r="B181" s="1466"/>
      <c r="C181" s="1355" t="s">
        <v>1220</v>
      </c>
      <c r="D181" s="1340" t="s">
        <v>1057</v>
      </c>
      <c r="E181" s="1340" t="s">
        <v>1027</v>
      </c>
      <c r="G181" s="1491">
        <v>0</v>
      </c>
      <c r="H181" s="1491">
        <v>-22.1</v>
      </c>
      <c r="I181" s="1491">
        <v>-24.6</v>
      </c>
      <c r="J181" s="1491">
        <v>-24.1</v>
      </c>
      <c r="K181" s="1491">
        <v>-21.5</v>
      </c>
      <c r="L181" s="1435">
        <f>'DCF - Capital Structure'!L64</f>
        <v>-15.917907005916643</v>
      </c>
      <c r="M181" s="1435">
        <f>'DCF - Capital Structure'!M64</f>
        <v>-37.628806331896669</v>
      </c>
      <c r="N181" s="1435">
        <f>'DCF - Capital Structure'!N64</f>
        <v>-40.699036577630025</v>
      </c>
      <c r="O181" s="1435">
        <f>'DCF - Capital Structure'!O64</f>
        <v>-39.921196879075609</v>
      </c>
      <c r="P181" s="1435">
        <f>'DCF - Capital Structure'!P64</f>
        <v>-40.075881349607457</v>
      </c>
      <c r="Q181" s="1435">
        <f>'DCF - Capital Structure'!Q64</f>
        <v>-43.178763808394621</v>
      </c>
      <c r="R181" s="1435">
        <f>'DCF - Capital Structure'!R64</f>
        <v>-44.822751097855573</v>
      </c>
      <c r="S181" s="1435">
        <f>'DCF - Capital Structure'!S64</f>
        <v>-45.979716794577101</v>
      </c>
      <c r="T181" s="1365"/>
      <c r="U181" s="1346">
        <v>1</v>
      </c>
      <c r="V181" s="1347">
        <v>1</v>
      </c>
    </row>
    <row r="182" spans="1:22" ht="18">
      <c r="B182" s="1466"/>
      <c r="C182" s="1355" t="s">
        <v>931</v>
      </c>
      <c r="D182" s="1340" t="s">
        <v>1057</v>
      </c>
      <c r="E182" s="1340" t="s">
        <v>1027</v>
      </c>
      <c r="G182" s="1491">
        <v>-1.2709999999999999</v>
      </c>
      <c r="H182" s="1491">
        <v>-6.407</v>
      </c>
      <c r="I182" s="1491">
        <v>3.16</v>
      </c>
      <c r="J182" s="1491">
        <v>16.189</v>
      </c>
      <c r="K182" s="1491">
        <v>-26.536999999999999</v>
      </c>
      <c r="L182" s="1491">
        <v>0</v>
      </c>
      <c r="M182" s="1491">
        <v>0</v>
      </c>
      <c r="N182" s="1491">
        <v>0</v>
      </c>
      <c r="O182" s="1491">
        <v>0</v>
      </c>
      <c r="P182" s="1491">
        <v>0</v>
      </c>
      <c r="Q182" s="1491">
        <v>0</v>
      </c>
      <c r="R182" s="1491">
        <v>0</v>
      </c>
      <c r="S182" s="1491">
        <v>0</v>
      </c>
      <c r="T182" s="1365"/>
      <c r="U182" s="1346">
        <v>1</v>
      </c>
      <c r="V182" s="1347">
        <v>1</v>
      </c>
    </row>
    <row r="183" spans="1:22">
      <c r="A183" s="1369"/>
      <c r="B183" s="1369"/>
      <c r="C183" s="1454" t="s">
        <v>1109</v>
      </c>
      <c r="D183" s="1337" t="s">
        <v>1057</v>
      </c>
      <c r="E183" s="1337" t="s">
        <v>1027</v>
      </c>
      <c r="F183" s="1337"/>
      <c r="G183" s="1489">
        <f>SUM(G181:G182)</f>
        <v>-1.2709999999999999</v>
      </c>
      <c r="H183" s="1489">
        <f t="shared" ref="H183:S183" si="124">SUM(H181:H182)</f>
        <v>-28.507000000000001</v>
      </c>
      <c r="I183" s="1489">
        <f t="shared" si="124"/>
        <v>-21.44</v>
      </c>
      <c r="J183" s="1489">
        <f t="shared" si="124"/>
        <v>-7.9110000000000014</v>
      </c>
      <c r="K183" s="1489">
        <f t="shared" si="124"/>
        <v>-48.036999999999999</v>
      </c>
      <c r="L183" s="1489">
        <f t="shared" si="124"/>
        <v>-15.917907005916643</v>
      </c>
      <c r="M183" s="1489">
        <f t="shared" si="124"/>
        <v>-37.628806331896669</v>
      </c>
      <c r="N183" s="1489">
        <f t="shared" si="124"/>
        <v>-40.699036577630025</v>
      </c>
      <c r="O183" s="1489">
        <f t="shared" si="124"/>
        <v>-39.921196879075609</v>
      </c>
      <c r="P183" s="1489">
        <f t="shared" si="124"/>
        <v>-40.075881349607457</v>
      </c>
      <c r="Q183" s="1489">
        <f t="shared" si="124"/>
        <v>-43.178763808394621</v>
      </c>
      <c r="R183" s="1489">
        <f t="shared" si="124"/>
        <v>-44.822751097855573</v>
      </c>
      <c r="S183" s="1489">
        <f t="shared" si="124"/>
        <v>-45.979716794577101</v>
      </c>
      <c r="U183" s="1346">
        <v>1</v>
      </c>
      <c r="V183" s="1347">
        <v>1</v>
      </c>
    </row>
    <row r="184" spans="1:22" ht="18">
      <c r="A184" s="1365"/>
      <c r="B184" s="1466"/>
      <c r="C184" s="1355"/>
      <c r="G184" s="1505"/>
      <c r="H184" s="1505"/>
      <c r="I184" s="1505"/>
      <c r="J184" s="1505"/>
      <c r="K184" s="1505"/>
      <c r="L184" s="1462"/>
      <c r="M184" s="1462"/>
      <c r="N184" s="1462"/>
      <c r="O184" s="1462"/>
      <c r="P184" s="1462"/>
      <c r="Q184" s="1462"/>
      <c r="R184" s="1462"/>
      <c r="S184" s="1462"/>
      <c r="T184" s="1365"/>
      <c r="U184" s="1346">
        <v>0</v>
      </c>
      <c r="V184" s="1347">
        <v>0</v>
      </c>
    </row>
    <row r="185" spans="1:22" ht="18.600000000000001" thickBot="1">
      <c r="B185" s="1466"/>
      <c r="C185" s="1431" t="s">
        <v>1110</v>
      </c>
      <c r="D185" s="1350"/>
      <c r="E185" s="1350"/>
      <c r="F185" s="1350"/>
      <c r="G185" s="1350"/>
      <c r="H185" s="1350"/>
      <c r="I185" s="1350"/>
      <c r="J185" s="1350"/>
      <c r="K185" s="1350"/>
      <c r="L185" s="1350"/>
      <c r="M185" s="1350"/>
      <c r="N185" s="1350"/>
      <c r="O185" s="1350"/>
      <c r="P185" s="1350"/>
      <c r="Q185" s="1350"/>
      <c r="R185" s="1350"/>
      <c r="S185" s="1350"/>
      <c r="T185" s="1365"/>
      <c r="U185" s="1346">
        <v>1</v>
      </c>
      <c r="V185" s="1347">
        <v>1</v>
      </c>
    </row>
    <row r="186" spans="1:22" ht="18">
      <c r="C186" s="1507" t="s">
        <v>1221</v>
      </c>
      <c r="D186" s="1340" t="s">
        <v>1057</v>
      </c>
      <c r="E186" s="1340" t="s">
        <v>1027</v>
      </c>
      <c r="L186" s="1435">
        <f>'DCF - Financials'!L31</f>
        <v>-190.46942029037896</v>
      </c>
      <c r="M186" s="1435">
        <f>'DCF - Financials'!M31</f>
        <v>-271.01431820723275</v>
      </c>
      <c r="N186" s="1435">
        <f>'DCF - Financials'!N31</f>
        <v>-324.77542081636187</v>
      </c>
      <c r="O186" s="1435">
        <f>'DCF - Financials'!O31</f>
        <v>-326.01563033938021</v>
      </c>
      <c r="P186" s="1435">
        <f>'DCF - Financials'!P31</f>
        <v>-380.6484010951815</v>
      </c>
      <c r="Q186" s="1435">
        <f>'DCF - Financials'!Q31</f>
        <v>-514.28170234267952</v>
      </c>
      <c r="R186" s="1435">
        <f>'DCF - Financials'!R31</f>
        <v>-650.80001029249308</v>
      </c>
      <c r="S186" s="1435">
        <f>'DCF - Financials'!S31</f>
        <v>-787.4396476193715</v>
      </c>
      <c r="T186" s="1365"/>
      <c r="U186" s="1346">
        <v>1</v>
      </c>
      <c r="V186" s="1347">
        <v>1</v>
      </c>
    </row>
    <row r="187" spans="1:22" ht="18">
      <c r="B187" s="1466"/>
      <c r="C187" s="1355" t="s">
        <v>1222</v>
      </c>
      <c r="D187" s="1340" t="s">
        <v>1057</v>
      </c>
      <c r="E187" s="1340" t="s">
        <v>1020</v>
      </c>
      <c r="G187" s="1508"/>
      <c r="H187" s="1508"/>
      <c r="I187" s="1508"/>
      <c r="J187" s="1508"/>
      <c r="K187" s="1508"/>
      <c r="L187" s="1416">
        <v>0</v>
      </c>
      <c r="M187" s="1416">
        <v>0</v>
      </c>
      <c r="N187" s="1416">
        <v>0</v>
      </c>
      <c r="O187" s="1416">
        <v>0</v>
      </c>
      <c r="P187" s="1416">
        <v>0</v>
      </c>
      <c r="Q187" s="1416">
        <v>0</v>
      </c>
      <c r="R187" s="1416">
        <v>0</v>
      </c>
      <c r="S187" s="1416">
        <v>0</v>
      </c>
      <c r="T187" s="1365"/>
      <c r="U187" s="1346">
        <v>1</v>
      </c>
      <c r="V187" s="1347">
        <v>1</v>
      </c>
    </row>
    <row r="188" spans="1:22" ht="18">
      <c r="B188" s="1466"/>
      <c r="C188" s="1355" t="s">
        <v>1223</v>
      </c>
      <c r="D188" s="1340" t="s">
        <v>1058</v>
      </c>
      <c r="E188" s="1340" t="s">
        <v>1020</v>
      </c>
      <c r="G188" s="1505">
        <f>'DCF - Financials'!G33/-'DCF - Financials'!G31</f>
        <v>6.6730447261420703E-2</v>
      </c>
      <c r="H188" s="1505">
        <f>'DCF - Financials'!H33/-'DCF - Financials'!H31</f>
        <v>-6.3247201138166578E-2</v>
      </c>
      <c r="I188" s="1505">
        <f>'DCF - Financials'!I33/-'DCF - Financials'!I31</f>
        <v>2.8049033613714554</v>
      </c>
      <c r="J188" s="1505">
        <f>'DCF - Financials'!J33/-'DCF - Financials'!J31</f>
        <v>-3.0762838924113533E-2</v>
      </c>
      <c r="K188" s="1505">
        <f>'DCF - Financials'!K33/-'DCF - Financials'!K31</f>
        <v>1.352319879290879</v>
      </c>
      <c r="L188" s="1416">
        <v>0.21</v>
      </c>
      <c r="M188" s="1416">
        <v>0.21</v>
      </c>
      <c r="N188" s="1416">
        <v>0.21</v>
      </c>
      <c r="O188" s="1416">
        <v>0.21</v>
      </c>
      <c r="P188" s="1416">
        <v>0.21</v>
      </c>
      <c r="Q188" s="1416">
        <v>0.21</v>
      </c>
      <c r="R188" s="1416">
        <v>0.21</v>
      </c>
      <c r="S188" s="1416">
        <v>0.21</v>
      </c>
      <c r="T188" s="1365"/>
      <c r="U188" s="1346">
        <v>1</v>
      </c>
      <c r="V188" s="1347">
        <v>1</v>
      </c>
    </row>
    <row r="189" spans="1:22" ht="18">
      <c r="B189" s="1466"/>
      <c r="C189" s="1359" t="s">
        <v>1224</v>
      </c>
      <c r="D189" s="1337" t="s">
        <v>1057</v>
      </c>
      <c r="E189" s="1337" t="s">
        <v>1027</v>
      </c>
      <c r="F189" s="1337"/>
      <c r="G189" s="1509"/>
      <c r="H189" s="1509"/>
      <c r="I189" s="1509"/>
      <c r="J189" s="1509"/>
      <c r="K189" s="1509"/>
      <c r="L189" s="1496">
        <f t="shared" ref="L189:S189" si="125">L186*L188-L187</f>
        <v>-39.998578260979578</v>
      </c>
      <c r="M189" s="1496">
        <f t="shared" si="125"/>
        <v>-56.913006823518877</v>
      </c>
      <c r="N189" s="1496">
        <f t="shared" si="125"/>
        <v>-68.202838371435988</v>
      </c>
      <c r="O189" s="1496">
        <f t="shared" si="125"/>
        <v>-68.463282371269841</v>
      </c>
      <c r="P189" s="1496">
        <f t="shared" si="125"/>
        <v>-79.936164229988108</v>
      </c>
      <c r="Q189" s="1496">
        <f t="shared" si="125"/>
        <v>-107.99915749196269</v>
      </c>
      <c r="R189" s="1496">
        <f t="shared" si="125"/>
        <v>-136.66800216142354</v>
      </c>
      <c r="S189" s="1496">
        <f t="shared" si="125"/>
        <v>-165.36232600006801</v>
      </c>
      <c r="T189" s="1365"/>
      <c r="U189" s="1346">
        <v>1</v>
      </c>
      <c r="V189" s="1347">
        <v>1</v>
      </c>
    </row>
    <row r="190" spans="1:22" ht="18">
      <c r="B190" s="1466"/>
      <c r="C190" s="1355"/>
      <c r="G190" s="1510"/>
      <c r="H190" s="1510"/>
      <c r="I190" s="1510"/>
      <c r="J190" s="1510"/>
      <c r="K190" s="1510"/>
      <c r="L190" s="1435"/>
      <c r="M190" s="1435"/>
      <c r="N190" s="1435"/>
      <c r="O190" s="1435"/>
      <c r="P190" s="1435"/>
      <c r="Q190" s="1435"/>
      <c r="R190" s="1435"/>
      <c r="S190" s="1435"/>
      <c r="T190" s="1365"/>
      <c r="U190" s="1346">
        <v>0</v>
      </c>
      <c r="V190" s="1347">
        <v>0</v>
      </c>
    </row>
    <row r="191" spans="1:22" ht="18">
      <c r="C191" s="1359" t="s">
        <v>1112</v>
      </c>
      <c r="D191" s="1337" t="s">
        <v>1058</v>
      </c>
      <c r="E191" s="1337" t="s">
        <v>1020</v>
      </c>
      <c r="F191" s="1446"/>
      <c r="G191" s="1496"/>
      <c r="H191" s="1496"/>
      <c r="I191" s="1496"/>
      <c r="J191" s="1496"/>
      <c r="K191" s="1496"/>
      <c r="L191" s="1511">
        <v>2.5000000000000001E-2</v>
      </c>
      <c r="M191" s="1511">
        <v>0.02</v>
      </c>
      <c r="N191" s="1511">
        <v>0.02</v>
      </c>
      <c r="O191" s="1511">
        <v>0.02</v>
      </c>
      <c r="P191" s="1511">
        <v>0.02</v>
      </c>
      <c r="Q191" s="1511">
        <v>0.02</v>
      </c>
      <c r="R191" s="1511">
        <v>0.02</v>
      </c>
      <c r="S191" s="1511">
        <v>0.02</v>
      </c>
      <c r="T191" s="1365"/>
      <c r="U191" s="1346">
        <v>1</v>
      </c>
      <c r="V191" s="1347">
        <v>1</v>
      </c>
    </row>
    <row r="192" spans="1:22" ht="18">
      <c r="C192" s="1355" t="s">
        <v>1113</v>
      </c>
      <c r="D192" s="1340" t="s">
        <v>1025</v>
      </c>
      <c r="E192" s="1340" t="s">
        <v>1027</v>
      </c>
      <c r="F192" s="1434"/>
      <c r="G192" s="1435"/>
      <c r="H192" s="1435"/>
      <c r="I192" s="1435"/>
      <c r="J192" s="1435"/>
      <c r="K192" s="1512">
        <v>1</v>
      </c>
      <c r="L192" s="1513">
        <f>K192*(1+L191)</f>
        <v>1.0249999999999999</v>
      </c>
      <c r="M192" s="1513">
        <f t="shared" ref="M192:S192" si="126">L192*(1+M191)</f>
        <v>1.0454999999999999</v>
      </c>
      <c r="N192" s="1513">
        <f t="shared" si="126"/>
        <v>1.0664099999999999</v>
      </c>
      <c r="O192" s="1513">
        <f t="shared" si="126"/>
        <v>1.0877381999999998</v>
      </c>
      <c r="P192" s="1513">
        <f t="shared" si="126"/>
        <v>1.1094929639999997</v>
      </c>
      <c r="Q192" s="1513">
        <f t="shared" si="126"/>
        <v>1.1316828232799998</v>
      </c>
      <c r="R192" s="1513">
        <f t="shared" si="126"/>
        <v>1.1543164797455998</v>
      </c>
      <c r="S192" s="1513">
        <f t="shared" si="126"/>
        <v>1.1774028093405118</v>
      </c>
      <c r="T192" s="1365"/>
      <c r="U192" s="1346">
        <v>1</v>
      </c>
      <c r="V192" s="1347">
        <v>1</v>
      </c>
    </row>
    <row r="193" spans="1:22" s="1457" customFormat="1" ht="18">
      <c r="B193" s="1466"/>
      <c r="C193" s="1490"/>
      <c r="D193" s="1340"/>
      <c r="E193" s="1340"/>
      <c r="F193" s="1340"/>
      <c r="G193" s="1514"/>
      <c r="H193" s="1514"/>
      <c r="I193" s="1514"/>
      <c r="J193" s="1514"/>
      <c r="K193" s="1514"/>
      <c r="L193" s="1515"/>
      <c r="M193" s="1515"/>
      <c r="N193" s="1515"/>
      <c r="O193" s="1515"/>
      <c r="P193" s="1515"/>
      <c r="Q193" s="1515"/>
      <c r="R193" s="1515"/>
      <c r="S193" s="1515"/>
      <c r="T193" s="1365"/>
      <c r="U193" s="1346">
        <v>0</v>
      </c>
      <c r="V193" s="1347">
        <v>0</v>
      </c>
    </row>
    <row r="194" spans="1:22" ht="18.600000000000001" thickBot="1">
      <c r="B194" s="1466"/>
      <c r="C194" s="1431" t="s">
        <v>1114</v>
      </c>
      <c r="D194" s="1350"/>
      <c r="E194" s="1350"/>
      <c r="F194" s="1350"/>
      <c r="G194" s="1350"/>
      <c r="H194" s="1350"/>
      <c r="I194" s="1350"/>
      <c r="J194" s="1350"/>
      <c r="K194" s="1350"/>
      <c r="L194" s="1350"/>
      <c r="M194" s="1350"/>
      <c r="N194" s="1350"/>
      <c r="O194" s="1350"/>
      <c r="P194" s="1350"/>
      <c r="Q194" s="1350"/>
      <c r="R194" s="1350"/>
      <c r="S194" s="1350"/>
      <c r="T194" s="1365"/>
      <c r="U194" s="1346">
        <v>1</v>
      </c>
      <c r="V194" s="1347">
        <v>1</v>
      </c>
    </row>
    <row r="195" spans="1:22">
      <c r="A195" s="1369"/>
      <c r="B195" s="1369"/>
      <c r="C195" s="1355" t="s">
        <v>1115</v>
      </c>
      <c r="D195" s="1340" t="s">
        <v>1057</v>
      </c>
      <c r="E195" s="1340" t="s">
        <v>1027</v>
      </c>
      <c r="G195" s="1514"/>
      <c r="H195" s="1516">
        <v>27.8</v>
      </c>
      <c r="I195" s="1516">
        <v>55.9</v>
      </c>
      <c r="J195" s="1516">
        <f>-17.1-47.1</f>
        <v>-64.2</v>
      </c>
      <c r="K195" s="1516">
        <f>-13.8-29.6</f>
        <v>-43.400000000000006</v>
      </c>
      <c r="L195" s="1517">
        <v>0</v>
      </c>
      <c r="M195" s="1517">
        <v>0</v>
      </c>
      <c r="N195" s="1517">
        <v>0</v>
      </c>
      <c r="O195" s="1517">
        <v>0</v>
      </c>
      <c r="P195" s="1517">
        <v>0</v>
      </c>
      <c r="Q195" s="1517">
        <v>0</v>
      </c>
      <c r="R195" s="1517">
        <v>0</v>
      </c>
      <c r="S195" s="1517">
        <v>0</v>
      </c>
      <c r="U195" s="1346">
        <v>1</v>
      </c>
      <c r="V195" s="1347">
        <v>1</v>
      </c>
    </row>
    <row r="196" spans="1:22">
      <c r="A196" s="1369"/>
      <c r="B196" s="1369"/>
      <c r="C196" s="1355" t="s">
        <v>932</v>
      </c>
      <c r="D196" s="1340" t="s">
        <v>1057</v>
      </c>
      <c r="E196" s="1340" t="s">
        <v>1027</v>
      </c>
      <c r="G196" s="1514"/>
      <c r="H196" s="1516">
        <v>0</v>
      </c>
      <c r="I196" s="1516">
        <v>0</v>
      </c>
      <c r="J196" s="1516">
        <v>0</v>
      </c>
      <c r="K196" s="1516">
        <v>0</v>
      </c>
      <c r="L196" s="1517">
        <f t="shared" ref="L196:S196" si="127">K196</f>
        <v>0</v>
      </c>
      <c r="M196" s="1517">
        <f t="shared" si="127"/>
        <v>0</v>
      </c>
      <c r="N196" s="1517">
        <f t="shared" si="127"/>
        <v>0</v>
      </c>
      <c r="O196" s="1517">
        <f t="shared" si="127"/>
        <v>0</v>
      </c>
      <c r="P196" s="1517">
        <f t="shared" si="127"/>
        <v>0</v>
      </c>
      <c r="Q196" s="1517">
        <f t="shared" si="127"/>
        <v>0</v>
      </c>
      <c r="R196" s="1517">
        <f t="shared" si="127"/>
        <v>0</v>
      </c>
      <c r="S196" s="1517">
        <f t="shared" si="127"/>
        <v>0</v>
      </c>
      <c r="U196" s="1346">
        <v>1</v>
      </c>
      <c r="V196" s="1347">
        <v>1</v>
      </c>
    </row>
    <row r="197" spans="1:22">
      <c r="A197" s="1369"/>
      <c r="B197" s="1369"/>
      <c r="C197" s="1454" t="s">
        <v>1116</v>
      </c>
      <c r="D197" s="1337" t="s">
        <v>1057</v>
      </c>
      <c r="E197" s="1337" t="s">
        <v>1027</v>
      </c>
      <c r="F197" s="1337"/>
      <c r="G197" s="1489"/>
      <c r="H197" s="1518">
        <f t="shared" ref="H197:S197" si="128">SUM(H195:H196)</f>
        <v>27.8</v>
      </c>
      <c r="I197" s="1518">
        <f t="shared" si="128"/>
        <v>55.9</v>
      </c>
      <c r="J197" s="1518">
        <f t="shared" si="128"/>
        <v>-64.2</v>
      </c>
      <c r="K197" s="1518">
        <f t="shared" si="128"/>
        <v>-43.400000000000006</v>
      </c>
      <c r="L197" s="1519">
        <f t="shared" si="128"/>
        <v>0</v>
      </c>
      <c r="M197" s="1519">
        <f t="shared" si="128"/>
        <v>0</v>
      </c>
      <c r="N197" s="1519">
        <f t="shared" si="128"/>
        <v>0</v>
      </c>
      <c r="O197" s="1519">
        <f t="shared" si="128"/>
        <v>0</v>
      </c>
      <c r="P197" s="1519">
        <f t="shared" si="128"/>
        <v>0</v>
      </c>
      <c r="Q197" s="1519">
        <f t="shared" si="128"/>
        <v>0</v>
      </c>
      <c r="R197" s="1519">
        <f t="shared" si="128"/>
        <v>0</v>
      </c>
      <c r="S197" s="1519">
        <f t="shared" si="128"/>
        <v>0</v>
      </c>
      <c r="U197" s="1346">
        <v>1</v>
      </c>
      <c r="V197" s="1347">
        <v>1</v>
      </c>
    </row>
    <row r="198" spans="1:22">
      <c r="A198" s="1369"/>
      <c r="B198" s="1369"/>
      <c r="C198" s="1454"/>
      <c r="D198" s="1337"/>
      <c r="E198" s="1337"/>
      <c r="F198" s="1337"/>
      <c r="G198" s="1489"/>
      <c r="H198" s="1518"/>
      <c r="I198" s="1518"/>
      <c r="J198" s="1518"/>
      <c r="K198" s="1518"/>
      <c r="L198" s="1518"/>
      <c r="M198" s="1518"/>
      <c r="N198" s="1518"/>
      <c r="O198" s="1518"/>
      <c r="P198" s="1518"/>
      <c r="Q198" s="1518"/>
      <c r="R198" s="1518"/>
      <c r="S198" s="1518"/>
      <c r="U198" s="1346">
        <v>0</v>
      </c>
      <c r="V198" s="1347">
        <v>0</v>
      </c>
    </row>
    <row r="199" spans="1:22" ht="18.600000000000001" thickBot="1">
      <c r="B199" s="1466"/>
      <c r="C199" s="1431" t="s">
        <v>1117</v>
      </c>
      <c r="D199" s="1520"/>
      <c r="E199" s="1350"/>
      <c r="F199" s="1350"/>
      <c r="G199" s="1350"/>
      <c r="H199" s="1350"/>
      <c r="I199" s="1350"/>
      <c r="J199" s="1350"/>
      <c r="K199" s="1350"/>
      <c r="L199" s="1350"/>
      <c r="M199" s="1350"/>
      <c r="N199" s="1350"/>
      <c r="O199" s="1350"/>
      <c r="P199" s="1350"/>
      <c r="Q199" s="1350"/>
      <c r="R199" s="1350"/>
      <c r="S199" s="1350"/>
      <c r="T199" s="1365"/>
      <c r="U199" s="1346">
        <v>1</v>
      </c>
      <c r="V199" s="1347">
        <v>1</v>
      </c>
    </row>
    <row r="200" spans="1:22" ht="18">
      <c r="B200" s="1507"/>
      <c r="C200" s="1355" t="s">
        <v>1123</v>
      </c>
      <c r="D200" s="1340" t="s">
        <v>1057</v>
      </c>
      <c r="E200" s="1340" t="s">
        <v>1027</v>
      </c>
      <c r="G200" s="1489"/>
      <c r="H200" s="1489"/>
      <c r="I200" s="1546"/>
      <c r="J200" s="1489"/>
      <c r="K200" s="1489"/>
      <c r="L200" s="1522">
        <v>0</v>
      </c>
      <c r="M200" s="1522">
        <v>0</v>
      </c>
      <c r="N200" s="1522">
        <v>0</v>
      </c>
      <c r="O200" s="1522">
        <v>0</v>
      </c>
      <c r="P200" s="1522">
        <v>0</v>
      </c>
      <c r="Q200" s="1522">
        <v>0</v>
      </c>
      <c r="R200" s="1522">
        <v>0</v>
      </c>
      <c r="S200" s="1522">
        <v>0</v>
      </c>
      <c r="T200" s="1365"/>
      <c r="U200" s="1346">
        <v>1</v>
      </c>
      <c r="V200" s="1347">
        <v>1</v>
      </c>
    </row>
    <row r="201" spans="1:22" ht="18">
      <c r="B201" s="1507"/>
      <c r="C201" s="1355" t="s">
        <v>1225</v>
      </c>
      <c r="D201" s="1340" t="s">
        <v>1057</v>
      </c>
      <c r="E201" s="1340" t="s">
        <v>1027</v>
      </c>
      <c r="G201" s="1521"/>
      <c r="H201" s="1521"/>
      <c r="I201" s="1521"/>
      <c r="J201" s="1521"/>
      <c r="K201" s="1521"/>
      <c r="L201" s="1522">
        <v>0</v>
      </c>
      <c r="M201" s="1522">
        <v>0</v>
      </c>
      <c r="N201" s="1522">
        <v>0</v>
      </c>
      <c r="O201" s="1522">
        <v>0</v>
      </c>
      <c r="P201" s="1522">
        <v>0</v>
      </c>
      <c r="Q201" s="1522">
        <v>0</v>
      </c>
      <c r="R201" s="1522">
        <v>0</v>
      </c>
      <c r="S201" s="1522">
        <v>0</v>
      </c>
      <c r="T201" s="1365"/>
      <c r="U201" s="1346">
        <v>1</v>
      </c>
      <c r="V201" s="1347">
        <v>1</v>
      </c>
    </row>
    <row r="202" spans="1:22" ht="18">
      <c r="B202" s="1507"/>
      <c r="C202" s="1359" t="s">
        <v>1122</v>
      </c>
      <c r="D202" s="1337" t="s">
        <v>1057</v>
      </c>
      <c r="E202" s="1337" t="s">
        <v>1027</v>
      </c>
      <c r="F202" s="1337"/>
      <c r="G202" s="1489"/>
      <c r="H202" s="1489"/>
      <c r="I202" s="1489"/>
      <c r="J202" s="1489"/>
      <c r="K202" s="1489"/>
      <c r="L202" s="1489">
        <f t="shared" ref="L202:S202" si="129">L200*L201</f>
        <v>0</v>
      </c>
      <c r="M202" s="1489">
        <f t="shared" si="129"/>
        <v>0</v>
      </c>
      <c r="N202" s="1489">
        <f t="shared" si="129"/>
        <v>0</v>
      </c>
      <c r="O202" s="1489">
        <f t="shared" si="129"/>
        <v>0</v>
      </c>
      <c r="P202" s="1489">
        <f t="shared" si="129"/>
        <v>0</v>
      </c>
      <c r="Q202" s="1489">
        <f t="shared" si="129"/>
        <v>0</v>
      </c>
      <c r="R202" s="1489">
        <f t="shared" si="129"/>
        <v>0</v>
      </c>
      <c r="S202" s="1489">
        <f t="shared" si="129"/>
        <v>0</v>
      </c>
      <c r="T202" s="1365"/>
      <c r="U202" s="1346">
        <v>1</v>
      </c>
      <c r="V202" s="1347">
        <v>1</v>
      </c>
    </row>
    <row r="203" spans="1:22" ht="18">
      <c r="B203" s="1507"/>
      <c r="C203" s="1355"/>
      <c r="G203" s="1514"/>
      <c r="H203" s="1514"/>
      <c r="I203" s="1514"/>
      <c r="J203" s="1514"/>
      <c r="K203" s="1514"/>
      <c r="L203" s="1514"/>
      <c r="M203" s="1514"/>
      <c r="N203" s="1514"/>
      <c r="O203" s="1514"/>
      <c r="P203" s="1514"/>
      <c r="Q203" s="1514"/>
      <c r="R203" s="1514"/>
      <c r="S203" s="1514"/>
      <c r="T203" s="1365"/>
      <c r="U203" s="1346">
        <v>0</v>
      </c>
      <c r="V203" s="1347">
        <v>0</v>
      </c>
    </row>
    <row r="204" spans="1:22" ht="18">
      <c r="B204" s="1507"/>
      <c r="C204" s="1359" t="s">
        <v>1226</v>
      </c>
      <c r="D204" s="1337" t="s">
        <v>1057</v>
      </c>
      <c r="E204" s="1337" t="s">
        <v>1027</v>
      </c>
      <c r="F204" s="1337"/>
      <c r="G204" s="1547"/>
      <c r="H204" s="1548"/>
      <c r="I204" s="1548"/>
      <c r="J204" s="1548"/>
      <c r="K204" s="1547"/>
      <c r="L204" s="1489">
        <f t="shared" ref="L204:S204" si="130">IFERROR(L206/L205,0)</f>
        <v>0</v>
      </c>
      <c r="M204" s="1489">
        <f t="shared" si="130"/>
        <v>0</v>
      </c>
      <c r="N204" s="1489">
        <f t="shared" si="130"/>
        <v>0</v>
      </c>
      <c r="O204" s="1489">
        <f t="shared" si="130"/>
        <v>0</v>
      </c>
      <c r="P204" s="1489">
        <f t="shared" si="130"/>
        <v>0</v>
      </c>
      <c r="Q204" s="1489">
        <f t="shared" si="130"/>
        <v>0</v>
      </c>
      <c r="R204" s="1489">
        <f t="shared" si="130"/>
        <v>0</v>
      </c>
      <c r="S204" s="1489">
        <f t="shared" si="130"/>
        <v>0</v>
      </c>
      <c r="T204" s="1365"/>
      <c r="U204" s="1346">
        <v>1</v>
      </c>
      <c r="V204" s="1347">
        <v>1</v>
      </c>
    </row>
    <row r="205" spans="1:22" ht="18">
      <c r="B205" s="1507"/>
      <c r="C205" s="1355" t="s">
        <v>1227</v>
      </c>
      <c r="D205" s="1340" t="s">
        <v>1057</v>
      </c>
      <c r="E205" s="1340" t="s">
        <v>1027</v>
      </c>
      <c r="G205" s="1514"/>
      <c r="H205" s="1514"/>
      <c r="I205" s="1514"/>
      <c r="J205" s="1514"/>
      <c r="K205" s="1514"/>
      <c r="L205" s="1523">
        <v>0</v>
      </c>
      <c r="M205" s="1523">
        <v>0</v>
      </c>
      <c r="N205" s="1523">
        <v>0</v>
      </c>
      <c r="O205" s="1523">
        <v>0</v>
      </c>
      <c r="P205" s="1523">
        <v>0</v>
      </c>
      <c r="Q205" s="1523">
        <v>0</v>
      </c>
      <c r="R205" s="1523">
        <v>0</v>
      </c>
      <c r="S205" s="1523">
        <v>0</v>
      </c>
      <c r="T205" s="1365"/>
      <c r="U205" s="1346">
        <v>1</v>
      </c>
      <c r="V205" s="1347">
        <v>1</v>
      </c>
    </row>
    <row r="206" spans="1:22" ht="18">
      <c r="B206" s="1507"/>
      <c r="C206" s="1359" t="s">
        <v>1228</v>
      </c>
      <c r="D206" s="1337" t="s">
        <v>1057</v>
      </c>
      <c r="E206" s="1337" t="s">
        <v>1027</v>
      </c>
      <c r="F206" s="1337"/>
      <c r="G206" s="1489">
        <f>'DCF - Financials'!G65</f>
        <v>2.16</v>
      </c>
      <c r="H206" s="1489">
        <f>'DCF - Financials'!H65</f>
        <v>31.623999999999999</v>
      </c>
      <c r="I206" s="1489">
        <f>'DCF - Financials'!I65</f>
        <v>123.91</v>
      </c>
      <c r="J206" s="1489">
        <f>'DCF - Financials'!J65</f>
        <v>111.008</v>
      </c>
      <c r="K206" s="1489">
        <f>'DCF - Financials'!K65</f>
        <v>104.33799999999999</v>
      </c>
      <c r="L206" s="1489">
        <f t="shared" ref="L206:S206" si="131">L207*L92</f>
        <v>75.068374701274792</v>
      </c>
      <c r="M206" s="1489">
        <f t="shared" si="131"/>
        <v>91.740934509589522</v>
      </c>
      <c r="N206" s="1489">
        <f t="shared" si="131"/>
        <v>112.62603624247861</v>
      </c>
      <c r="O206" s="1489">
        <f t="shared" si="131"/>
        <v>140.00510648540612</v>
      </c>
      <c r="P206" s="1489">
        <f t="shared" si="131"/>
        <v>175.04305667274855</v>
      </c>
      <c r="Q206" s="1489">
        <f t="shared" si="131"/>
        <v>220.27285220423101</v>
      </c>
      <c r="R206" s="1489">
        <f t="shared" si="131"/>
        <v>280.49251528609983</v>
      </c>
      <c r="S206" s="1489">
        <f t="shared" si="131"/>
        <v>356.24506441529678</v>
      </c>
      <c r="T206" s="1365"/>
      <c r="U206" s="1346">
        <v>1</v>
      </c>
      <c r="V206" s="1347">
        <v>1</v>
      </c>
    </row>
    <row r="207" spans="1:22" ht="18">
      <c r="B207" s="1507"/>
      <c r="C207" s="1355" t="s">
        <v>1229</v>
      </c>
      <c r="D207" s="1340" t="s">
        <v>1057</v>
      </c>
      <c r="E207" s="1340" t="s">
        <v>1027</v>
      </c>
      <c r="G207" s="1524">
        <f>G206/'DCF - Financials'!G9</f>
        <v>4.4177199656399565E-3</v>
      </c>
      <c r="H207" s="1524">
        <f>H206/'DCF - Financials'!H9</f>
        <v>5.431978316059239E-2</v>
      </c>
      <c r="I207" s="1524">
        <f>I206/'DCF - Financials'!I9</f>
        <v>0.16284448883573616</v>
      </c>
      <c r="J207" s="1524">
        <f>J206/'DCF - Financials'!J9</f>
        <v>0.122864008199198</v>
      </c>
      <c r="K207" s="1524">
        <f>K206/'DCF - Financials'!K9</f>
        <v>9.9196638240019772E-2</v>
      </c>
      <c r="L207" s="1525">
        <f>AVERAGE(G207:K207)-3%</f>
        <v>5.8728527680237258E-2</v>
      </c>
      <c r="M207" s="1525">
        <f>L207</f>
        <v>5.8728527680237258E-2</v>
      </c>
      <c r="N207" s="1525">
        <f t="shared" ref="N207:S207" si="132">M207</f>
        <v>5.8728527680237258E-2</v>
      </c>
      <c r="O207" s="1525">
        <f t="shared" si="132"/>
        <v>5.8728527680237258E-2</v>
      </c>
      <c r="P207" s="1525">
        <f t="shared" si="132"/>
        <v>5.8728527680237258E-2</v>
      </c>
      <c r="Q207" s="1525">
        <f t="shared" si="132"/>
        <v>5.8728527680237258E-2</v>
      </c>
      <c r="R207" s="1525">
        <f t="shared" si="132"/>
        <v>5.8728527680237258E-2</v>
      </c>
      <c r="S207" s="1525">
        <f t="shared" si="132"/>
        <v>5.8728527680237258E-2</v>
      </c>
      <c r="T207" s="1365"/>
      <c r="U207" s="1346">
        <v>1</v>
      </c>
      <c r="V207" s="1347">
        <v>1</v>
      </c>
    </row>
    <row r="208" spans="1:22" ht="18">
      <c r="B208" s="1507"/>
      <c r="C208" s="1355"/>
      <c r="G208" s="1514"/>
      <c r="H208" s="1514"/>
      <c r="I208" s="1544"/>
      <c r="J208" s="1514"/>
      <c r="K208" s="1514"/>
      <c r="L208" s="1514"/>
      <c r="M208" s="1514"/>
      <c r="N208" s="1514"/>
      <c r="O208" s="1514"/>
      <c r="P208" s="1514"/>
      <c r="Q208" s="1514"/>
      <c r="R208" s="1514"/>
      <c r="S208" s="1514"/>
      <c r="T208" s="1365"/>
      <c r="U208" s="1346">
        <v>0</v>
      </c>
      <c r="V208" s="1347">
        <v>0</v>
      </c>
    </row>
    <row r="209" spans="2:22" ht="18">
      <c r="B209" s="1507"/>
      <c r="C209" s="1355" t="s">
        <v>1230</v>
      </c>
      <c r="D209" s="1340" t="s">
        <v>1057</v>
      </c>
      <c r="E209" s="1340" t="s">
        <v>1027</v>
      </c>
      <c r="G209" s="1521"/>
      <c r="H209" s="1521"/>
      <c r="I209" s="1521"/>
      <c r="J209" s="1521"/>
      <c r="K209" s="1521"/>
      <c r="L209" s="1514">
        <f t="shared" ref="L209:S209" si="133">IFERROR(L211/L210,0)</f>
        <v>0</v>
      </c>
      <c r="M209" s="1514">
        <f t="shared" si="133"/>
        <v>0</v>
      </c>
      <c r="N209" s="1514">
        <f t="shared" si="133"/>
        <v>0</v>
      </c>
      <c r="O209" s="1514">
        <f t="shared" si="133"/>
        <v>0</v>
      </c>
      <c r="P209" s="1514">
        <f t="shared" si="133"/>
        <v>0</v>
      </c>
      <c r="Q209" s="1514">
        <f t="shared" si="133"/>
        <v>0</v>
      </c>
      <c r="R209" s="1514">
        <f t="shared" si="133"/>
        <v>0</v>
      </c>
      <c r="S209" s="1514">
        <f t="shared" si="133"/>
        <v>0</v>
      </c>
      <c r="T209" s="1365"/>
      <c r="U209" s="1346">
        <v>1</v>
      </c>
      <c r="V209" s="1347">
        <v>1</v>
      </c>
    </row>
    <row r="210" spans="2:22" ht="18">
      <c r="B210" s="1507"/>
      <c r="C210" s="1355" t="s">
        <v>1231</v>
      </c>
      <c r="D210" s="1340" t="s">
        <v>1057</v>
      </c>
      <c r="E210" s="1340" t="s">
        <v>1027</v>
      </c>
      <c r="G210" s="1521"/>
      <c r="H210" s="1521"/>
      <c r="I210" s="1521"/>
      <c r="J210" s="1521"/>
      <c r="K210" s="1521"/>
      <c r="L210" s="1526">
        <v>0</v>
      </c>
      <c r="M210" s="1526">
        <v>0</v>
      </c>
      <c r="N210" s="1526">
        <v>0</v>
      </c>
      <c r="O210" s="1526">
        <v>0</v>
      </c>
      <c r="P210" s="1526">
        <v>0</v>
      </c>
      <c r="Q210" s="1526">
        <v>0</v>
      </c>
      <c r="R210" s="1526">
        <v>0</v>
      </c>
      <c r="S210" s="1526">
        <v>0</v>
      </c>
      <c r="T210" s="1365"/>
      <c r="U210" s="1346">
        <v>1</v>
      </c>
      <c r="V210" s="1347">
        <v>1</v>
      </c>
    </row>
    <row r="211" spans="2:22" ht="18">
      <c r="B211" s="1507"/>
      <c r="C211" s="1359" t="s">
        <v>1232</v>
      </c>
      <c r="D211" s="1337" t="s">
        <v>1057</v>
      </c>
      <c r="E211" s="1337" t="s">
        <v>1027</v>
      </c>
      <c r="F211" s="1337"/>
      <c r="G211" s="1489"/>
      <c r="H211" s="1489"/>
      <c r="I211" s="1489"/>
      <c r="J211" s="1489"/>
      <c r="K211" s="1489"/>
      <c r="L211" s="1489">
        <f>'DCF - Capital Structure'!L134</f>
        <v>0</v>
      </c>
      <c r="M211" s="1489">
        <f>'DCF - Capital Structure'!M134</f>
        <v>0</v>
      </c>
      <c r="N211" s="1489">
        <f>'DCF - Capital Structure'!N134</f>
        <v>0</v>
      </c>
      <c r="O211" s="1489">
        <f>'DCF - Capital Structure'!O134</f>
        <v>0</v>
      </c>
      <c r="P211" s="1489">
        <f>'DCF - Capital Structure'!P134</f>
        <v>0</v>
      </c>
      <c r="Q211" s="1489">
        <f>'DCF - Capital Structure'!Q134</f>
        <v>0</v>
      </c>
      <c r="R211" s="1489">
        <f>'DCF - Capital Structure'!R134</f>
        <v>0</v>
      </c>
      <c r="S211" s="1489">
        <f>'DCF - Capital Structure'!S134</f>
        <v>0</v>
      </c>
      <c r="T211" s="1365"/>
      <c r="U211" s="1346">
        <v>1</v>
      </c>
      <c r="V211" s="1347">
        <v>1</v>
      </c>
    </row>
    <row r="212" spans="2:22" ht="18">
      <c r="B212" s="1507"/>
      <c r="C212" s="1355"/>
      <c r="G212" s="1521"/>
      <c r="H212" s="1521"/>
      <c r="I212" s="1521"/>
      <c r="J212" s="1521"/>
      <c r="K212" s="1521"/>
      <c r="L212" s="1527"/>
      <c r="M212" s="1527"/>
      <c r="N212" s="1527"/>
      <c r="O212" s="1527"/>
      <c r="P212" s="1527"/>
      <c r="Q212" s="1527"/>
      <c r="R212" s="1527"/>
      <c r="S212" s="1527"/>
      <c r="T212" s="1365"/>
      <c r="U212" s="1346">
        <v>0</v>
      </c>
      <c r="V212" s="1347">
        <v>0</v>
      </c>
    </row>
    <row r="213" spans="2:22" ht="18">
      <c r="B213" s="1507"/>
      <c r="C213" s="1355" t="s">
        <v>1233</v>
      </c>
      <c r="G213" s="1514"/>
      <c r="H213" s="1514"/>
      <c r="I213" s="1514"/>
      <c r="J213" s="1514"/>
      <c r="K213" s="1514"/>
      <c r="L213" s="1528">
        <f t="shared" ref="L213:S213" si="134">K217</f>
        <v>134.9</v>
      </c>
      <c r="M213" s="1528">
        <f t="shared" si="134"/>
        <v>134.9</v>
      </c>
      <c r="N213" s="1528">
        <f t="shared" si="134"/>
        <v>134.9</v>
      </c>
      <c r="O213" s="1528">
        <f t="shared" si="134"/>
        <v>134.9</v>
      </c>
      <c r="P213" s="1528">
        <f t="shared" si="134"/>
        <v>134.9</v>
      </c>
      <c r="Q213" s="1528">
        <f t="shared" si="134"/>
        <v>134.9</v>
      </c>
      <c r="R213" s="1528">
        <f t="shared" si="134"/>
        <v>134.9</v>
      </c>
      <c r="S213" s="1528">
        <f t="shared" si="134"/>
        <v>134.9</v>
      </c>
      <c r="T213" s="1365"/>
      <c r="U213" s="1346">
        <v>1</v>
      </c>
      <c r="V213" s="1347">
        <v>1</v>
      </c>
    </row>
    <row r="214" spans="2:22" ht="18">
      <c r="B214" s="1507"/>
      <c r="C214" s="1359" t="s">
        <v>1123</v>
      </c>
      <c r="D214" s="1337" t="s">
        <v>1057</v>
      </c>
      <c r="E214" s="1337" t="s">
        <v>1027</v>
      </c>
      <c r="F214" s="1337"/>
      <c r="G214" s="1529"/>
      <c r="H214" s="1529"/>
      <c r="I214" s="1529"/>
      <c r="J214" s="1529"/>
      <c r="K214" s="1529"/>
      <c r="L214" s="1530">
        <f t="shared" ref="L214:S214" si="135">L200</f>
        <v>0</v>
      </c>
      <c r="M214" s="1530">
        <f t="shared" si="135"/>
        <v>0</v>
      </c>
      <c r="N214" s="1530">
        <f t="shared" si="135"/>
        <v>0</v>
      </c>
      <c r="O214" s="1530">
        <f t="shared" si="135"/>
        <v>0</v>
      </c>
      <c r="P214" s="1530">
        <f t="shared" si="135"/>
        <v>0</v>
      </c>
      <c r="Q214" s="1530">
        <f t="shared" si="135"/>
        <v>0</v>
      </c>
      <c r="R214" s="1530">
        <f t="shared" si="135"/>
        <v>0</v>
      </c>
      <c r="S214" s="1530">
        <f t="shared" si="135"/>
        <v>0</v>
      </c>
      <c r="T214" s="1365"/>
      <c r="U214" s="1346">
        <v>1</v>
      </c>
      <c r="V214" s="1347">
        <v>1</v>
      </c>
    </row>
    <row r="215" spans="2:22" ht="18">
      <c r="B215" s="1507"/>
      <c r="C215" s="1355" t="s">
        <v>1234</v>
      </c>
      <c r="D215" s="1340" t="s">
        <v>1057</v>
      </c>
      <c r="E215" s="1340" t="s">
        <v>1027</v>
      </c>
      <c r="G215" s="1516"/>
      <c r="H215" s="1514"/>
      <c r="I215" s="1514"/>
      <c r="J215" s="1514"/>
      <c r="K215" s="1514"/>
      <c r="L215" s="1528">
        <f t="shared" ref="L215:S215" si="136">L204</f>
        <v>0</v>
      </c>
      <c r="M215" s="1528">
        <f t="shared" si="136"/>
        <v>0</v>
      </c>
      <c r="N215" s="1528">
        <f t="shared" si="136"/>
        <v>0</v>
      </c>
      <c r="O215" s="1528">
        <f t="shared" si="136"/>
        <v>0</v>
      </c>
      <c r="P215" s="1528">
        <f t="shared" si="136"/>
        <v>0</v>
      </c>
      <c r="Q215" s="1528">
        <f t="shared" si="136"/>
        <v>0</v>
      </c>
      <c r="R215" s="1528">
        <f t="shared" si="136"/>
        <v>0</v>
      </c>
      <c r="S215" s="1528">
        <f t="shared" si="136"/>
        <v>0</v>
      </c>
      <c r="T215" s="1365"/>
      <c r="U215" s="1346">
        <v>1</v>
      </c>
      <c r="V215" s="1347">
        <v>1</v>
      </c>
    </row>
    <row r="216" spans="2:22" ht="18">
      <c r="B216" s="1507"/>
      <c r="C216" s="1355" t="s">
        <v>1235</v>
      </c>
      <c r="D216" s="1340" t="s">
        <v>1057</v>
      </c>
      <c r="E216" s="1340" t="s">
        <v>1027</v>
      </c>
      <c r="G216" s="1531"/>
      <c r="H216" s="1531"/>
      <c r="I216" s="1531"/>
      <c r="J216" s="1531"/>
      <c r="K216" s="1531"/>
      <c r="L216" s="1532">
        <f t="shared" ref="L216:S216" si="137">-L209</f>
        <v>0</v>
      </c>
      <c r="M216" s="1532">
        <f t="shared" si="137"/>
        <v>0</v>
      </c>
      <c r="N216" s="1532">
        <f t="shared" si="137"/>
        <v>0</v>
      </c>
      <c r="O216" s="1532">
        <f t="shared" si="137"/>
        <v>0</v>
      </c>
      <c r="P216" s="1532">
        <f t="shared" si="137"/>
        <v>0</v>
      </c>
      <c r="Q216" s="1532">
        <f t="shared" si="137"/>
        <v>0</v>
      </c>
      <c r="R216" s="1532">
        <f t="shared" si="137"/>
        <v>0</v>
      </c>
      <c r="S216" s="1532">
        <f t="shared" si="137"/>
        <v>0</v>
      </c>
      <c r="T216" s="1365"/>
      <c r="U216" s="1346">
        <v>1</v>
      </c>
      <c r="V216" s="1347">
        <v>1</v>
      </c>
    </row>
    <row r="217" spans="2:22" ht="18">
      <c r="B217" s="1466"/>
      <c r="C217" s="1533" t="s">
        <v>1236</v>
      </c>
      <c r="D217" s="1421" t="s">
        <v>1057</v>
      </c>
      <c r="E217" s="1421" t="s">
        <v>1027</v>
      </c>
      <c r="F217" s="1421"/>
      <c r="G217" s="1534"/>
      <c r="H217" s="1534"/>
      <c r="I217" s="1534"/>
      <c r="J217" s="1534"/>
      <c r="K217" s="1534">
        <f>'DCF - Financials'!K39</f>
        <v>134.9</v>
      </c>
      <c r="L217" s="1535">
        <f t="shared" ref="L217:S217" si="138">SUM(L213:L216)</f>
        <v>134.9</v>
      </c>
      <c r="M217" s="1535">
        <f t="shared" si="138"/>
        <v>134.9</v>
      </c>
      <c r="N217" s="1535">
        <f t="shared" si="138"/>
        <v>134.9</v>
      </c>
      <c r="O217" s="1535">
        <f t="shared" si="138"/>
        <v>134.9</v>
      </c>
      <c r="P217" s="1535">
        <f t="shared" si="138"/>
        <v>134.9</v>
      </c>
      <c r="Q217" s="1535">
        <f t="shared" si="138"/>
        <v>134.9</v>
      </c>
      <c r="R217" s="1535">
        <f t="shared" si="138"/>
        <v>134.9</v>
      </c>
      <c r="S217" s="1535">
        <f t="shared" si="138"/>
        <v>134.9</v>
      </c>
      <c r="T217" s="1365"/>
      <c r="U217" s="1346">
        <v>1</v>
      </c>
      <c r="V217" s="1347">
        <v>1</v>
      </c>
    </row>
    <row r="218" spans="2:22" ht="18">
      <c r="B218" s="1369"/>
      <c r="C218" s="1490"/>
      <c r="G218" s="1536"/>
      <c r="H218" s="1537"/>
      <c r="I218" s="1537"/>
      <c r="J218" s="1537"/>
      <c r="K218" s="1536"/>
      <c r="L218" s="1538"/>
      <c r="M218" s="1538"/>
      <c r="N218" s="1538"/>
      <c r="O218" s="1538"/>
      <c r="P218" s="1538"/>
      <c r="Q218" s="1538"/>
      <c r="R218" s="1538"/>
      <c r="S218" s="1538"/>
      <c r="T218" s="1365"/>
      <c r="U218" s="1346">
        <v>0</v>
      </c>
      <c r="V218" s="1347">
        <v>0</v>
      </c>
    </row>
    <row r="219" spans="2:22" s="1457" customFormat="1" ht="18">
      <c r="B219" s="1539"/>
      <c r="C219" s="1490"/>
      <c r="D219" s="1340"/>
      <c r="E219" s="1340"/>
      <c r="F219" s="1340"/>
      <c r="G219" s="1340"/>
      <c r="H219" s="1340"/>
      <c r="I219" s="1340"/>
      <c r="J219" s="1340"/>
      <c r="K219" s="1340"/>
      <c r="L219" s="1340"/>
      <c r="M219" s="1340"/>
      <c r="N219" s="1340"/>
      <c r="O219" s="1340"/>
      <c r="P219" s="1340"/>
      <c r="Q219" s="1340"/>
      <c r="R219" s="1340"/>
      <c r="S219" s="1340"/>
      <c r="T219" s="1365"/>
      <c r="U219" s="1346">
        <f t="shared" ref="U219:U268" si="139">IF(NOT(ISBLANK(C219)), 1, 0)</f>
        <v>0</v>
      </c>
      <c r="V219" s="1365">
        <v>0</v>
      </c>
    </row>
    <row r="220" spans="2:22" ht="18">
      <c r="C220" s="1490"/>
      <c r="T220" s="1365"/>
      <c r="U220" s="1346">
        <f t="shared" si="139"/>
        <v>0</v>
      </c>
      <c r="V220" s="1365">
        <v>0</v>
      </c>
    </row>
    <row r="221" spans="2:22" ht="18">
      <c r="C221" s="1490"/>
      <c r="T221" s="1365"/>
      <c r="U221" s="1346">
        <f t="shared" si="139"/>
        <v>0</v>
      </c>
      <c r="V221" s="1365">
        <v>0</v>
      </c>
    </row>
    <row r="222" spans="2:22" ht="18">
      <c r="C222" s="1490"/>
      <c r="T222" s="1365"/>
      <c r="U222" s="1346">
        <f t="shared" si="139"/>
        <v>0</v>
      </c>
      <c r="V222" s="1340">
        <v>0</v>
      </c>
    </row>
    <row r="223" spans="2:22" ht="18">
      <c r="C223" s="1490"/>
      <c r="T223" s="1365"/>
      <c r="U223" s="1346">
        <f t="shared" si="139"/>
        <v>0</v>
      </c>
      <c r="V223" s="1340">
        <v>0</v>
      </c>
    </row>
    <row r="224" spans="2:22" ht="18">
      <c r="C224" s="1490"/>
      <c r="T224" s="1365"/>
      <c r="U224" s="1346">
        <f t="shared" si="139"/>
        <v>0</v>
      </c>
      <c r="V224" s="1340">
        <v>0</v>
      </c>
    </row>
    <row r="225" spans="3:22" ht="18">
      <c r="C225" s="1490"/>
      <c r="T225" s="1365"/>
      <c r="U225" s="1346">
        <f t="shared" si="139"/>
        <v>0</v>
      </c>
      <c r="V225" s="1340">
        <v>0</v>
      </c>
    </row>
    <row r="226" spans="3:22" ht="18">
      <c r="C226" s="1490"/>
      <c r="T226" s="1365"/>
      <c r="U226" s="1346">
        <f t="shared" si="139"/>
        <v>0</v>
      </c>
      <c r="V226" s="1340">
        <v>0</v>
      </c>
    </row>
    <row r="227" spans="3:22" ht="18">
      <c r="C227" s="1490"/>
      <c r="T227" s="1365"/>
      <c r="U227" s="1346">
        <f t="shared" si="139"/>
        <v>0</v>
      </c>
      <c r="V227" s="1340">
        <v>0</v>
      </c>
    </row>
    <row r="228" spans="3:22" ht="18">
      <c r="C228" s="1490"/>
      <c r="T228" s="1365"/>
      <c r="U228" s="1346">
        <f t="shared" si="139"/>
        <v>0</v>
      </c>
      <c r="V228" s="1340">
        <v>0</v>
      </c>
    </row>
    <row r="229" spans="3:22" ht="18">
      <c r="T229" s="1365"/>
      <c r="U229" s="1346">
        <f t="shared" si="139"/>
        <v>0</v>
      </c>
      <c r="V229" s="1340">
        <v>0</v>
      </c>
    </row>
    <row r="230" spans="3:22" ht="18">
      <c r="T230" s="1365"/>
      <c r="U230" s="1346">
        <f t="shared" si="139"/>
        <v>0</v>
      </c>
      <c r="V230" s="1340">
        <v>0</v>
      </c>
    </row>
    <row r="231" spans="3:22" ht="18">
      <c r="T231" s="1365"/>
      <c r="U231" s="1346">
        <f t="shared" si="139"/>
        <v>0</v>
      </c>
      <c r="V231" s="1340">
        <v>0</v>
      </c>
    </row>
    <row r="232" spans="3:22" ht="18">
      <c r="T232" s="1365"/>
      <c r="U232" s="1346">
        <f t="shared" si="139"/>
        <v>0</v>
      </c>
      <c r="V232" s="1340">
        <v>0</v>
      </c>
    </row>
    <row r="233" spans="3:22" ht="18">
      <c r="T233" s="1365"/>
      <c r="U233" s="1346">
        <f t="shared" si="139"/>
        <v>0</v>
      </c>
      <c r="V233" s="1340">
        <v>0</v>
      </c>
    </row>
    <row r="234" spans="3:22" ht="18">
      <c r="T234" s="1365"/>
      <c r="U234" s="1346">
        <f t="shared" si="139"/>
        <v>0</v>
      </c>
      <c r="V234" s="1340">
        <v>0</v>
      </c>
    </row>
    <row r="235" spans="3:22" ht="18">
      <c r="T235" s="1365"/>
      <c r="U235" s="1346">
        <f t="shared" si="139"/>
        <v>0</v>
      </c>
      <c r="V235" s="1340">
        <v>0</v>
      </c>
    </row>
    <row r="236" spans="3:22" ht="18">
      <c r="T236" s="1365"/>
      <c r="U236" s="1346">
        <f t="shared" si="139"/>
        <v>0</v>
      </c>
      <c r="V236" s="1340">
        <v>0</v>
      </c>
    </row>
    <row r="237" spans="3:22" ht="18">
      <c r="T237" s="1365"/>
      <c r="U237" s="1346">
        <f t="shared" si="139"/>
        <v>0</v>
      </c>
      <c r="V237" s="1340">
        <v>0</v>
      </c>
    </row>
    <row r="238" spans="3:22" ht="18">
      <c r="T238" s="1365"/>
      <c r="U238" s="1346">
        <f t="shared" si="139"/>
        <v>0</v>
      </c>
      <c r="V238" s="1340">
        <v>0</v>
      </c>
    </row>
    <row r="239" spans="3:22" ht="18">
      <c r="T239" s="1365"/>
      <c r="U239" s="1346">
        <f t="shared" si="139"/>
        <v>0</v>
      </c>
      <c r="V239" s="1340">
        <v>0</v>
      </c>
    </row>
    <row r="240" spans="3:22" ht="18">
      <c r="T240" s="1365"/>
      <c r="U240" s="1346">
        <f t="shared" si="139"/>
        <v>0</v>
      </c>
      <c r="V240" s="1340">
        <v>0</v>
      </c>
    </row>
    <row r="241" spans="12:22" ht="18">
      <c r="T241" s="1365"/>
      <c r="U241" s="1346">
        <f t="shared" si="139"/>
        <v>0</v>
      </c>
      <c r="V241" s="1340">
        <v>0</v>
      </c>
    </row>
    <row r="242" spans="12:22" ht="18">
      <c r="T242" s="1365"/>
      <c r="U242" s="1346">
        <f t="shared" si="139"/>
        <v>0</v>
      </c>
      <c r="V242" s="1340">
        <v>0</v>
      </c>
    </row>
    <row r="243" spans="12:22" ht="18">
      <c r="T243" s="1365"/>
      <c r="U243" s="1346">
        <f t="shared" si="139"/>
        <v>0</v>
      </c>
      <c r="V243" s="1340">
        <v>0</v>
      </c>
    </row>
    <row r="244" spans="12:22" ht="18">
      <c r="T244" s="1365"/>
      <c r="U244" s="1346">
        <f t="shared" si="139"/>
        <v>0</v>
      </c>
      <c r="V244" s="1340">
        <v>0</v>
      </c>
    </row>
    <row r="245" spans="12:22" ht="18">
      <c r="T245" s="1365"/>
      <c r="U245" s="1346">
        <f t="shared" si="139"/>
        <v>0</v>
      </c>
      <c r="V245" s="1340">
        <v>0</v>
      </c>
    </row>
    <row r="246" spans="12:22" ht="18">
      <c r="T246" s="1365"/>
      <c r="U246" s="1346">
        <f t="shared" si="139"/>
        <v>0</v>
      </c>
      <c r="V246" s="1340">
        <v>0</v>
      </c>
    </row>
    <row r="247" spans="12:22" ht="18">
      <c r="T247" s="1365"/>
      <c r="U247" s="1346">
        <f t="shared" si="139"/>
        <v>0</v>
      </c>
      <c r="V247" s="1340">
        <v>0</v>
      </c>
    </row>
    <row r="248" spans="12:22" ht="18">
      <c r="T248" s="1365"/>
      <c r="U248" s="1346">
        <f t="shared" si="139"/>
        <v>0</v>
      </c>
      <c r="V248" s="1340">
        <v>0</v>
      </c>
    </row>
    <row r="249" spans="12:22" ht="18">
      <c r="M249" s="1540"/>
      <c r="T249" s="1365"/>
      <c r="U249" s="1346">
        <f t="shared" si="139"/>
        <v>0</v>
      </c>
      <c r="V249" s="1340">
        <v>0</v>
      </c>
    </row>
    <row r="250" spans="12:22" ht="18">
      <c r="L250" s="1435"/>
      <c r="M250" s="1435"/>
      <c r="T250" s="1365"/>
      <c r="U250" s="1346">
        <f t="shared" si="139"/>
        <v>0</v>
      </c>
      <c r="V250" s="1340">
        <v>0</v>
      </c>
    </row>
    <row r="251" spans="12:22" ht="18">
      <c r="T251" s="1365"/>
      <c r="U251" s="1346">
        <f t="shared" si="139"/>
        <v>0</v>
      </c>
      <c r="V251" s="1340">
        <v>0</v>
      </c>
    </row>
    <row r="252" spans="12:22" ht="18">
      <c r="T252" s="1365"/>
      <c r="U252" s="1346">
        <f t="shared" si="139"/>
        <v>0</v>
      </c>
      <c r="V252" s="1340">
        <v>0</v>
      </c>
    </row>
    <row r="253" spans="12:22" ht="18">
      <c r="T253" s="1365"/>
      <c r="U253" s="1346">
        <f t="shared" si="139"/>
        <v>0</v>
      </c>
      <c r="V253" s="1340">
        <v>0</v>
      </c>
    </row>
    <row r="254" spans="12:22" ht="18">
      <c r="T254" s="1365"/>
      <c r="U254" s="1346">
        <f t="shared" si="139"/>
        <v>0</v>
      </c>
      <c r="V254" s="1340">
        <v>0</v>
      </c>
    </row>
    <row r="255" spans="12:22" ht="18">
      <c r="T255" s="1365"/>
      <c r="U255" s="1346">
        <f t="shared" si="139"/>
        <v>0</v>
      </c>
      <c r="V255" s="1340">
        <v>0</v>
      </c>
    </row>
    <row r="256" spans="12:22" ht="18">
      <c r="T256" s="1365"/>
      <c r="U256" s="1346">
        <f t="shared" si="139"/>
        <v>0</v>
      </c>
      <c r="V256" s="1340">
        <v>0</v>
      </c>
    </row>
    <row r="257" spans="20:22" ht="18">
      <c r="T257" s="1365"/>
      <c r="U257" s="1346">
        <f t="shared" si="139"/>
        <v>0</v>
      </c>
      <c r="V257" s="1340">
        <v>0</v>
      </c>
    </row>
    <row r="258" spans="20:22" ht="18">
      <c r="T258" s="1365"/>
      <c r="U258" s="1346">
        <f t="shared" si="139"/>
        <v>0</v>
      </c>
      <c r="V258" s="1340">
        <v>0</v>
      </c>
    </row>
    <row r="259" spans="20:22" ht="18">
      <c r="T259" s="1365"/>
      <c r="U259" s="1346">
        <f t="shared" si="139"/>
        <v>0</v>
      </c>
      <c r="V259" s="1340">
        <v>0</v>
      </c>
    </row>
    <row r="260" spans="20:22" ht="18">
      <c r="T260" s="1365"/>
      <c r="U260" s="1346">
        <f t="shared" si="139"/>
        <v>0</v>
      </c>
      <c r="V260" s="1340">
        <v>0</v>
      </c>
    </row>
    <row r="261" spans="20:22" ht="18">
      <c r="T261" s="1365"/>
      <c r="U261" s="1346">
        <f t="shared" si="139"/>
        <v>0</v>
      </c>
      <c r="V261" s="1340">
        <v>0</v>
      </c>
    </row>
    <row r="262" spans="20:22" ht="18">
      <c r="T262" s="1365"/>
      <c r="U262" s="1346">
        <f t="shared" si="139"/>
        <v>0</v>
      </c>
      <c r="V262" s="1340">
        <v>0</v>
      </c>
    </row>
    <row r="263" spans="20:22" ht="18">
      <c r="T263" s="1365"/>
      <c r="U263" s="1346">
        <f t="shared" si="139"/>
        <v>0</v>
      </c>
      <c r="V263" s="1340">
        <v>0</v>
      </c>
    </row>
    <row r="264" spans="20:22" ht="18">
      <c r="T264" s="1365"/>
      <c r="U264" s="1346">
        <f t="shared" si="139"/>
        <v>0</v>
      </c>
      <c r="V264" s="1340">
        <v>0</v>
      </c>
    </row>
    <row r="265" spans="20:22" ht="18">
      <c r="T265" s="1365"/>
      <c r="U265" s="1346">
        <f t="shared" si="139"/>
        <v>0</v>
      </c>
      <c r="V265" s="1340">
        <v>0</v>
      </c>
    </row>
    <row r="266" spans="20:22" ht="18">
      <c r="T266" s="1365"/>
      <c r="U266" s="1346">
        <f t="shared" si="139"/>
        <v>0</v>
      </c>
      <c r="V266" s="1340">
        <v>0</v>
      </c>
    </row>
    <row r="267" spans="20:22" ht="18">
      <c r="T267" s="1365"/>
      <c r="U267" s="1346">
        <f t="shared" si="139"/>
        <v>0</v>
      </c>
      <c r="V267" s="1340">
        <v>0</v>
      </c>
    </row>
    <row r="268" spans="20:22" ht="18">
      <c r="T268" s="1365"/>
      <c r="U268" s="1346">
        <f t="shared" si="139"/>
        <v>0</v>
      </c>
      <c r="V268" s="1340">
        <v>0</v>
      </c>
    </row>
    <row r="269" spans="20:22" ht="18">
      <c r="T269" s="1365"/>
      <c r="U269" s="1346">
        <f t="shared" ref="U269:U332" si="140">IF(NOT(ISBLANK(C269)), 1, 0)</f>
        <v>0</v>
      </c>
      <c r="V269" s="1340">
        <v>0</v>
      </c>
    </row>
    <row r="270" spans="20:22" ht="18">
      <c r="T270" s="1365"/>
      <c r="U270" s="1346">
        <f t="shared" si="140"/>
        <v>0</v>
      </c>
      <c r="V270" s="1340">
        <v>0</v>
      </c>
    </row>
    <row r="271" spans="20:22" ht="18">
      <c r="T271" s="1365"/>
      <c r="U271" s="1346">
        <f t="shared" si="140"/>
        <v>0</v>
      </c>
      <c r="V271" s="1340">
        <v>0</v>
      </c>
    </row>
    <row r="272" spans="20:22" ht="18">
      <c r="T272" s="1365"/>
      <c r="U272" s="1346">
        <f t="shared" si="140"/>
        <v>0</v>
      </c>
      <c r="V272" s="1340">
        <v>0</v>
      </c>
    </row>
    <row r="273" spans="20:22" ht="18">
      <c r="T273" s="1365"/>
      <c r="U273" s="1346">
        <f t="shared" si="140"/>
        <v>0</v>
      </c>
      <c r="V273" s="1340">
        <v>0</v>
      </c>
    </row>
    <row r="274" spans="20:22" ht="18">
      <c r="T274" s="1365"/>
      <c r="U274" s="1346">
        <f t="shared" si="140"/>
        <v>0</v>
      </c>
      <c r="V274" s="1340">
        <v>0</v>
      </c>
    </row>
    <row r="275" spans="20:22" ht="18">
      <c r="T275" s="1365"/>
      <c r="U275" s="1346">
        <f t="shared" si="140"/>
        <v>0</v>
      </c>
      <c r="V275" s="1340">
        <v>0</v>
      </c>
    </row>
    <row r="276" spans="20:22" ht="18">
      <c r="T276" s="1365"/>
      <c r="U276" s="1346">
        <f t="shared" si="140"/>
        <v>0</v>
      </c>
      <c r="V276" s="1340">
        <v>0</v>
      </c>
    </row>
    <row r="277" spans="20:22" ht="18">
      <c r="T277" s="1365"/>
      <c r="U277" s="1346">
        <f t="shared" si="140"/>
        <v>0</v>
      </c>
      <c r="V277" s="1340">
        <v>0</v>
      </c>
    </row>
    <row r="278" spans="20:22" ht="18">
      <c r="T278" s="1365"/>
      <c r="U278" s="1346">
        <f t="shared" si="140"/>
        <v>0</v>
      </c>
      <c r="V278" s="1340">
        <v>0</v>
      </c>
    </row>
    <row r="279" spans="20:22" ht="18">
      <c r="T279" s="1365"/>
      <c r="U279" s="1346">
        <f t="shared" si="140"/>
        <v>0</v>
      </c>
      <c r="V279" s="1340">
        <v>0</v>
      </c>
    </row>
    <row r="280" spans="20:22" ht="18">
      <c r="T280" s="1365"/>
      <c r="U280" s="1346">
        <f t="shared" si="140"/>
        <v>0</v>
      </c>
      <c r="V280" s="1340">
        <v>0</v>
      </c>
    </row>
    <row r="281" spans="20:22" ht="18">
      <c r="T281" s="1365"/>
      <c r="U281" s="1346">
        <f t="shared" si="140"/>
        <v>0</v>
      </c>
      <c r="V281" s="1340">
        <v>0</v>
      </c>
    </row>
    <row r="282" spans="20:22" ht="18">
      <c r="T282" s="1365"/>
      <c r="U282" s="1346">
        <f t="shared" si="140"/>
        <v>0</v>
      </c>
      <c r="V282" s="1340">
        <v>0</v>
      </c>
    </row>
    <row r="283" spans="20:22" ht="18">
      <c r="T283" s="1365"/>
      <c r="U283" s="1346">
        <f t="shared" si="140"/>
        <v>0</v>
      </c>
      <c r="V283" s="1340">
        <v>0</v>
      </c>
    </row>
    <row r="284" spans="20:22" ht="18">
      <c r="T284" s="1365"/>
      <c r="U284" s="1346">
        <f t="shared" si="140"/>
        <v>0</v>
      </c>
      <c r="V284" s="1340">
        <v>0</v>
      </c>
    </row>
    <row r="285" spans="20:22" ht="18">
      <c r="T285" s="1365"/>
      <c r="U285" s="1346">
        <f t="shared" si="140"/>
        <v>0</v>
      </c>
      <c r="V285" s="1340">
        <v>0</v>
      </c>
    </row>
    <row r="286" spans="20:22" ht="18">
      <c r="T286" s="1365"/>
      <c r="U286" s="1346">
        <f t="shared" si="140"/>
        <v>0</v>
      </c>
      <c r="V286" s="1340">
        <v>0</v>
      </c>
    </row>
    <row r="287" spans="20:22" ht="18">
      <c r="T287" s="1365"/>
      <c r="U287" s="1346">
        <f t="shared" si="140"/>
        <v>0</v>
      </c>
      <c r="V287" s="1340">
        <v>0</v>
      </c>
    </row>
    <row r="288" spans="20:22" ht="18">
      <c r="T288" s="1365"/>
      <c r="U288" s="1346">
        <f t="shared" si="140"/>
        <v>0</v>
      </c>
      <c r="V288" s="1340">
        <v>0</v>
      </c>
    </row>
    <row r="289" spans="20:22" ht="18">
      <c r="T289" s="1365"/>
      <c r="U289" s="1346">
        <f t="shared" si="140"/>
        <v>0</v>
      </c>
      <c r="V289" s="1340">
        <v>0</v>
      </c>
    </row>
    <row r="290" spans="20:22" ht="18">
      <c r="T290" s="1365"/>
      <c r="U290" s="1346">
        <f t="shared" si="140"/>
        <v>0</v>
      </c>
      <c r="V290" s="1340">
        <v>0</v>
      </c>
    </row>
    <row r="291" spans="20:22" ht="18">
      <c r="T291" s="1365"/>
      <c r="U291" s="1346">
        <f t="shared" si="140"/>
        <v>0</v>
      </c>
      <c r="V291" s="1340">
        <v>0</v>
      </c>
    </row>
    <row r="292" spans="20:22" ht="18">
      <c r="T292" s="1365"/>
      <c r="U292" s="1346">
        <f t="shared" si="140"/>
        <v>0</v>
      </c>
      <c r="V292" s="1340">
        <v>0</v>
      </c>
    </row>
    <row r="293" spans="20:22" ht="18">
      <c r="T293" s="1365"/>
      <c r="U293" s="1346">
        <f t="shared" si="140"/>
        <v>0</v>
      </c>
      <c r="V293" s="1340">
        <v>0</v>
      </c>
    </row>
    <row r="294" spans="20:22" ht="18">
      <c r="T294" s="1365"/>
      <c r="U294" s="1346">
        <f t="shared" si="140"/>
        <v>0</v>
      </c>
      <c r="V294" s="1340">
        <v>0</v>
      </c>
    </row>
    <row r="295" spans="20:22" ht="18">
      <c r="T295" s="1365"/>
      <c r="U295" s="1346">
        <f t="shared" si="140"/>
        <v>0</v>
      </c>
      <c r="V295" s="1340">
        <v>0</v>
      </c>
    </row>
    <row r="296" spans="20:22" ht="18">
      <c r="T296" s="1365"/>
      <c r="U296" s="1346">
        <f t="shared" si="140"/>
        <v>0</v>
      </c>
      <c r="V296" s="1340">
        <v>0</v>
      </c>
    </row>
    <row r="297" spans="20:22" ht="18">
      <c r="T297" s="1365"/>
      <c r="U297" s="1346">
        <f t="shared" si="140"/>
        <v>0</v>
      </c>
      <c r="V297" s="1340">
        <v>0</v>
      </c>
    </row>
    <row r="298" spans="20:22" ht="18">
      <c r="T298" s="1365"/>
      <c r="U298" s="1346">
        <f t="shared" si="140"/>
        <v>0</v>
      </c>
      <c r="V298" s="1340">
        <v>0</v>
      </c>
    </row>
    <row r="299" spans="20:22" ht="18">
      <c r="T299" s="1365"/>
      <c r="U299" s="1346">
        <f t="shared" si="140"/>
        <v>0</v>
      </c>
      <c r="V299" s="1340">
        <v>0</v>
      </c>
    </row>
    <row r="300" spans="20:22" ht="18">
      <c r="T300" s="1365"/>
      <c r="U300" s="1346">
        <f t="shared" si="140"/>
        <v>0</v>
      </c>
      <c r="V300" s="1340">
        <v>0</v>
      </c>
    </row>
    <row r="301" spans="20:22" ht="18">
      <c r="T301" s="1365"/>
      <c r="U301" s="1346">
        <f t="shared" si="140"/>
        <v>0</v>
      </c>
      <c r="V301" s="1340">
        <v>0</v>
      </c>
    </row>
    <row r="302" spans="20:22" ht="18">
      <c r="T302" s="1365"/>
      <c r="U302" s="1346">
        <f t="shared" si="140"/>
        <v>0</v>
      </c>
      <c r="V302" s="1340">
        <v>0</v>
      </c>
    </row>
    <row r="303" spans="20:22" ht="18">
      <c r="T303" s="1365"/>
      <c r="U303" s="1346">
        <f t="shared" si="140"/>
        <v>0</v>
      </c>
      <c r="V303" s="1340">
        <v>0</v>
      </c>
    </row>
    <row r="304" spans="20:22" ht="18">
      <c r="T304" s="1365"/>
      <c r="U304" s="1346">
        <f t="shared" si="140"/>
        <v>0</v>
      </c>
      <c r="V304" s="1340">
        <v>0</v>
      </c>
    </row>
    <row r="305" spans="20:22" ht="18">
      <c r="T305" s="1365"/>
      <c r="U305" s="1346">
        <f t="shared" si="140"/>
        <v>0</v>
      </c>
      <c r="V305" s="1340">
        <v>0</v>
      </c>
    </row>
    <row r="306" spans="20:22" ht="18">
      <c r="T306" s="1365"/>
      <c r="U306" s="1346">
        <f t="shared" si="140"/>
        <v>0</v>
      </c>
      <c r="V306" s="1340">
        <v>0</v>
      </c>
    </row>
    <row r="307" spans="20:22" ht="18">
      <c r="T307" s="1365"/>
      <c r="U307" s="1346">
        <f t="shared" si="140"/>
        <v>0</v>
      </c>
      <c r="V307" s="1340">
        <v>0</v>
      </c>
    </row>
    <row r="308" spans="20:22" ht="18">
      <c r="T308" s="1365"/>
      <c r="U308" s="1346">
        <f t="shared" si="140"/>
        <v>0</v>
      </c>
      <c r="V308" s="1340">
        <v>0</v>
      </c>
    </row>
    <row r="309" spans="20:22" ht="18">
      <c r="T309" s="1365"/>
      <c r="U309" s="1346">
        <f t="shared" si="140"/>
        <v>0</v>
      </c>
      <c r="V309" s="1340">
        <v>0</v>
      </c>
    </row>
    <row r="310" spans="20:22" ht="18">
      <c r="T310" s="1365"/>
      <c r="U310" s="1346">
        <f t="shared" si="140"/>
        <v>0</v>
      </c>
      <c r="V310" s="1340">
        <v>0</v>
      </c>
    </row>
    <row r="311" spans="20:22" ht="18">
      <c r="T311" s="1365"/>
      <c r="U311" s="1346">
        <f t="shared" si="140"/>
        <v>0</v>
      </c>
      <c r="V311" s="1340">
        <v>0</v>
      </c>
    </row>
    <row r="312" spans="20:22" ht="18">
      <c r="T312" s="1365"/>
      <c r="U312" s="1346">
        <f t="shared" si="140"/>
        <v>0</v>
      </c>
      <c r="V312" s="1340">
        <v>0</v>
      </c>
    </row>
    <row r="313" spans="20:22" ht="18">
      <c r="T313" s="1365"/>
      <c r="U313" s="1346">
        <f t="shared" si="140"/>
        <v>0</v>
      </c>
      <c r="V313" s="1340">
        <v>0</v>
      </c>
    </row>
    <row r="314" spans="20:22" ht="18">
      <c r="T314" s="1365"/>
      <c r="U314" s="1346">
        <f t="shared" si="140"/>
        <v>0</v>
      </c>
      <c r="V314" s="1340">
        <v>0</v>
      </c>
    </row>
    <row r="315" spans="20:22" ht="18">
      <c r="T315" s="1365"/>
      <c r="U315" s="1346">
        <f t="shared" si="140"/>
        <v>0</v>
      </c>
      <c r="V315" s="1340">
        <v>0</v>
      </c>
    </row>
    <row r="316" spans="20:22" ht="18">
      <c r="T316" s="1365"/>
      <c r="U316" s="1346">
        <f t="shared" si="140"/>
        <v>0</v>
      </c>
      <c r="V316" s="1340">
        <v>0</v>
      </c>
    </row>
    <row r="317" spans="20:22" ht="18">
      <c r="T317" s="1365"/>
      <c r="U317" s="1346">
        <f t="shared" si="140"/>
        <v>0</v>
      </c>
      <c r="V317" s="1340">
        <v>0</v>
      </c>
    </row>
    <row r="318" spans="20:22" ht="18">
      <c r="T318" s="1365"/>
      <c r="U318" s="1346">
        <f t="shared" si="140"/>
        <v>0</v>
      </c>
      <c r="V318" s="1340">
        <v>0</v>
      </c>
    </row>
    <row r="319" spans="20:22" ht="18">
      <c r="T319" s="1365"/>
      <c r="U319" s="1346">
        <f t="shared" si="140"/>
        <v>0</v>
      </c>
      <c r="V319" s="1340">
        <v>0</v>
      </c>
    </row>
    <row r="320" spans="20:22" ht="18">
      <c r="T320" s="1365"/>
      <c r="U320" s="1346">
        <f t="shared" si="140"/>
        <v>0</v>
      </c>
      <c r="V320" s="1340">
        <v>0</v>
      </c>
    </row>
    <row r="321" spans="20:22" ht="18">
      <c r="T321" s="1365"/>
      <c r="U321" s="1346">
        <f t="shared" si="140"/>
        <v>0</v>
      </c>
      <c r="V321" s="1340">
        <v>0</v>
      </c>
    </row>
    <row r="322" spans="20:22" ht="18">
      <c r="T322" s="1365"/>
      <c r="U322" s="1346">
        <f t="shared" si="140"/>
        <v>0</v>
      </c>
      <c r="V322" s="1340">
        <v>0</v>
      </c>
    </row>
    <row r="323" spans="20:22" ht="18">
      <c r="T323" s="1365"/>
      <c r="U323" s="1346">
        <f t="shared" si="140"/>
        <v>0</v>
      </c>
      <c r="V323" s="1340">
        <v>0</v>
      </c>
    </row>
    <row r="324" spans="20:22" ht="18">
      <c r="T324" s="1365"/>
      <c r="U324" s="1346">
        <f t="shared" si="140"/>
        <v>0</v>
      </c>
      <c r="V324" s="1340">
        <v>0</v>
      </c>
    </row>
    <row r="325" spans="20:22" ht="18">
      <c r="T325" s="1365"/>
      <c r="U325" s="1346">
        <f t="shared" si="140"/>
        <v>0</v>
      </c>
      <c r="V325" s="1340">
        <v>0</v>
      </c>
    </row>
    <row r="326" spans="20:22" ht="18">
      <c r="T326" s="1365"/>
      <c r="U326" s="1346">
        <f t="shared" si="140"/>
        <v>0</v>
      </c>
      <c r="V326" s="1340">
        <v>0</v>
      </c>
    </row>
    <row r="327" spans="20:22" ht="18">
      <c r="T327" s="1365"/>
      <c r="U327" s="1346">
        <f t="shared" si="140"/>
        <v>0</v>
      </c>
      <c r="V327" s="1340">
        <v>0</v>
      </c>
    </row>
    <row r="328" spans="20:22" ht="18">
      <c r="T328" s="1365"/>
      <c r="U328" s="1346">
        <f t="shared" si="140"/>
        <v>0</v>
      </c>
      <c r="V328" s="1340">
        <v>0</v>
      </c>
    </row>
    <row r="329" spans="20:22" ht="18">
      <c r="T329" s="1365"/>
      <c r="U329" s="1346">
        <f t="shared" si="140"/>
        <v>0</v>
      </c>
      <c r="V329" s="1340">
        <v>0</v>
      </c>
    </row>
    <row r="330" spans="20:22" ht="18">
      <c r="T330" s="1365"/>
      <c r="U330" s="1346">
        <f t="shared" si="140"/>
        <v>0</v>
      </c>
      <c r="V330" s="1340">
        <v>0</v>
      </c>
    </row>
    <row r="331" spans="20:22" ht="18">
      <c r="T331" s="1365"/>
      <c r="U331" s="1346">
        <f t="shared" si="140"/>
        <v>0</v>
      </c>
      <c r="V331" s="1340">
        <v>0</v>
      </c>
    </row>
    <row r="332" spans="20:22" ht="18">
      <c r="T332" s="1365"/>
      <c r="U332" s="1346">
        <f t="shared" si="140"/>
        <v>0</v>
      </c>
      <c r="V332" s="1340">
        <v>0</v>
      </c>
    </row>
    <row r="333" spans="20:22" ht="18">
      <c r="T333" s="1365"/>
      <c r="U333" s="1346">
        <f t="shared" ref="U333:U396" si="141">IF(NOT(ISBLANK(C333)), 1, 0)</f>
        <v>0</v>
      </c>
      <c r="V333" s="1340">
        <v>0</v>
      </c>
    </row>
    <row r="334" spans="20:22" ht="18">
      <c r="T334" s="1365"/>
      <c r="U334" s="1346">
        <f t="shared" si="141"/>
        <v>0</v>
      </c>
      <c r="V334" s="1340">
        <v>0</v>
      </c>
    </row>
    <row r="335" spans="20:22" ht="18">
      <c r="T335" s="1365"/>
      <c r="U335" s="1346">
        <f t="shared" si="141"/>
        <v>0</v>
      </c>
      <c r="V335" s="1340">
        <v>0</v>
      </c>
    </row>
    <row r="336" spans="20:22" ht="18">
      <c r="T336" s="1365"/>
      <c r="U336" s="1346">
        <f t="shared" si="141"/>
        <v>0</v>
      </c>
      <c r="V336" s="1340">
        <v>0</v>
      </c>
    </row>
    <row r="337" spans="20:22" ht="18">
      <c r="T337" s="1365"/>
      <c r="U337" s="1346">
        <f t="shared" si="141"/>
        <v>0</v>
      </c>
      <c r="V337" s="1340">
        <v>0</v>
      </c>
    </row>
    <row r="338" spans="20:22" ht="18">
      <c r="T338" s="1365"/>
      <c r="U338" s="1346">
        <f t="shared" si="141"/>
        <v>0</v>
      </c>
      <c r="V338" s="1340">
        <v>0</v>
      </c>
    </row>
    <row r="339" spans="20:22" ht="18">
      <c r="T339" s="1365"/>
      <c r="U339" s="1346">
        <f t="shared" si="141"/>
        <v>0</v>
      </c>
      <c r="V339" s="1340">
        <v>0</v>
      </c>
    </row>
    <row r="340" spans="20:22" ht="18">
      <c r="T340" s="1365"/>
      <c r="U340" s="1346">
        <f t="shared" si="141"/>
        <v>0</v>
      </c>
      <c r="V340" s="1340">
        <v>0</v>
      </c>
    </row>
    <row r="341" spans="20:22" ht="18">
      <c r="T341" s="1365"/>
      <c r="U341" s="1346">
        <f t="shared" si="141"/>
        <v>0</v>
      </c>
      <c r="V341" s="1340">
        <v>0</v>
      </c>
    </row>
    <row r="342" spans="20:22" ht="18">
      <c r="T342" s="1365"/>
      <c r="U342" s="1346">
        <f t="shared" si="141"/>
        <v>0</v>
      </c>
      <c r="V342" s="1340">
        <v>0</v>
      </c>
    </row>
    <row r="343" spans="20:22" ht="18">
      <c r="T343" s="1365"/>
      <c r="U343" s="1346">
        <f t="shared" si="141"/>
        <v>0</v>
      </c>
      <c r="V343" s="1340">
        <v>0</v>
      </c>
    </row>
    <row r="344" spans="20:22" ht="18">
      <c r="T344" s="1365"/>
      <c r="U344" s="1346">
        <f t="shared" si="141"/>
        <v>0</v>
      </c>
      <c r="V344" s="1340">
        <v>0</v>
      </c>
    </row>
    <row r="345" spans="20:22" ht="18">
      <c r="T345" s="1365"/>
      <c r="U345" s="1346">
        <f t="shared" si="141"/>
        <v>0</v>
      </c>
      <c r="V345" s="1340">
        <v>0</v>
      </c>
    </row>
    <row r="346" spans="20:22" ht="18">
      <c r="T346" s="1365"/>
      <c r="U346" s="1346">
        <f t="shared" si="141"/>
        <v>0</v>
      </c>
      <c r="V346" s="1340">
        <v>0</v>
      </c>
    </row>
    <row r="347" spans="20:22" ht="18">
      <c r="T347" s="1365"/>
      <c r="U347" s="1346">
        <f t="shared" si="141"/>
        <v>0</v>
      </c>
      <c r="V347" s="1340">
        <v>0</v>
      </c>
    </row>
    <row r="348" spans="20:22" ht="18">
      <c r="T348" s="1365"/>
      <c r="U348" s="1346">
        <f t="shared" si="141"/>
        <v>0</v>
      </c>
      <c r="V348" s="1340">
        <v>0</v>
      </c>
    </row>
    <row r="349" spans="20:22" ht="18">
      <c r="T349" s="1365"/>
      <c r="U349" s="1346">
        <f t="shared" si="141"/>
        <v>0</v>
      </c>
      <c r="V349" s="1340">
        <v>0</v>
      </c>
    </row>
    <row r="350" spans="20:22" ht="18">
      <c r="T350" s="1365"/>
      <c r="U350" s="1346">
        <f t="shared" si="141"/>
        <v>0</v>
      </c>
      <c r="V350" s="1340">
        <v>0</v>
      </c>
    </row>
    <row r="351" spans="20:22" ht="18">
      <c r="T351" s="1365"/>
      <c r="U351" s="1346">
        <f t="shared" si="141"/>
        <v>0</v>
      </c>
      <c r="V351" s="1340">
        <v>0</v>
      </c>
    </row>
    <row r="352" spans="20:22" ht="18">
      <c r="T352" s="1365"/>
      <c r="U352" s="1346">
        <f t="shared" si="141"/>
        <v>0</v>
      </c>
      <c r="V352" s="1340">
        <v>0</v>
      </c>
    </row>
    <row r="353" spans="20:22" ht="18">
      <c r="T353" s="1365"/>
      <c r="U353" s="1346">
        <f t="shared" si="141"/>
        <v>0</v>
      </c>
      <c r="V353" s="1340">
        <v>0</v>
      </c>
    </row>
    <row r="354" spans="20:22" ht="18">
      <c r="T354" s="1365"/>
      <c r="U354" s="1346">
        <f t="shared" si="141"/>
        <v>0</v>
      </c>
      <c r="V354" s="1340">
        <v>0</v>
      </c>
    </row>
    <row r="355" spans="20:22" ht="18">
      <c r="T355" s="1365"/>
      <c r="U355" s="1346">
        <f t="shared" si="141"/>
        <v>0</v>
      </c>
      <c r="V355" s="1340">
        <v>0</v>
      </c>
    </row>
    <row r="356" spans="20:22" ht="18">
      <c r="T356" s="1365"/>
      <c r="U356" s="1346">
        <f t="shared" si="141"/>
        <v>0</v>
      </c>
      <c r="V356" s="1340">
        <v>0</v>
      </c>
    </row>
    <row r="357" spans="20:22" ht="18">
      <c r="T357" s="1365"/>
      <c r="U357" s="1346">
        <f t="shared" si="141"/>
        <v>0</v>
      </c>
      <c r="V357" s="1340">
        <v>0</v>
      </c>
    </row>
    <row r="358" spans="20:22" ht="18">
      <c r="T358" s="1365"/>
      <c r="U358" s="1346">
        <f t="shared" si="141"/>
        <v>0</v>
      </c>
      <c r="V358" s="1340">
        <v>0</v>
      </c>
    </row>
    <row r="359" spans="20:22" ht="18">
      <c r="T359" s="1365"/>
      <c r="U359" s="1346">
        <f t="shared" si="141"/>
        <v>0</v>
      </c>
      <c r="V359" s="1340">
        <v>0</v>
      </c>
    </row>
    <row r="360" spans="20:22" ht="18">
      <c r="T360" s="1365"/>
      <c r="U360" s="1346">
        <f t="shared" si="141"/>
        <v>0</v>
      </c>
      <c r="V360" s="1340">
        <v>0</v>
      </c>
    </row>
    <row r="361" spans="20:22" ht="18">
      <c r="T361" s="1365"/>
      <c r="U361" s="1346">
        <f t="shared" si="141"/>
        <v>0</v>
      </c>
      <c r="V361" s="1340">
        <v>0</v>
      </c>
    </row>
    <row r="362" spans="20:22" ht="18">
      <c r="T362" s="1365"/>
      <c r="U362" s="1346">
        <f t="shared" si="141"/>
        <v>0</v>
      </c>
      <c r="V362" s="1340">
        <v>0</v>
      </c>
    </row>
    <row r="363" spans="20:22" ht="18">
      <c r="T363" s="1365"/>
      <c r="U363" s="1346">
        <f t="shared" si="141"/>
        <v>0</v>
      </c>
      <c r="V363" s="1340">
        <v>0</v>
      </c>
    </row>
    <row r="364" spans="20:22" ht="18">
      <c r="T364" s="1365"/>
      <c r="U364" s="1346">
        <f t="shared" si="141"/>
        <v>0</v>
      </c>
      <c r="V364" s="1340">
        <v>0</v>
      </c>
    </row>
    <row r="365" spans="20:22" ht="18">
      <c r="T365" s="1365"/>
      <c r="U365" s="1346">
        <f t="shared" si="141"/>
        <v>0</v>
      </c>
      <c r="V365" s="1340">
        <v>0</v>
      </c>
    </row>
    <row r="366" spans="20:22" ht="18">
      <c r="T366" s="1365"/>
      <c r="U366" s="1346">
        <f t="shared" si="141"/>
        <v>0</v>
      </c>
      <c r="V366" s="1340">
        <v>0</v>
      </c>
    </row>
    <row r="367" spans="20:22" ht="18">
      <c r="T367" s="1365"/>
      <c r="U367" s="1346">
        <f t="shared" si="141"/>
        <v>0</v>
      </c>
      <c r="V367" s="1340">
        <v>0</v>
      </c>
    </row>
    <row r="368" spans="20:22" ht="18">
      <c r="T368" s="1365"/>
      <c r="U368" s="1346">
        <f t="shared" si="141"/>
        <v>0</v>
      </c>
      <c r="V368" s="1340">
        <v>0</v>
      </c>
    </row>
    <row r="369" spans="20:22" ht="18">
      <c r="T369" s="1365"/>
      <c r="U369" s="1346">
        <f t="shared" si="141"/>
        <v>0</v>
      </c>
      <c r="V369" s="1340">
        <v>0</v>
      </c>
    </row>
    <row r="370" spans="20:22" ht="18">
      <c r="T370" s="1365"/>
      <c r="U370" s="1346">
        <f t="shared" si="141"/>
        <v>0</v>
      </c>
      <c r="V370" s="1340">
        <v>0</v>
      </c>
    </row>
    <row r="371" spans="20:22" ht="18">
      <c r="T371" s="1365"/>
      <c r="U371" s="1346">
        <f t="shared" si="141"/>
        <v>0</v>
      </c>
      <c r="V371" s="1340">
        <v>0</v>
      </c>
    </row>
    <row r="372" spans="20:22" ht="18">
      <c r="T372" s="1365"/>
      <c r="U372" s="1346">
        <f t="shared" si="141"/>
        <v>0</v>
      </c>
      <c r="V372" s="1340">
        <v>0</v>
      </c>
    </row>
    <row r="373" spans="20:22" ht="18">
      <c r="T373" s="1365"/>
      <c r="U373" s="1346">
        <f t="shared" si="141"/>
        <v>0</v>
      </c>
      <c r="V373" s="1340">
        <v>0</v>
      </c>
    </row>
    <row r="374" spans="20:22" ht="18">
      <c r="T374" s="1365"/>
      <c r="U374" s="1346">
        <f t="shared" si="141"/>
        <v>0</v>
      </c>
      <c r="V374" s="1340">
        <v>0</v>
      </c>
    </row>
    <row r="375" spans="20:22" ht="18">
      <c r="T375" s="1365"/>
      <c r="U375" s="1346">
        <f t="shared" si="141"/>
        <v>0</v>
      </c>
      <c r="V375" s="1340">
        <v>0</v>
      </c>
    </row>
    <row r="376" spans="20:22" ht="18">
      <c r="T376" s="1365"/>
      <c r="U376" s="1346">
        <f t="shared" si="141"/>
        <v>0</v>
      </c>
      <c r="V376" s="1340">
        <v>0</v>
      </c>
    </row>
    <row r="377" spans="20:22" ht="18">
      <c r="T377" s="1365"/>
      <c r="U377" s="1346">
        <f t="shared" si="141"/>
        <v>0</v>
      </c>
      <c r="V377" s="1340">
        <v>0</v>
      </c>
    </row>
    <row r="378" spans="20:22" ht="18">
      <c r="T378" s="1365"/>
      <c r="U378" s="1346">
        <f t="shared" si="141"/>
        <v>0</v>
      </c>
      <c r="V378" s="1340">
        <v>0</v>
      </c>
    </row>
    <row r="379" spans="20:22" ht="18">
      <c r="T379" s="1365"/>
      <c r="U379" s="1346">
        <f t="shared" si="141"/>
        <v>0</v>
      </c>
      <c r="V379" s="1340">
        <v>0</v>
      </c>
    </row>
    <row r="380" spans="20:22" ht="18">
      <c r="T380" s="1365"/>
      <c r="U380" s="1346">
        <f t="shared" si="141"/>
        <v>0</v>
      </c>
      <c r="V380" s="1340">
        <v>0</v>
      </c>
    </row>
    <row r="381" spans="20:22" ht="18">
      <c r="T381" s="1365"/>
      <c r="U381" s="1346">
        <f t="shared" si="141"/>
        <v>0</v>
      </c>
      <c r="V381" s="1340">
        <v>0</v>
      </c>
    </row>
    <row r="382" spans="20:22" ht="18">
      <c r="T382" s="1365"/>
      <c r="U382" s="1346">
        <f t="shared" si="141"/>
        <v>0</v>
      </c>
      <c r="V382" s="1340">
        <v>0</v>
      </c>
    </row>
    <row r="383" spans="20:22" ht="18">
      <c r="T383" s="1365"/>
      <c r="U383" s="1346">
        <f t="shared" si="141"/>
        <v>0</v>
      </c>
      <c r="V383" s="1340">
        <v>0</v>
      </c>
    </row>
    <row r="384" spans="20:22" ht="18">
      <c r="T384" s="1365"/>
      <c r="U384" s="1346">
        <f t="shared" si="141"/>
        <v>0</v>
      </c>
      <c r="V384" s="1340">
        <v>0</v>
      </c>
    </row>
    <row r="385" spans="20:22" ht="18">
      <c r="T385" s="1365"/>
      <c r="U385" s="1346">
        <f t="shared" si="141"/>
        <v>0</v>
      </c>
      <c r="V385" s="1340">
        <v>0</v>
      </c>
    </row>
    <row r="386" spans="20:22" ht="18">
      <c r="T386" s="1365"/>
      <c r="U386" s="1346">
        <f t="shared" si="141"/>
        <v>0</v>
      </c>
      <c r="V386" s="1340">
        <v>0</v>
      </c>
    </row>
    <row r="387" spans="20:22" ht="18">
      <c r="T387" s="1365"/>
      <c r="U387" s="1346">
        <f t="shared" si="141"/>
        <v>0</v>
      </c>
      <c r="V387" s="1340">
        <v>0</v>
      </c>
    </row>
    <row r="388" spans="20:22" ht="18">
      <c r="T388" s="1365"/>
      <c r="U388" s="1346">
        <f t="shared" si="141"/>
        <v>0</v>
      </c>
      <c r="V388" s="1340">
        <v>0</v>
      </c>
    </row>
    <row r="389" spans="20:22" ht="18">
      <c r="T389" s="1365"/>
      <c r="U389" s="1346">
        <f t="shared" si="141"/>
        <v>0</v>
      </c>
      <c r="V389" s="1340">
        <v>0</v>
      </c>
    </row>
    <row r="390" spans="20:22" ht="18">
      <c r="T390" s="1365"/>
      <c r="U390" s="1346">
        <f t="shared" si="141"/>
        <v>0</v>
      </c>
      <c r="V390" s="1340">
        <v>0</v>
      </c>
    </row>
    <row r="391" spans="20:22" ht="18">
      <c r="T391" s="1365"/>
      <c r="U391" s="1346">
        <f t="shared" si="141"/>
        <v>0</v>
      </c>
      <c r="V391" s="1340">
        <v>0</v>
      </c>
    </row>
    <row r="392" spans="20:22" ht="18">
      <c r="T392" s="1365"/>
      <c r="U392" s="1346">
        <f t="shared" si="141"/>
        <v>0</v>
      </c>
      <c r="V392" s="1340">
        <v>0</v>
      </c>
    </row>
    <row r="393" spans="20:22" ht="18">
      <c r="T393" s="1365"/>
      <c r="U393" s="1346">
        <f t="shared" si="141"/>
        <v>0</v>
      </c>
      <c r="V393" s="1340">
        <v>0</v>
      </c>
    </row>
    <row r="394" spans="20:22" ht="18">
      <c r="T394" s="1365"/>
      <c r="U394" s="1346">
        <f t="shared" si="141"/>
        <v>0</v>
      </c>
      <c r="V394" s="1340">
        <v>0</v>
      </c>
    </row>
    <row r="395" spans="20:22" ht="18">
      <c r="T395" s="1365"/>
      <c r="U395" s="1346">
        <f t="shared" si="141"/>
        <v>0</v>
      </c>
      <c r="V395" s="1340">
        <v>0</v>
      </c>
    </row>
    <row r="396" spans="20:22" ht="18">
      <c r="T396" s="1365"/>
      <c r="U396" s="1346">
        <f t="shared" si="141"/>
        <v>0</v>
      </c>
      <c r="V396" s="1340">
        <v>0</v>
      </c>
    </row>
    <row r="397" spans="20:22" ht="18">
      <c r="T397" s="1365"/>
      <c r="U397" s="1346">
        <f t="shared" ref="U397:U455" si="142">IF(NOT(ISBLANK(C397)), 1, 0)</f>
        <v>0</v>
      </c>
      <c r="V397" s="1340">
        <v>0</v>
      </c>
    </row>
    <row r="398" spans="20:22" ht="18">
      <c r="T398" s="1365"/>
      <c r="U398" s="1346">
        <f t="shared" si="142"/>
        <v>0</v>
      </c>
      <c r="V398" s="1340">
        <v>0</v>
      </c>
    </row>
    <row r="399" spans="20:22">
      <c r="U399" s="1346">
        <f t="shared" si="142"/>
        <v>0</v>
      </c>
      <c r="V399" s="1340">
        <v>0</v>
      </c>
    </row>
    <row r="400" spans="20:22">
      <c r="U400" s="1346">
        <f t="shared" si="142"/>
        <v>0</v>
      </c>
      <c r="V400" s="1340">
        <v>0</v>
      </c>
    </row>
    <row r="401" spans="21:22">
      <c r="U401" s="1346">
        <f t="shared" si="142"/>
        <v>0</v>
      </c>
      <c r="V401" s="1340">
        <v>0</v>
      </c>
    </row>
    <row r="402" spans="21:22">
      <c r="U402" s="1346">
        <f t="shared" si="142"/>
        <v>0</v>
      </c>
      <c r="V402" s="1340">
        <v>0</v>
      </c>
    </row>
    <row r="403" spans="21:22">
      <c r="U403" s="1346">
        <f t="shared" si="142"/>
        <v>0</v>
      </c>
      <c r="V403" s="1340">
        <v>0</v>
      </c>
    </row>
    <row r="404" spans="21:22">
      <c r="U404" s="1346">
        <f t="shared" si="142"/>
        <v>0</v>
      </c>
      <c r="V404" s="1340">
        <v>0</v>
      </c>
    </row>
    <row r="405" spans="21:22">
      <c r="U405" s="1346">
        <f t="shared" si="142"/>
        <v>0</v>
      </c>
      <c r="V405" s="1340">
        <v>0</v>
      </c>
    </row>
    <row r="406" spans="21:22">
      <c r="U406" s="1346">
        <f t="shared" si="142"/>
        <v>0</v>
      </c>
      <c r="V406" s="1340">
        <v>0</v>
      </c>
    </row>
    <row r="407" spans="21:22">
      <c r="U407" s="1346">
        <f t="shared" si="142"/>
        <v>0</v>
      </c>
      <c r="V407" s="1340">
        <v>0</v>
      </c>
    </row>
    <row r="408" spans="21:22">
      <c r="U408" s="1346">
        <f t="shared" si="142"/>
        <v>0</v>
      </c>
      <c r="V408" s="1340">
        <v>0</v>
      </c>
    </row>
    <row r="409" spans="21:22">
      <c r="U409" s="1346">
        <f t="shared" si="142"/>
        <v>0</v>
      </c>
      <c r="V409" s="1340">
        <v>0</v>
      </c>
    </row>
    <row r="410" spans="21:22">
      <c r="U410" s="1346">
        <f t="shared" si="142"/>
        <v>0</v>
      </c>
      <c r="V410" s="1340">
        <v>0</v>
      </c>
    </row>
    <row r="411" spans="21:22">
      <c r="U411" s="1346">
        <f t="shared" si="142"/>
        <v>0</v>
      </c>
      <c r="V411" s="1340">
        <v>0</v>
      </c>
    </row>
    <row r="412" spans="21:22">
      <c r="U412" s="1346">
        <f t="shared" si="142"/>
        <v>0</v>
      </c>
      <c r="V412" s="1340">
        <v>0</v>
      </c>
    </row>
    <row r="413" spans="21:22">
      <c r="U413" s="1346">
        <f t="shared" si="142"/>
        <v>0</v>
      </c>
      <c r="V413" s="1340">
        <v>0</v>
      </c>
    </row>
    <row r="414" spans="21:22">
      <c r="U414" s="1346">
        <f t="shared" si="142"/>
        <v>0</v>
      </c>
      <c r="V414" s="1340">
        <v>0</v>
      </c>
    </row>
    <row r="415" spans="21:22">
      <c r="U415" s="1346">
        <f t="shared" si="142"/>
        <v>0</v>
      </c>
      <c r="V415" s="1340">
        <v>0</v>
      </c>
    </row>
    <row r="416" spans="21:22">
      <c r="U416" s="1346">
        <f t="shared" si="142"/>
        <v>0</v>
      </c>
      <c r="V416" s="1340">
        <v>0</v>
      </c>
    </row>
    <row r="417" spans="21:22">
      <c r="U417" s="1346">
        <f t="shared" si="142"/>
        <v>0</v>
      </c>
      <c r="V417" s="1340">
        <v>0</v>
      </c>
    </row>
    <row r="418" spans="21:22">
      <c r="U418" s="1346">
        <f t="shared" si="142"/>
        <v>0</v>
      </c>
      <c r="V418" s="1340">
        <v>0</v>
      </c>
    </row>
    <row r="419" spans="21:22">
      <c r="U419" s="1346">
        <f t="shared" si="142"/>
        <v>0</v>
      </c>
      <c r="V419" s="1340">
        <v>0</v>
      </c>
    </row>
    <row r="420" spans="21:22">
      <c r="U420" s="1346">
        <f t="shared" si="142"/>
        <v>0</v>
      </c>
      <c r="V420" s="1340">
        <v>0</v>
      </c>
    </row>
    <row r="421" spans="21:22">
      <c r="U421" s="1346">
        <f t="shared" si="142"/>
        <v>0</v>
      </c>
      <c r="V421" s="1340">
        <v>0</v>
      </c>
    </row>
    <row r="422" spans="21:22">
      <c r="U422" s="1346">
        <f t="shared" si="142"/>
        <v>0</v>
      </c>
      <c r="V422" s="1340">
        <v>0</v>
      </c>
    </row>
    <row r="423" spans="21:22">
      <c r="U423" s="1346">
        <f t="shared" si="142"/>
        <v>0</v>
      </c>
      <c r="V423" s="1340">
        <v>0</v>
      </c>
    </row>
    <row r="424" spans="21:22">
      <c r="U424" s="1346">
        <f t="shared" si="142"/>
        <v>0</v>
      </c>
      <c r="V424" s="1340">
        <v>0</v>
      </c>
    </row>
    <row r="425" spans="21:22">
      <c r="U425" s="1346">
        <f t="shared" si="142"/>
        <v>0</v>
      </c>
      <c r="V425" s="1340">
        <v>0</v>
      </c>
    </row>
    <row r="426" spans="21:22">
      <c r="U426" s="1346">
        <f t="shared" si="142"/>
        <v>0</v>
      </c>
      <c r="V426" s="1340">
        <v>0</v>
      </c>
    </row>
    <row r="427" spans="21:22">
      <c r="U427" s="1346">
        <f t="shared" si="142"/>
        <v>0</v>
      </c>
      <c r="V427" s="1340">
        <v>0</v>
      </c>
    </row>
    <row r="428" spans="21:22">
      <c r="U428" s="1346">
        <f t="shared" si="142"/>
        <v>0</v>
      </c>
      <c r="V428" s="1340">
        <v>0</v>
      </c>
    </row>
    <row r="429" spans="21:22">
      <c r="U429" s="1346">
        <f t="shared" si="142"/>
        <v>0</v>
      </c>
      <c r="V429" s="1340">
        <v>0</v>
      </c>
    </row>
    <row r="430" spans="21:22">
      <c r="U430" s="1346">
        <f t="shared" si="142"/>
        <v>0</v>
      </c>
      <c r="V430" s="1340">
        <v>0</v>
      </c>
    </row>
    <row r="431" spans="21:22">
      <c r="U431" s="1346">
        <f t="shared" si="142"/>
        <v>0</v>
      </c>
      <c r="V431" s="1340">
        <v>0</v>
      </c>
    </row>
    <row r="432" spans="21:22">
      <c r="U432" s="1346">
        <f t="shared" si="142"/>
        <v>0</v>
      </c>
      <c r="V432" s="1340">
        <v>0</v>
      </c>
    </row>
    <row r="433" spans="21:22">
      <c r="U433" s="1346">
        <f t="shared" si="142"/>
        <v>0</v>
      </c>
      <c r="V433" s="1340">
        <v>0</v>
      </c>
    </row>
    <row r="434" spans="21:22">
      <c r="U434" s="1346">
        <f t="shared" si="142"/>
        <v>0</v>
      </c>
      <c r="V434" s="1340">
        <v>0</v>
      </c>
    </row>
    <row r="435" spans="21:22">
      <c r="U435" s="1346">
        <f t="shared" si="142"/>
        <v>0</v>
      </c>
      <c r="V435" s="1340">
        <v>0</v>
      </c>
    </row>
    <row r="436" spans="21:22">
      <c r="U436" s="1346">
        <f t="shared" si="142"/>
        <v>0</v>
      </c>
      <c r="V436" s="1340">
        <v>0</v>
      </c>
    </row>
    <row r="437" spans="21:22">
      <c r="U437" s="1346">
        <f t="shared" si="142"/>
        <v>0</v>
      </c>
      <c r="V437" s="1340">
        <v>0</v>
      </c>
    </row>
    <row r="438" spans="21:22">
      <c r="U438" s="1346">
        <f t="shared" si="142"/>
        <v>0</v>
      </c>
      <c r="V438" s="1340">
        <v>0</v>
      </c>
    </row>
    <row r="439" spans="21:22">
      <c r="U439" s="1346">
        <f t="shared" si="142"/>
        <v>0</v>
      </c>
      <c r="V439" s="1340">
        <v>0</v>
      </c>
    </row>
    <row r="440" spans="21:22">
      <c r="U440" s="1346">
        <f t="shared" si="142"/>
        <v>0</v>
      </c>
      <c r="V440" s="1340">
        <v>0</v>
      </c>
    </row>
    <row r="441" spans="21:22">
      <c r="U441" s="1346">
        <f t="shared" si="142"/>
        <v>0</v>
      </c>
      <c r="V441" s="1340">
        <v>0</v>
      </c>
    </row>
    <row r="442" spans="21:22">
      <c r="U442" s="1346">
        <f t="shared" si="142"/>
        <v>0</v>
      </c>
      <c r="V442" s="1340">
        <v>0</v>
      </c>
    </row>
    <row r="443" spans="21:22">
      <c r="U443" s="1346">
        <f t="shared" si="142"/>
        <v>0</v>
      </c>
      <c r="V443" s="1340">
        <v>0</v>
      </c>
    </row>
    <row r="444" spans="21:22">
      <c r="U444" s="1346">
        <f t="shared" si="142"/>
        <v>0</v>
      </c>
      <c r="V444" s="1340">
        <v>0</v>
      </c>
    </row>
    <row r="445" spans="21:22">
      <c r="U445" s="1346">
        <f t="shared" si="142"/>
        <v>0</v>
      </c>
      <c r="V445" s="1340">
        <v>0</v>
      </c>
    </row>
    <row r="446" spans="21:22">
      <c r="U446" s="1346">
        <f t="shared" si="142"/>
        <v>0</v>
      </c>
      <c r="V446" s="1340">
        <v>0</v>
      </c>
    </row>
    <row r="447" spans="21:22">
      <c r="U447" s="1346">
        <f t="shared" si="142"/>
        <v>0</v>
      </c>
      <c r="V447" s="1340">
        <v>0</v>
      </c>
    </row>
    <row r="448" spans="21:22">
      <c r="U448" s="1346">
        <f t="shared" si="142"/>
        <v>0</v>
      </c>
      <c r="V448" s="1340">
        <v>0</v>
      </c>
    </row>
    <row r="449" spans="21:22">
      <c r="U449" s="1346">
        <f t="shared" si="142"/>
        <v>0</v>
      </c>
      <c r="V449" s="1340">
        <v>0</v>
      </c>
    </row>
    <row r="450" spans="21:22">
      <c r="U450" s="1346">
        <f t="shared" si="142"/>
        <v>0</v>
      </c>
      <c r="V450" s="1340">
        <v>0</v>
      </c>
    </row>
    <row r="451" spans="21:22">
      <c r="U451" s="1346">
        <f t="shared" si="142"/>
        <v>0</v>
      </c>
      <c r="V451" s="1340">
        <v>0</v>
      </c>
    </row>
    <row r="452" spans="21:22">
      <c r="U452" s="1346">
        <f t="shared" si="142"/>
        <v>0</v>
      </c>
      <c r="V452" s="1340">
        <v>0</v>
      </c>
    </row>
    <row r="453" spans="21:22">
      <c r="U453" s="1346">
        <f t="shared" si="142"/>
        <v>0</v>
      </c>
      <c r="V453" s="1340">
        <v>0</v>
      </c>
    </row>
    <row r="454" spans="21:22">
      <c r="U454" s="1346">
        <f t="shared" si="142"/>
        <v>0</v>
      </c>
      <c r="V454" s="1340">
        <v>0</v>
      </c>
    </row>
    <row r="455" spans="21:22">
      <c r="U455" s="1346">
        <f t="shared" si="142"/>
        <v>0</v>
      </c>
      <c r="V455" s="1340">
        <v>0</v>
      </c>
    </row>
  </sheetData>
  <conditionalFormatting sqref="G4:J4">
    <cfRule type="cellIs" dxfId="52" priority="1" stopIfTrue="1" operator="equal">
      <formula>#REF!</formula>
    </cfRule>
  </conditionalFormatting>
  <conditionalFormatting sqref="K4">
    <cfRule type="cellIs" dxfId="51" priority="2" stopIfTrue="1" operator="equal">
      <formula>#REF!</formula>
    </cfRule>
  </conditionalFormatting>
  <conditionalFormatting sqref="U1:V1">
    <cfRule type="cellIs" dxfId="50" priority="3" operator="equal">
      <formula>"Check"</formula>
    </cfRule>
  </conditionalFormatting>
  <pageMargins left="0.74803149606299213" right="0.74803149606299213" top="0.98425196850393704" bottom="0.98425196850393704" header="0.51181102362204722" footer="0.51181102362204722"/>
  <pageSetup orientation="portrait" r:id="rId1"/>
  <headerFooter alignWithMargins="0">
    <oddFooter>&amp;LIB-Competition Preliminary Case&amp;RPage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rgb="FF86654A"/>
  </sheetPr>
  <dimension ref="A1:JC453"/>
  <sheetViews>
    <sheetView showGridLines="0" topLeftCell="A2" zoomScale="115" zoomScaleSheetLayoutView="100" workbookViewId="0">
      <pane xSplit="5" ySplit="7" topLeftCell="F30" activePane="bottomRight" state="frozen"/>
      <selection pane="topRight" activeCell="V123" sqref="V123"/>
      <selection pane="bottomLeft" activeCell="V123" sqref="V123"/>
      <selection pane="bottomRight" activeCell="C6" sqref="C6:Q57"/>
    </sheetView>
  </sheetViews>
  <sheetFormatPr defaultColWidth="0" defaultRowHeight="10.199999999999999" zeroHeight="1"/>
  <cols>
    <col min="1" max="1" width="2.44140625" style="3" customWidth="1"/>
    <col min="2" max="2" width="1" style="3" customWidth="1"/>
    <col min="3" max="3" width="24.44140625" style="3" customWidth="1"/>
    <col min="4" max="4" width="19.33203125" style="3" customWidth="1"/>
    <col min="5" max="5" width="10.44140625" style="3" customWidth="1"/>
    <col min="6" max="6" width="29.6640625" style="918" customWidth="1"/>
    <col min="7" max="7" width="7.33203125" style="3" customWidth="1"/>
    <col min="8" max="9" width="7.44140625" style="3" customWidth="1"/>
    <col min="10" max="10" width="8.109375" style="3" bestFit="1" customWidth="1"/>
    <col min="11" max="19" width="7.44140625" style="3" customWidth="1"/>
    <col min="20" max="20" width="2.44140625" style="3" customWidth="1"/>
    <col min="21" max="22" width="4.44140625" style="3" customWidth="1"/>
    <col min="23" max="23" width="2.44140625" style="3" customWidth="1"/>
    <col min="24" max="258" width="9.44140625" style="3" hidden="1" customWidth="1"/>
    <col min="259" max="263" width="0" style="3" hidden="1" customWidth="1"/>
    <col min="264" max="16384" width="9.44140625" style="3" hidden="1"/>
  </cols>
  <sheetData>
    <row r="1" spans="1:99" hidden="1">
      <c r="A1" s="32"/>
      <c r="B1" s="32"/>
      <c r="C1" s="32"/>
      <c r="D1" s="32"/>
      <c r="E1" s="32"/>
    </row>
    <row r="2" spans="1:99" s="26" customFormat="1" ht="13.2">
      <c r="A2" s="36"/>
      <c r="B2" s="36" t="str">
        <f>'DCF - Assumptions (old)'!$F$8&amp;" | Discounted Cash Flows - Financial Statements"</f>
        <v>Bumble INC | Discounted Cash Flows - Financial Statements</v>
      </c>
      <c r="C2" s="35"/>
      <c r="F2" s="919"/>
      <c r="U2" s="34" t="str">
        <f>IF(V7=U7,"OK","Check")</f>
        <v>OK</v>
      </c>
      <c r="V2" s="34" t="str">
        <f>IF(U6=V6,"OK","Check")</f>
        <v>OK</v>
      </c>
    </row>
    <row r="3" spans="1:99" s="32" customFormat="1" ht="2.25" customHeight="1">
      <c r="A3" s="33"/>
      <c r="B3" s="33"/>
      <c r="F3" s="920"/>
      <c r="T3" s="31"/>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row>
    <row r="4" spans="1:99" s="28" customFormat="1" ht="3" customHeight="1">
      <c r="A4" s="29"/>
      <c r="B4" s="29"/>
      <c r="F4" s="921"/>
      <c r="T4" s="27"/>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row>
    <row r="5" spans="1:99" ht="11.25" customHeight="1">
      <c r="G5" s="847"/>
      <c r="H5" s="847"/>
      <c r="I5" s="847"/>
      <c r="J5" s="847"/>
      <c r="K5" s="847"/>
      <c r="L5" s="1089"/>
      <c r="M5" s="1089"/>
      <c r="N5" s="1089"/>
      <c r="O5" s="1089"/>
      <c r="P5" s="1089"/>
      <c r="Q5" s="1089"/>
      <c r="R5" s="1089"/>
      <c r="S5" s="1089"/>
    </row>
    <row r="6" spans="1:99" ht="12">
      <c r="A6" s="19"/>
      <c r="B6" s="19"/>
      <c r="C6" s="1147" t="s">
        <v>894</v>
      </c>
      <c r="D6" s="1148"/>
      <c r="E6" s="1148"/>
      <c r="F6" s="1149"/>
      <c r="G6" s="1148"/>
      <c r="H6" s="1148"/>
      <c r="I6" s="1148"/>
      <c r="J6" s="1148"/>
      <c r="K6" s="1148"/>
      <c r="L6" s="1148"/>
      <c r="M6" s="1148"/>
      <c r="N6" s="1148"/>
      <c r="O6" s="1148"/>
      <c r="P6" s="1148"/>
      <c r="Q6" s="1148"/>
      <c r="R6" s="1148"/>
      <c r="S6" s="1148"/>
      <c r="U6" s="42">
        <f>ROWS(C6:C155)</f>
        <v>150</v>
      </c>
      <c r="V6" s="24">
        <v>150</v>
      </c>
      <c r="W6" s="19"/>
      <c r="X6" s="19"/>
      <c r="Y6" s="19"/>
      <c r="Z6" s="19"/>
      <c r="AA6" s="19"/>
      <c r="AB6" s="19"/>
      <c r="AC6" s="19"/>
      <c r="AD6" s="19"/>
      <c r="AE6" s="19"/>
      <c r="AF6" s="19"/>
      <c r="AG6" s="19"/>
      <c r="AH6" s="19"/>
      <c r="AI6" s="19"/>
      <c r="AJ6" s="19"/>
      <c r="AK6" s="19"/>
      <c r="AL6" s="19"/>
    </row>
    <row r="7" spans="1:99" ht="13.5" customHeight="1">
      <c r="G7" s="40"/>
      <c r="H7" s="40"/>
      <c r="I7" s="40"/>
      <c r="J7" s="39"/>
      <c r="K7" s="847"/>
      <c r="L7" s="1089" t="str">
        <f>'DCF - Assumptions (old)'!$L$6</f>
        <v>Projected Fiscal Years Ending June 31</v>
      </c>
      <c r="M7" s="1089"/>
      <c r="N7" s="1089"/>
      <c r="O7" s="1089"/>
      <c r="P7" s="1089"/>
      <c r="Q7" s="1089"/>
      <c r="R7" s="1089"/>
      <c r="S7" s="1089"/>
      <c r="U7" s="93"/>
      <c r="V7" s="24"/>
    </row>
    <row r="8" spans="1:99" ht="13.5" customHeight="1" thickBot="1">
      <c r="A8" s="57"/>
      <c r="B8" s="57"/>
      <c r="C8" s="57" t="str">
        <f>'DCF - Outputs'!C7</f>
        <v>* All amounts in millions of US dollars except per share and multiples</v>
      </c>
      <c r="D8" s="57"/>
      <c r="E8" s="57"/>
      <c r="F8" s="923"/>
      <c r="G8" s="85">
        <f>+'DCF - Assumptions (old)'!G7</f>
        <v>2019</v>
      </c>
      <c r="H8" s="85">
        <f>+'DCF - Assumptions (old)'!H7</f>
        <v>2020</v>
      </c>
      <c r="I8" s="85">
        <f>+'DCF - Assumptions (old)'!I7</f>
        <v>2021</v>
      </c>
      <c r="J8" s="85">
        <f>+'DCF - Assumptions (old)'!J7</f>
        <v>2022</v>
      </c>
      <c r="K8" s="85">
        <f>+'DCF - Assumptions (old)'!K7</f>
        <v>2023</v>
      </c>
      <c r="L8" s="85">
        <f>+'DCF - Assumptions (old)'!L7</f>
        <v>2024</v>
      </c>
      <c r="M8" s="85">
        <f>+'DCF - Assumptions (old)'!M7</f>
        <v>2025</v>
      </c>
      <c r="N8" s="85">
        <f>+'DCF - Assumptions (old)'!N7</f>
        <v>2026</v>
      </c>
      <c r="O8" s="85">
        <f>+'DCF - Assumptions (old)'!O7</f>
        <v>2027</v>
      </c>
      <c r="P8" s="85">
        <f>+'DCF - Assumptions (old)'!P7</f>
        <v>2028</v>
      </c>
      <c r="Q8" s="85">
        <f>+'DCF - Assumptions (old)'!Q7</f>
        <v>2029</v>
      </c>
      <c r="R8" s="85">
        <f>+'DCF - Assumptions (old)'!R7</f>
        <v>2030</v>
      </c>
      <c r="S8" s="85">
        <f>+'DCF - Assumptions (old)'!S7</f>
        <v>2031</v>
      </c>
      <c r="U8" s="93">
        <f t="shared" ref="U8" si="0">IF(NOT(ISBLANK(C8)), 1, 0)</f>
        <v>1</v>
      </c>
      <c r="V8" s="24">
        <v>1</v>
      </c>
    </row>
    <row r="9" spans="1:99" ht="13.5" customHeight="1">
      <c r="A9" s="20"/>
      <c r="B9" s="20"/>
      <c r="C9" s="853" t="s">
        <v>1190</v>
      </c>
      <c r="D9" s="32"/>
      <c r="E9" s="32"/>
      <c r="F9" s="920"/>
      <c r="G9" s="1145">
        <v>488.94</v>
      </c>
      <c r="H9" s="1145">
        <v>582.18200000000002</v>
      </c>
      <c r="I9" s="1145">
        <v>760.91</v>
      </c>
      <c r="J9" s="1145">
        <v>903.50300000000004</v>
      </c>
      <c r="K9" s="1145">
        <v>1051.83</v>
      </c>
      <c r="L9" s="564">
        <f>'DCF - Assumptions'!L92</f>
        <v>1278.226743738649</v>
      </c>
      <c r="M9" s="564">
        <f>'DCF - Assumptions'!M92</f>
        <v>1562.1187544339082</v>
      </c>
      <c r="N9" s="564">
        <f>'DCF - Assumptions'!N92</f>
        <v>1917.7398223858147</v>
      </c>
      <c r="O9" s="564">
        <f>'DCF - Assumptions'!O92</f>
        <v>2383.9369385812006</v>
      </c>
      <c r="P9" s="564">
        <f>'DCF - Assumptions'!P92</f>
        <v>2980.545632368242</v>
      </c>
      <c r="Q9" s="564">
        <f>'DCF - Assumptions'!Q92</f>
        <v>3750.6959718718617</v>
      </c>
      <c r="R9" s="564">
        <f>'DCF - Assumptions'!R92</f>
        <v>4776.0862797942809</v>
      </c>
      <c r="S9" s="564">
        <f>'DCF - Assumptions'!S92</f>
        <v>6065.9628035452497</v>
      </c>
      <c r="U9" s="93">
        <v>1</v>
      </c>
      <c r="V9" s="24">
        <v>1</v>
      </c>
    </row>
    <row r="10" spans="1:99" ht="13.5" customHeight="1">
      <c r="C10" s="119" t="s">
        <v>1237</v>
      </c>
      <c r="D10" s="1"/>
      <c r="E10" s="1"/>
      <c r="F10" s="924"/>
      <c r="G10" s="846"/>
      <c r="H10" s="355">
        <f>H9/G9-1</f>
        <v>0.1907023356649078</v>
      </c>
      <c r="I10" s="355">
        <f t="shared" ref="I10:K10" si="1">I9/H9-1</f>
        <v>0.30699678107533379</v>
      </c>
      <c r="J10" s="355">
        <f t="shared" si="1"/>
        <v>0.18739798399285079</v>
      </c>
      <c r="K10" s="355">
        <f t="shared" si="1"/>
        <v>0.16416879634046588</v>
      </c>
      <c r="L10" s="355">
        <f t="shared" ref="L10:S10" si="2">IFERROR(L9/K9-1,0)</f>
        <v>0.2152408124303824</v>
      </c>
      <c r="M10" s="355">
        <f t="shared" si="2"/>
        <v>0.2220983186949379</v>
      </c>
      <c r="N10" s="355">
        <f t="shared" si="2"/>
        <v>0.22765303018257343</v>
      </c>
      <c r="O10" s="355">
        <f t="shared" si="2"/>
        <v>0.24309716612934551</v>
      </c>
      <c r="P10" s="355">
        <f t="shared" si="2"/>
        <v>0.25026194448839445</v>
      </c>
      <c r="Q10" s="355">
        <f t="shared" si="2"/>
        <v>0.2583924000826936</v>
      </c>
      <c r="R10" s="355">
        <f t="shared" si="2"/>
        <v>0.27338667692936913</v>
      </c>
      <c r="S10" s="355">
        <f t="shared" si="2"/>
        <v>0.2700697701396062</v>
      </c>
      <c r="T10"/>
      <c r="U10" s="93">
        <v>1</v>
      </c>
      <c r="V10" s="24">
        <v>1</v>
      </c>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r="11" spans="1:99" ht="13.5" customHeight="1">
      <c r="A11" s="20"/>
      <c r="B11" s="20"/>
      <c r="G11" s="84"/>
      <c r="H11" s="84"/>
      <c r="I11" s="84"/>
      <c r="J11" s="84"/>
      <c r="K11" s="83"/>
      <c r="M11" s="823"/>
      <c r="N11" s="823"/>
      <c r="O11" s="823"/>
      <c r="P11" s="823"/>
      <c r="Q11" s="823"/>
      <c r="R11" s="823"/>
      <c r="S11" s="823"/>
      <c r="U11" s="93">
        <v>0</v>
      </c>
      <c r="V11" s="24">
        <v>0</v>
      </c>
    </row>
    <row r="12" spans="1:99" ht="13.5" customHeight="1">
      <c r="A12" s="20"/>
      <c r="B12" s="20"/>
      <c r="C12" s="3" t="s">
        <v>899</v>
      </c>
      <c r="G12" s="82">
        <v>-139.767</v>
      </c>
      <c r="H12" s="82">
        <v>-157.41900000000001</v>
      </c>
      <c r="I12" s="82">
        <v>-205.17099999999999</v>
      </c>
      <c r="J12" s="82">
        <v>-249.49</v>
      </c>
      <c r="K12" s="82">
        <v>-307.83499999999998</v>
      </c>
      <c r="L12" s="559">
        <f>'DCF - Assumptions'!L101</f>
        <v>-363.97059928918515</v>
      </c>
      <c r="M12" s="559">
        <f>'DCF - Assumptions'!M101</f>
        <v>-459.63110434297454</v>
      </c>
      <c r="N12" s="559">
        <f>'DCF - Assumptions'!N101</f>
        <v>-576.9056335011735</v>
      </c>
      <c r="O12" s="559">
        <f>'DCF - Assumptions'!O101</f>
        <v>-727.11663315757085</v>
      </c>
      <c r="P12" s="559">
        <f>'DCF - Assumptions'!P101</f>
        <v>-917.18623571024602</v>
      </c>
      <c r="Q12" s="559">
        <f>'DCF - Assumptions'!Q101</f>
        <v>-1183.4411036912516</v>
      </c>
      <c r="R12" s="559">
        <f>'DCF - Assumptions'!R101</f>
        <v>-1525.9939288744188</v>
      </c>
      <c r="S12" s="559">
        <f>'DCF - Assumptions'!S101</f>
        <v>-1965.8723210903297</v>
      </c>
      <c r="U12" s="93">
        <v>1</v>
      </c>
      <c r="V12" s="24">
        <v>1</v>
      </c>
    </row>
    <row r="13" spans="1:99" ht="13.5" customHeight="1">
      <c r="A13" s="20"/>
      <c r="B13" s="20"/>
      <c r="C13" s="78" t="s">
        <v>900</v>
      </c>
      <c r="D13" s="78"/>
      <c r="E13" s="78"/>
      <c r="F13" s="925"/>
      <c r="G13" s="211">
        <f>SUM(G12)</f>
        <v>-139.767</v>
      </c>
      <c r="H13" s="211">
        <f t="shared" ref="H13:S13" si="3">SUM(H12)</f>
        <v>-157.41900000000001</v>
      </c>
      <c r="I13" s="211">
        <f t="shared" si="3"/>
        <v>-205.17099999999999</v>
      </c>
      <c r="J13" s="211">
        <f t="shared" si="3"/>
        <v>-249.49</v>
      </c>
      <c r="K13" s="211">
        <f t="shared" si="3"/>
        <v>-307.83499999999998</v>
      </c>
      <c r="L13" s="211">
        <f t="shared" si="3"/>
        <v>-363.97059928918515</v>
      </c>
      <c r="M13" s="211">
        <f t="shared" si="3"/>
        <v>-459.63110434297454</v>
      </c>
      <c r="N13" s="211">
        <f t="shared" si="3"/>
        <v>-576.9056335011735</v>
      </c>
      <c r="O13" s="211">
        <f t="shared" si="3"/>
        <v>-727.11663315757085</v>
      </c>
      <c r="P13" s="211">
        <f t="shared" si="3"/>
        <v>-917.18623571024602</v>
      </c>
      <c r="Q13" s="211">
        <f t="shared" si="3"/>
        <v>-1183.4411036912516</v>
      </c>
      <c r="R13" s="211">
        <f t="shared" si="3"/>
        <v>-1525.9939288744188</v>
      </c>
      <c r="S13" s="211">
        <f t="shared" si="3"/>
        <v>-1965.8723210903297</v>
      </c>
      <c r="U13" s="93">
        <v>1</v>
      </c>
      <c r="V13" s="24">
        <v>1</v>
      </c>
    </row>
    <row r="14" spans="1:99" ht="13.5" customHeight="1">
      <c r="C14" s="119" t="s">
        <v>1238</v>
      </c>
      <c r="D14" s="1"/>
      <c r="E14" s="1"/>
      <c r="F14" s="924"/>
      <c r="G14" s="355">
        <f>G13/G9</f>
        <v>-0.28585716038777764</v>
      </c>
      <c r="H14" s="355">
        <f>H13/H9</f>
        <v>-0.27039482498600093</v>
      </c>
      <c r="I14" s="355">
        <f>I13/I9</f>
        <v>-0.2696389848996596</v>
      </c>
      <c r="J14" s="355">
        <f>J13/J9</f>
        <v>-0.27613632716216768</v>
      </c>
      <c r="K14" s="355">
        <f>K13/K9</f>
        <v>-0.29266611524676039</v>
      </c>
      <c r="L14" s="355">
        <v>0.4</v>
      </c>
      <c r="M14" s="355">
        <v>0.4</v>
      </c>
      <c r="N14" s="355">
        <v>0.4</v>
      </c>
      <c r="O14" s="355">
        <v>0.4</v>
      </c>
      <c r="P14" s="355">
        <v>0.4</v>
      </c>
      <c r="Q14" s="355">
        <v>0.4</v>
      </c>
      <c r="R14" s="355">
        <v>0.4</v>
      </c>
      <c r="S14" s="355">
        <v>0.4</v>
      </c>
      <c r="T14"/>
      <c r="U14" s="93">
        <v>1</v>
      </c>
      <c r="V14" s="24">
        <v>1</v>
      </c>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r="15" spans="1:99" ht="13.5" customHeight="1">
      <c r="A15" s="20"/>
      <c r="B15" s="20"/>
      <c r="C15" s="23"/>
      <c r="G15" s="6"/>
      <c r="H15" s="6"/>
      <c r="I15" s="6"/>
      <c r="J15" s="6"/>
      <c r="K15" s="6"/>
      <c r="L15" s="6"/>
      <c r="M15" s="6"/>
      <c r="N15" s="6"/>
      <c r="O15" s="6"/>
      <c r="P15" s="6"/>
      <c r="Q15" s="6"/>
      <c r="R15" s="6"/>
      <c r="S15" s="6"/>
      <c r="U15" s="93">
        <v>0</v>
      </c>
      <c r="V15" s="24">
        <v>0</v>
      </c>
    </row>
    <row r="16" spans="1:99" ht="13.5" customHeight="1">
      <c r="A16" s="20"/>
      <c r="B16" s="20"/>
      <c r="C16" s="78" t="s">
        <v>902</v>
      </c>
      <c r="D16" s="78"/>
      <c r="E16" s="78"/>
      <c r="F16" s="925"/>
      <c r="G16" s="211">
        <f>G9+G13</f>
        <v>349.173</v>
      </c>
      <c r="H16" s="211">
        <f t="shared" ref="H16:S16" si="4">H9+H13</f>
        <v>424.76300000000003</v>
      </c>
      <c r="I16" s="211">
        <f t="shared" si="4"/>
        <v>555.73900000000003</v>
      </c>
      <c r="J16" s="211">
        <f t="shared" si="4"/>
        <v>654.01300000000003</v>
      </c>
      <c r="K16" s="211">
        <f t="shared" si="4"/>
        <v>743.99499999999989</v>
      </c>
      <c r="L16" s="564">
        <f t="shared" si="4"/>
        <v>914.25614444946382</v>
      </c>
      <c r="M16" s="564">
        <f t="shared" si="4"/>
        <v>1102.4876500909336</v>
      </c>
      <c r="N16" s="564">
        <f t="shared" si="4"/>
        <v>1340.8341888846412</v>
      </c>
      <c r="O16" s="564">
        <f t="shared" si="4"/>
        <v>1656.8203054236296</v>
      </c>
      <c r="P16" s="564">
        <f t="shared" si="4"/>
        <v>2063.3593966579961</v>
      </c>
      <c r="Q16" s="564">
        <f t="shared" si="4"/>
        <v>2567.2548681806102</v>
      </c>
      <c r="R16" s="564">
        <f t="shared" si="4"/>
        <v>3250.0923509198619</v>
      </c>
      <c r="S16" s="564">
        <f t="shared" si="4"/>
        <v>4100.0904824549198</v>
      </c>
      <c r="U16" s="93">
        <v>1</v>
      </c>
      <c r="V16" s="24">
        <v>1</v>
      </c>
    </row>
    <row r="17" spans="1:99" ht="13.5" customHeight="1">
      <c r="C17" s="119" t="s">
        <v>903</v>
      </c>
      <c r="D17" s="1"/>
      <c r="E17" s="1"/>
      <c r="F17" s="924"/>
      <c r="G17" s="355">
        <f t="shared" ref="G17:K17" si="5">G16/G9</f>
        <v>0.71414283961222236</v>
      </c>
      <c r="H17" s="355">
        <f t="shared" si="5"/>
        <v>0.72960517501399913</v>
      </c>
      <c r="I17" s="355">
        <f t="shared" si="5"/>
        <v>0.73036101510034046</v>
      </c>
      <c r="J17" s="355">
        <f t="shared" si="5"/>
        <v>0.72386367283783226</v>
      </c>
      <c r="K17" s="355">
        <f t="shared" si="5"/>
        <v>0.70733388475323955</v>
      </c>
      <c r="L17" s="355">
        <f t="shared" ref="L17:S17" si="6">IFERROR(L16/L9,0)</f>
        <v>0.71525349389528659</v>
      </c>
      <c r="M17" s="355">
        <f t="shared" si="6"/>
        <v>0.70576430054478223</v>
      </c>
      <c r="N17" s="355">
        <f t="shared" si="6"/>
        <v>0.69917419101019718</v>
      </c>
      <c r="O17" s="355">
        <f t="shared" si="6"/>
        <v>0.69499334424915027</v>
      </c>
      <c r="P17" s="355">
        <f t="shared" si="6"/>
        <v>0.69227572772255108</v>
      </c>
      <c r="Q17" s="355">
        <f t="shared" si="6"/>
        <v>0.68447426489206187</v>
      </c>
      <c r="R17" s="355">
        <f t="shared" si="6"/>
        <v>0.68049280530582301</v>
      </c>
      <c r="S17" s="355">
        <f t="shared" si="6"/>
        <v>0.67591751140620637</v>
      </c>
      <c r="T17"/>
      <c r="U17" s="93">
        <v>1</v>
      </c>
      <c r="V17" s="24">
        <v>1</v>
      </c>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r="18" spans="1:99" ht="13.5" customHeight="1">
      <c r="A18" s="20"/>
      <c r="B18" s="20"/>
      <c r="C18" s="23"/>
      <c r="G18" s="6"/>
      <c r="H18" s="6"/>
      <c r="I18" s="110"/>
      <c r="J18" s="110"/>
      <c r="K18" s="110"/>
      <c r="L18" s="6"/>
      <c r="M18" s="6"/>
      <c r="N18" s="6"/>
      <c r="O18" s="6"/>
      <c r="P18" s="6"/>
      <c r="Q18" s="6"/>
      <c r="R18" s="6"/>
      <c r="S18" s="6"/>
      <c r="U18" s="93">
        <v>0</v>
      </c>
      <c r="V18" s="24">
        <v>0</v>
      </c>
    </row>
    <row r="19" spans="1:99" ht="13.5" customHeight="1">
      <c r="A19" s="20"/>
      <c r="B19" s="20"/>
      <c r="C19" s="81" t="s">
        <v>1239</v>
      </c>
      <c r="G19" s="82">
        <v>-142.90199999999999</v>
      </c>
      <c r="H19" s="82">
        <v>-163.745</v>
      </c>
      <c r="I19" s="82">
        <v>-211.71100000000001</v>
      </c>
      <c r="J19" s="82">
        <v>-249.26900000000001</v>
      </c>
      <c r="K19" s="82">
        <v>-270.38</v>
      </c>
      <c r="L19" s="559">
        <f>'DCF - Assumptions'!L106</f>
        <v>-326.16252316395611</v>
      </c>
      <c r="M19" s="559">
        <f>'DCF - Assumptions'!M106</f>
        <v>-388.11089907268178</v>
      </c>
      <c r="N19" s="559">
        <f>'DCF - Assumptions'!N106</f>
        <v>-459.83439386780077</v>
      </c>
      <c r="O19" s="559">
        <f>'DCF - Assumptions'!O106</f>
        <v>-552.82596085648527</v>
      </c>
      <c r="P19" s="559">
        <f>'DCF - Assumptions'!P106</f>
        <v>-678.42293110177786</v>
      </c>
      <c r="Q19" s="559">
        <f>'DCF - Assumptions'!Q106</f>
        <v>-824.83702160947189</v>
      </c>
      <c r="R19" s="559">
        <f>'DCF - Assumptions'!R106</f>
        <v>-1020.0204686232343</v>
      </c>
      <c r="S19" s="559">
        <f>'DCF - Assumptions'!S106</f>
        <v>-1261.8420304882086</v>
      </c>
      <c r="U19" s="93">
        <v>1</v>
      </c>
      <c r="V19" s="24">
        <v>1</v>
      </c>
    </row>
    <row r="20" spans="1:99" ht="13.5" customHeight="1">
      <c r="A20" s="20"/>
      <c r="B20" s="20"/>
      <c r="C20" s="81" t="s">
        <v>1240</v>
      </c>
      <c r="G20" s="82">
        <v>-67.078999999999994</v>
      </c>
      <c r="H20" s="82">
        <v>-223.52199999999999</v>
      </c>
      <c r="I20" s="82">
        <v>-265.738</v>
      </c>
      <c r="J20" s="82">
        <v>-319.3</v>
      </c>
      <c r="K20" s="82">
        <v>-221.649</v>
      </c>
      <c r="L20" s="559">
        <f>'DCF - Assumptions'!L111</f>
        <v>-399.86785364805661</v>
      </c>
      <c r="M20" s="559">
        <f>'DCF - Assumptions'!M111</f>
        <v>-539.67714673093099</v>
      </c>
      <c r="N20" s="559">
        <f>'DCF - Assumptions'!N111</f>
        <v>-634.47516944979805</v>
      </c>
      <c r="O20" s="559">
        <f>'DCF - Assumptions'!O111</f>
        <v>-764.89556368272042</v>
      </c>
      <c r="P20" s="559">
        <f>'DCF - Assumptions'!P111</f>
        <v>-917.87694625942709</v>
      </c>
      <c r="Q20" s="559">
        <f>'DCF - Assumptions'!Q111</f>
        <v>-1213.6974955340961</v>
      </c>
      <c r="R20" s="559">
        <f>'DCF - Assumptions'!R111</f>
        <v>-1555.7867150179795</v>
      </c>
      <c r="S20" s="559">
        <f>'DCF - Assumptions'!S111</f>
        <v>-1952.0182721322026</v>
      </c>
      <c r="U20" s="93">
        <v>1</v>
      </c>
      <c r="V20" s="24">
        <v>1</v>
      </c>
    </row>
    <row r="21" spans="1:99" ht="13.5" customHeight="1">
      <c r="A21" s="20"/>
      <c r="B21" s="20"/>
      <c r="C21" s="81" t="s">
        <v>1205</v>
      </c>
      <c r="G21" s="82">
        <v>-39.204999999999998</v>
      </c>
      <c r="H21" s="82">
        <v>-51.081000000000003</v>
      </c>
      <c r="I21" s="82">
        <v>-105.917</v>
      </c>
      <c r="J21" s="82">
        <v>-98.575000000000003</v>
      </c>
      <c r="K21" s="82">
        <v>-130.565</v>
      </c>
      <c r="L21" s="559">
        <f>'DCF - Assumptions'!L116</f>
        <v>-158.93850043715815</v>
      </c>
      <c r="M21" s="559">
        <f>'DCF - Assumptions'!M116</f>
        <v>-204.2630620666836</v>
      </c>
      <c r="N21" s="559">
        <f>'DCF - Assumptions'!N116</f>
        <v>-262.19737396178726</v>
      </c>
      <c r="O21" s="559">
        <f>'DCF - Assumptions'!O116</f>
        <v>-314.76380946468493</v>
      </c>
      <c r="P21" s="559">
        <f>'DCF - Assumptions'!P116</f>
        <v>-397.41498695150079</v>
      </c>
      <c r="Q21" s="559">
        <f>'DCF - Assumptions'!Q116</f>
        <v>-492.98916658187784</v>
      </c>
      <c r="R21" s="559">
        <f>'DCF - Assumptions'!R116</f>
        <v>-634.54446019854265</v>
      </c>
      <c r="S21" s="559">
        <f>'DCF - Assumptions'!S116</f>
        <v>-808.46150348932804</v>
      </c>
      <c r="U21" s="93">
        <v>1</v>
      </c>
      <c r="V21" s="24">
        <v>1</v>
      </c>
    </row>
    <row r="22" spans="1:99" ht="13.5" customHeight="1">
      <c r="A22" s="20"/>
      <c r="B22" s="20"/>
      <c r="C22" s="81" t="s">
        <v>1241</v>
      </c>
      <c r="F22" s="1055"/>
      <c r="G22" s="82">
        <v>-6.734</v>
      </c>
      <c r="H22" s="82">
        <v>-92.174999999999997</v>
      </c>
      <c r="I22" s="82">
        <v>-107.056</v>
      </c>
      <c r="J22" s="82">
        <v>-89.712999999999994</v>
      </c>
      <c r="K22" s="82">
        <v>-68.028000000000006</v>
      </c>
      <c r="L22" s="559">
        <f>-'DCF - Assumptions'!L173</f>
        <v>-203.83878048475535</v>
      </c>
      <c r="M22" s="559">
        <f>-'DCF - Assumptions'!M173</f>
        <v>-203.82205409597324</v>
      </c>
      <c r="N22" s="559">
        <f>-'DCF - Assumptions'!N173</f>
        <v>-268.40363584398705</v>
      </c>
      <c r="O22" s="559">
        <f>-'DCF - Assumptions'!O173</f>
        <v>-310.42940488004342</v>
      </c>
      <c r="P22" s="559">
        <f>-'DCF - Assumptions'!P173</f>
        <v>-410.21705209086457</v>
      </c>
      <c r="Q22" s="559">
        <f>-'DCF - Assumptions'!Q173</f>
        <v>-506.83412298944961</v>
      </c>
      <c r="R22" s="559">
        <f>-'DCF - Assumptions'!R173</f>
        <v>-645.71796627474282</v>
      </c>
      <c r="S22" s="559">
        <f>-'DCF - Assumptions'!S173</f>
        <v>-819.22860716997479</v>
      </c>
      <c r="U22" s="93">
        <v>1</v>
      </c>
      <c r="V22" s="24">
        <v>1</v>
      </c>
    </row>
    <row r="23" spans="1:99" ht="13.5" customHeight="1">
      <c r="A23" s="20"/>
      <c r="B23" s="20"/>
      <c r="C23" s="78" t="s">
        <v>664</v>
      </c>
      <c r="D23" s="78"/>
      <c r="E23" s="78"/>
      <c r="F23" s="925"/>
      <c r="G23" s="211">
        <f>SUM(G19:G22)</f>
        <v>-255.92</v>
      </c>
      <c r="H23" s="211">
        <f>SUM(H19:H22)</f>
        <v>-530.52300000000002</v>
      </c>
      <c r="I23" s="211">
        <f>SUM(I19:I22)</f>
        <v>-690.42200000000003</v>
      </c>
      <c r="J23" s="211">
        <f>SUM(J19:J22)</f>
        <v>-756.85699999999997</v>
      </c>
      <c r="K23" s="211">
        <f>SUM(K19:K22)</f>
        <v>-690.62200000000007</v>
      </c>
      <c r="L23" s="564">
        <f t="shared" ref="L23:S23" si="7">SUM(L19:L22)</f>
        <v>-1088.8076577339261</v>
      </c>
      <c r="M23" s="564">
        <f t="shared" si="7"/>
        <v>-1335.8731619662697</v>
      </c>
      <c r="N23" s="564">
        <f t="shared" si="7"/>
        <v>-1624.9105731233731</v>
      </c>
      <c r="O23" s="564">
        <f t="shared" si="7"/>
        <v>-1942.9147388839342</v>
      </c>
      <c r="P23" s="564">
        <f t="shared" si="7"/>
        <v>-2403.9319164035701</v>
      </c>
      <c r="Q23" s="564">
        <f t="shared" si="7"/>
        <v>-3038.3578067148951</v>
      </c>
      <c r="R23" s="564">
        <f t="shared" si="7"/>
        <v>-3856.0696101144995</v>
      </c>
      <c r="S23" s="564">
        <f t="shared" si="7"/>
        <v>-4841.5504132797141</v>
      </c>
      <c r="U23" s="93">
        <v>1</v>
      </c>
      <c r="V23" s="24">
        <v>1</v>
      </c>
    </row>
    <row r="24" spans="1:99" ht="13.5" customHeight="1">
      <c r="C24" s="119" t="s">
        <v>906</v>
      </c>
      <c r="D24" s="1"/>
      <c r="E24" s="1"/>
      <c r="F24" s="924"/>
      <c r="G24" s="355">
        <f>G23/G$9</f>
        <v>-0.52341800629934143</v>
      </c>
      <c r="H24" s="355">
        <f>H23/H$9</f>
        <v>-0.91126657986677706</v>
      </c>
      <c r="I24" s="355">
        <f t="shared" ref="I24" si="8">I23/I$9</f>
        <v>-0.90736355153697557</v>
      </c>
      <c r="J24" s="355">
        <f t="shared" ref="J24" si="9">J23/J$9</f>
        <v>-0.83769173981713385</v>
      </c>
      <c r="K24" s="355">
        <f>K23/K$9</f>
        <v>-0.65659089396575498</v>
      </c>
      <c r="L24" s="355">
        <f t="shared" ref="L24:S24" si="10">IFERROR(L23/L9,0)</f>
        <v>-0.85181104453291567</v>
      </c>
      <c r="M24" s="355">
        <f t="shared" si="10"/>
        <v>-0.85516748209733451</v>
      </c>
      <c r="N24" s="355">
        <f t="shared" si="10"/>
        <v>-0.84730501716435147</v>
      </c>
      <c r="O24" s="355">
        <f t="shared" si="10"/>
        <v>-0.81500257302957824</v>
      </c>
      <c r="P24" s="355">
        <f t="shared" si="10"/>
        <v>-0.8065408864394692</v>
      </c>
      <c r="Q24" s="355">
        <f t="shared" si="10"/>
        <v>-0.81007840398179232</v>
      </c>
      <c r="R24" s="355">
        <f t="shared" si="10"/>
        <v>-0.80737017386557575</v>
      </c>
      <c r="S24" s="355">
        <f t="shared" si="10"/>
        <v>-0.79815036294816577</v>
      </c>
      <c r="T24"/>
      <c r="U24" s="93">
        <v>1</v>
      </c>
      <c r="V24" s="24">
        <v>1</v>
      </c>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r="25" spans="1:99" ht="13.5" customHeight="1">
      <c r="C25" s="119"/>
      <c r="D25" s="1"/>
      <c r="E25" s="1"/>
      <c r="F25" s="924"/>
      <c r="G25" s="355"/>
      <c r="H25" s="355"/>
      <c r="I25" s="355"/>
      <c r="J25" s="355"/>
      <c r="K25" s="355"/>
      <c r="L25"/>
      <c r="M25"/>
      <c r="N25"/>
      <c r="O25"/>
      <c r="P25"/>
      <c r="Q25"/>
      <c r="R25"/>
      <c r="S25"/>
      <c r="T25"/>
      <c r="U25" s="93">
        <v>0</v>
      </c>
      <c r="V25" s="24">
        <v>0</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r="26" spans="1:99" ht="13.5" customHeight="1">
      <c r="A26"/>
      <c r="B26" s="20"/>
      <c r="C26" s="593" t="s">
        <v>907</v>
      </c>
      <c r="D26" s="32"/>
      <c r="E26" s="592"/>
      <c r="F26" s="926"/>
      <c r="G26" s="211">
        <f>G16+G23</f>
        <v>93.253000000000014</v>
      </c>
      <c r="H26" s="211">
        <f>H16+H23</f>
        <v>-105.75999999999999</v>
      </c>
      <c r="I26" s="211">
        <f>I16+I23</f>
        <v>-134.68299999999999</v>
      </c>
      <c r="J26" s="211">
        <f>J16+J23</f>
        <v>-102.84399999999994</v>
      </c>
      <c r="K26" s="211">
        <f>K16+K23</f>
        <v>53.37299999999982</v>
      </c>
      <c r="L26" s="564">
        <f t="shared" ref="L26:S26" si="11">L16+L23</f>
        <v>-174.55151328446232</v>
      </c>
      <c r="M26" s="564">
        <f t="shared" si="11"/>
        <v>-233.38551187533608</v>
      </c>
      <c r="N26" s="564">
        <f t="shared" si="11"/>
        <v>-284.07638423873186</v>
      </c>
      <c r="O26" s="564">
        <f t="shared" si="11"/>
        <v>-286.09443346030457</v>
      </c>
      <c r="P26" s="564">
        <f t="shared" si="11"/>
        <v>-340.57251974557403</v>
      </c>
      <c r="Q26" s="564">
        <f t="shared" si="11"/>
        <v>-471.10293853428493</v>
      </c>
      <c r="R26" s="564">
        <f t="shared" si="11"/>
        <v>-605.97725919463755</v>
      </c>
      <c r="S26" s="564">
        <f t="shared" si="11"/>
        <v>-741.45993082479436</v>
      </c>
      <c r="U26" s="93">
        <v>1</v>
      </c>
      <c r="V26" s="24">
        <v>1</v>
      </c>
    </row>
    <row r="27" spans="1:99" ht="13.5" customHeight="1">
      <c r="A27"/>
      <c r="B27" s="20"/>
      <c r="C27" s="594"/>
      <c r="E27" s="595"/>
      <c r="F27" s="927"/>
      <c r="G27" s="22"/>
      <c r="H27" s="22"/>
      <c r="I27" s="22"/>
      <c r="J27" s="22"/>
      <c r="K27" s="1031"/>
      <c r="L27" s="891"/>
      <c r="M27" s="891"/>
      <c r="N27"/>
      <c r="O27"/>
      <c r="P27"/>
      <c r="Q27"/>
      <c r="R27"/>
      <c r="S27"/>
      <c r="U27" s="93">
        <v>0</v>
      </c>
      <c r="V27" s="24">
        <v>0</v>
      </c>
    </row>
    <row r="28" spans="1:99" ht="13.5" customHeight="1">
      <c r="A28"/>
      <c r="B28" s="20"/>
      <c r="C28" s="1084" t="s">
        <v>908</v>
      </c>
      <c r="E28" s="595"/>
      <c r="F28" s="927"/>
      <c r="G28" s="82">
        <v>-1.2709999999999999</v>
      </c>
      <c r="H28" s="82">
        <v>-6.407</v>
      </c>
      <c r="I28" s="82">
        <v>3.16</v>
      </c>
      <c r="J28" s="82">
        <v>16.189</v>
      </c>
      <c r="K28" s="82">
        <v>-26.536999999999999</v>
      </c>
      <c r="L28" s="82">
        <v>0</v>
      </c>
      <c r="M28" s="82">
        <v>0</v>
      </c>
      <c r="N28" s="82">
        <v>0</v>
      </c>
      <c r="O28" s="82">
        <v>0</v>
      </c>
      <c r="P28" s="82">
        <v>0</v>
      </c>
      <c r="Q28" s="82">
        <v>0</v>
      </c>
      <c r="R28" s="82">
        <v>0</v>
      </c>
      <c r="S28" s="82">
        <v>0</v>
      </c>
      <c r="U28" s="93">
        <v>1</v>
      </c>
      <c r="V28" s="24">
        <v>1</v>
      </c>
    </row>
    <row r="29" spans="1:99" ht="13.5" customHeight="1">
      <c r="A29"/>
      <c r="B29" s="20"/>
      <c r="C29" s="1084" t="s">
        <v>498</v>
      </c>
      <c r="E29" s="595"/>
      <c r="F29" s="927"/>
      <c r="G29" s="82"/>
      <c r="H29" s="82"/>
      <c r="I29" s="82"/>
      <c r="J29" s="82"/>
      <c r="K29" s="82"/>
      <c r="L29" s="6">
        <f>'DCF - Assumptions'!L167</f>
        <v>0</v>
      </c>
      <c r="M29" s="6">
        <f>'DCF - Assumptions'!M167</f>
        <v>0</v>
      </c>
      <c r="N29" s="6">
        <f>'DCF - Assumptions'!N167</f>
        <v>0</v>
      </c>
      <c r="O29" s="6">
        <f>'DCF - Assumptions'!O167</f>
        <v>0</v>
      </c>
      <c r="P29" s="6">
        <f>'DCF - Assumptions'!P167</f>
        <v>0</v>
      </c>
      <c r="Q29" s="6">
        <f>'DCF - Assumptions'!Q167</f>
        <v>0</v>
      </c>
      <c r="R29" s="6">
        <f>'DCF - Assumptions'!R167</f>
        <v>0</v>
      </c>
      <c r="S29" s="6">
        <f>'DCF - Assumptions'!S167</f>
        <v>0</v>
      </c>
      <c r="U29" s="93">
        <v>1</v>
      </c>
      <c r="V29" s="24">
        <v>1</v>
      </c>
    </row>
    <row r="30" spans="1:99" ht="13.5" customHeight="1">
      <c r="A30" s="20"/>
      <c r="B30" s="20"/>
      <c r="C30" s="19" t="s">
        <v>1242</v>
      </c>
      <c r="D30" s="866"/>
      <c r="E30" s="1"/>
      <c r="F30" s="924"/>
      <c r="G30" s="82">
        <v>0</v>
      </c>
      <c r="H30" s="82">
        <v>-22.084</v>
      </c>
      <c r="I30" s="82">
        <v>-24.574000000000002</v>
      </c>
      <c r="J30" s="82">
        <v>-24.062999999999999</v>
      </c>
      <c r="K30" s="82">
        <v>-21.533999999999999</v>
      </c>
      <c r="L30" s="559">
        <f>'DCF - Capital Structure'!L36</f>
        <v>-15.917907005916643</v>
      </c>
      <c r="M30" s="559">
        <f>'DCF - Capital Structure'!M36</f>
        <v>-37.628806331896669</v>
      </c>
      <c r="N30" s="559">
        <f>'DCF - Capital Structure'!N36</f>
        <v>-40.699036577630025</v>
      </c>
      <c r="O30" s="559">
        <f>'DCF - Capital Structure'!O36</f>
        <v>-39.921196879075609</v>
      </c>
      <c r="P30" s="559">
        <f>'DCF - Capital Structure'!P36</f>
        <v>-40.075881349607457</v>
      </c>
      <c r="Q30" s="559">
        <f>'DCF - Capital Structure'!Q36</f>
        <v>-43.178763808394621</v>
      </c>
      <c r="R30" s="559">
        <f>'DCF - Capital Structure'!R36</f>
        <v>-44.822751097855573</v>
      </c>
      <c r="S30" s="559">
        <f>'DCF - Capital Structure'!S36</f>
        <v>-45.979716794577101</v>
      </c>
      <c r="U30" s="93">
        <v>1</v>
      </c>
      <c r="V30" s="24">
        <v>1</v>
      </c>
    </row>
    <row r="31" spans="1:99" ht="13.5" customHeight="1">
      <c r="A31" s="20"/>
      <c r="B31" s="20"/>
      <c r="C31" s="78" t="s">
        <v>912</v>
      </c>
      <c r="D31" s="32"/>
      <c r="E31" s="32"/>
      <c r="F31" s="920"/>
      <c r="G31" s="211">
        <f>G26+SUM(G28:G30)</f>
        <v>91.982000000000014</v>
      </c>
      <c r="H31" s="211">
        <f>H26+SUM(H28:H30)</f>
        <v>-134.25099999999998</v>
      </c>
      <c r="I31" s="211">
        <f>I26+SUM(I28:I30)</f>
        <v>-156.09699999999998</v>
      </c>
      <c r="J31" s="211">
        <f>J26+SUM(J28:J30)</f>
        <v>-110.71799999999993</v>
      </c>
      <c r="K31" s="211">
        <f>K26+SUM(K28:K30)</f>
        <v>5.301999999999822</v>
      </c>
      <c r="L31" s="211">
        <f t="shared" ref="L31:S31" si="12">L26+SUM(L28:L30)</f>
        <v>-190.46942029037896</v>
      </c>
      <c r="M31" s="211">
        <f t="shared" si="12"/>
        <v>-271.01431820723275</v>
      </c>
      <c r="N31" s="211">
        <f t="shared" si="12"/>
        <v>-324.77542081636187</v>
      </c>
      <c r="O31" s="211">
        <f t="shared" si="12"/>
        <v>-326.01563033938021</v>
      </c>
      <c r="P31" s="211">
        <f t="shared" si="12"/>
        <v>-380.6484010951815</v>
      </c>
      <c r="Q31" s="211">
        <f t="shared" si="12"/>
        <v>-514.28170234267952</v>
      </c>
      <c r="R31" s="211">
        <f t="shared" si="12"/>
        <v>-650.80001029249308</v>
      </c>
      <c r="S31" s="211">
        <f t="shared" si="12"/>
        <v>-787.4396476193715</v>
      </c>
      <c r="U31" s="93">
        <v>1</v>
      </c>
      <c r="V31" s="24">
        <v>1</v>
      </c>
    </row>
    <row r="32" spans="1:99" ht="13.5" customHeight="1">
      <c r="A32" s="20"/>
      <c r="B32" s="20"/>
      <c r="G32" s="61"/>
      <c r="H32" s="61"/>
      <c r="I32" s="61"/>
      <c r="J32" s="61"/>
      <c r="K32" s="865"/>
      <c r="L32" s="61"/>
      <c r="M32" s="61"/>
      <c r="N32" s="61"/>
      <c r="O32" s="61"/>
      <c r="P32" s="61"/>
      <c r="Q32" s="61"/>
      <c r="R32" s="61"/>
      <c r="S32" s="61"/>
      <c r="U32" s="93">
        <v>0</v>
      </c>
      <c r="V32" s="24">
        <v>0</v>
      </c>
    </row>
    <row r="33" spans="1:22" ht="13.5" customHeight="1">
      <c r="A33" s="20"/>
      <c r="B33" s="20"/>
      <c r="C33" s="1091" t="s">
        <v>1243</v>
      </c>
      <c r="D33" s="1091"/>
      <c r="E33" s="1091"/>
      <c r="F33" s="1092"/>
      <c r="G33" s="1093">
        <v>-6.1379999999999999</v>
      </c>
      <c r="H33" s="1093">
        <v>-8.4909999999999997</v>
      </c>
      <c r="I33" s="1093">
        <v>437.83699999999999</v>
      </c>
      <c r="J33" s="1093">
        <v>-3.4060000000000001</v>
      </c>
      <c r="K33" s="1093">
        <v>-7.17</v>
      </c>
      <c r="L33" s="1094">
        <f>-'DCF - Assumptions'!L189</f>
        <v>39.998578260979578</v>
      </c>
      <c r="M33" s="1094">
        <f>-'DCF - Assumptions'!M189</f>
        <v>56.913006823518877</v>
      </c>
      <c r="N33" s="1094">
        <f>-'DCF - Assumptions'!N189</f>
        <v>68.202838371435988</v>
      </c>
      <c r="O33" s="1094">
        <f>-'DCF - Assumptions'!O189</f>
        <v>68.463282371269841</v>
      </c>
      <c r="P33" s="1094">
        <f>-'DCF - Assumptions'!P189</f>
        <v>79.936164229988108</v>
      </c>
      <c r="Q33" s="1094">
        <f>-'DCF - Assumptions'!Q189</f>
        <v>107.99915749196269</v>
      </c>
      <c r="R33" s="1094">
        <f>-'DCF - Assumptions'!R189</f>
        <v>136.66800216142354</v>
      </c>
      <c r="S33" s="1094">
        <f>-'DCF - Assumptions'!S189</f>
        <v>165.36232600006801</v>
      </c>
      <c r="U33" s="93">
        <v>1</v>
      </c>
      <c r="V33" s="24">
        <v>1</v>
      </c>
    </row>
    <row r="34" spans="1:22" ht="13.5" customHeight="1">
      <c r="A34" s="20"/>
      <c r="B34" s="20"/>
      <c r="C34" s="23" t="s">
        <v>914</v>
      </c>
      <c r="G34" s="22">
        <f t="shared" ref="G34:S34" si="13">SUM(G31:G33)</f>
        <v>85.844000000000008</v>
      </c>
      <c r="H34" s="22">
        <f t="shared" si="13"/>
        <v>-142.74199999999996</v>
      </c>
      <c r="I34" s="22">
        <f t="shared" si="13"/>
        <v>281.74</v>
      </c>
      <c r="J34" s="22">
        <f t="shared" si="13"/>
        <v>-114.12399999999994</v>
      </c>
      <c r="K34" s="22">
        <f t="shared" si="13"/>
        <v>-1.868000000000178</v>
      </c>
      <c r="L34" s="22">
        <f t="shared" si="13"/>
        <v>-150.47084202939939</v>
      </c>
      <c r="M34" s="22">
        <f t="shared" si="13"/>
        <v>-214.10131138371386</v>
      </c>
      <c r="N34" s="22">
        <f t="shared" si="13"/>
        <v>-256.5725824449259</v>
      </c>
      <c r="O34" s="22">
        <f t="shared" si="13"/>
        <v>-257.55234796811038</v>
      </c>
      <c r="P34" s="22">
        <f t="shared" si="13"/>
        <v>-300.7122368651934</v>
      </c>
      <c r="Q34" s="22">
        <f t="shared" si="13"/>
        <v>-406.28254485071682</v>
      </c>
      <c r="R34" s="22">
        <f t="shared" si="13"/>
        <v>-514.1320081310696</v>
      </c>
      <c r="S34" s="22">
        <f t="shared" si="13"/>
        <v>-622.07732161930346</v>
      </c>
      <c r="U34" s="93">
        <v>1</v>
      </c>
      <c r="V34" s="24">
        <v>1</v>
      </c>
    </row>
    <row r="35" spans="1:22" ht="13.5" customHeight="1">
      <c r="A35" s="20"/>
      <c r="B35" s="20"/>
      <c r="C35" s="344"/>
      <c r="G35" s="22"/>
      <c r="H35" s="22"/>
      <c r="I35" s="22"/>
      <c r="J35" s="22"/>
      <c r="K35" s="22"/>
      <c r="L35" s="22"/>
      <c r="M35" s="22"/>
      <c r="N35" s="22"/>
      <c r="O35" s="22"/>
      <c r="P35" s="22"/>
      <c r="Q35" s="22"/>
      <c r="R35" s="22"/>
      <c r="S35" s="22"/>
      <c r="U35" s="93">
        <v>0</v>
      </c>
      <c r="V35" s="24">
        <v>0</v>
      </c>
    </row>
    <row r="36" spans="1:22" ht="13.5" customHeight="1">
      <c r="A36" s="20"/>
      <c r="B36" s="20"/>
      <c r="C36" s="3" t="s">
        <v>1244</v>
      </c>
      <c r="F36"/>
      <c r="G36" s="82">
        <v>-19.698</v>
      </c>
      <c r="H36" s="82">
        <v>-2.7250000000000001</v>
      </c>
      <c r="I36" s="82">
        <v>28.074999999999999</v>
      </c>
      <c r="J36" s="82">
        <v>34.378</v>
      </c>
      <c r="K36" s="82">
        <v>-2.3450000000000002</v>
      </c>
      <c r="L36" s="82">
        <v>0</v>
      </c>
      <c r="M36" s="82">
        <v>0</v>
      </c>
      <c r="N36" s="82">
        <v>0</v>
      </c>
      <c r="O36" s="82">
        <v>0</v>
      </c>
      <c r="P36" s="82">
        <v>0</v>
      </c>
      <c r="Q36" s="82">
        <v>0</v>
      </c>
      <c r="R36" s="82">
        <v>0</v>
      </c>
      <c r="S36" s="82">
        <v>0</v>
      </c>
      <c r="U36" s="93">
        <v>1</v>
      </c>
      <c r="V36" s="24">
        <v>1</v>
      </c>
    </row>
    <row r="37" spans="1:22" ht="13.5" customHeight="1">
      <c r="A37" s="20"/>
      <c r="B37" s="20"/>
      <c r="C37" s="78" t="s">
        <v>915</v>
      </c>
      <c r="D37" s="32"/>
      <c r="E37" s="32"/>
      <c r="F37" s="920"/>
      <c r="G37" s="211">
        <f>G34+G36</f>
        <v>66.146000000000015</v>
      </c>
      <c r="H37" s="211">
        <f t="shared" ref="H37:S37" si="14">H34+H36</f>
        <v>-145.46699999999996</v>
      </c>
      <c r="I37" s="211">
        <f t="shared" si="14"/>
        <v>309.815</v>
      </c>
      <c r="J37" s="211">
        <f t="shared" si="14"/>
        <v>-79.745999999999938</v>
      </c>
      <c r="K37" s="211">
        <f t="shared" si="14"/>
        <v>-4.2130000000001786</v>
      </c>
      <c r="L37" s="211">
        <f t="shared" si="14"/>
        <v>-150.47084202939939</v>
      </c>
      <c r="M37" s="211">
        <f t="shared" si="14"/>
        <v>-214.10131138371386</v>
      </c>
      <c r="N37" s="211">
        <f t="shared" si="14"/>
        <v>-256.5725824449259</v>
      </c>
      <c r="O37" s="211">
        <f t="shared" si="14"/>
        <v>-257.55234796811038</v>
      </c>
      <c r="P37" s="211">
        <f t="shared" si="14"/>
        <v>-300.7122368651934</v>
      </c>
      <c r="Q37" s="211">
        <f t="shared" si="14"/>
        <v>-406.28254485071682</v>
      </c>
      <c r="R37" s="211">
        <f t="shared" si="14"/>
        <v>-514.1320081310696</v>
      </c>
      <c r="S37" s="211">
        <f t="shared" si="14"/>
        <v>-622.07732161930346</v>
      </c>
      <c r="U37" s="93">
        <v>1</v>
      </c>
      <c r="V37" s="24">
        <v>1</v>
      </c>
    </row>
    <row r="38" spans="1:22" ht="13.5" customHeight="1">
      <c r="A38" s="20"/>
      <c r="B38" s="20"/>
      <c r="G38" s="75"/>
      <c r="H38" s="75"/>
      <c r="I38" s="75"/>
      <c r="J38" s="75"/>
      <c r="K38" s="75"/>
      <c r="U38" s="93">
        <v>0</v>
      </c>
      <c r="V38" s="24">
        <v>0</v>
      </c>
    </row>
    <row r="39" spans="1:22" ht="13.5" customHeight="1">
      <c r="A39" s="20"/>
      <c r="B39" s="20"/>
      <c r="C39" s="583" t="s">
        <v>917</v>
      </c>
      <c r="D39" s="168"/>
      <c r="E39" s="168"/>
      <c r="F39" s="928"/>
      <c r="G39" s="857" t="s">
        <v>1245</v>
      </c>
      <c r="H39" s="857">
        <v>2909.3</v>
      </c>
      <c r="I39" s="857">
        <v>213.7</v>
      </c>
      <c r="J39" s="857">
        <v>129.4</v>
      </c>
      <c r="K39" s="857">
        <v>134.9</v>
      </c>
      <c r="L39" s="1151">
        <f>'DCF - Assumptions'!L217</f>
        <v>134.9</v>
      </c>
      <c r="M39" s="1151">
        <f>'DCF - Assumptions'!M217</f>
        <v>134.9</v>
      </c>
      <c r="N39" s="1151">
        <f>'DCF - Assumptions'!N217</f>
        <v>134.9</v>
      </c>
      <c r="O39" s="1151">
        <f>'DCF - Assumptions'!O217</f>
        <v>134.9</v>
      </c>
      <c r="P39" s="1151">
        <f>'DCF - Assumptions'!P217</f>
        <v>134.9</v>
      </c>
      <c r="Q39" s="1151">
        <f>'DCF - Assumptions'!Q217</f>
        <v>134.9</v>
      </c>
      <c r="R39" s="1151">
        <f>'DCF - Assumptions'!R217</f>
        <v>134.9</v>
      </c>
      <c r="S39" s="1151">
        <f>'DCF - Assumptions'!S217</f>
        <v>134.9</v>
      </c>
      <c r="U39" s="93">
        <v>1</v>
      </c>
      <c r="V39" s="24">
        <v>1</v>
      </c>
    </row>
    <row r="40" spans="1:22" ht="13.5" customHeight="1">
      <c r="A40" s="20"/>
      <c r="B40" s="20"/>
      <c r="C40" s="583" t="s">
        <v>918</v>
      </c>
      <c r="D40" s="168"/>
      <c r="E40" s="168"/>
      <c r="F40" s="928"/>
      <c r="G40" s="1146" t="str">
        <f>IFERROR(G37/G39,"n.a.")</f>
        <v>n.a.</v>
      </c>
      <c r="H40" s="1146">
        <f t="shared" ref="H40:J40" si="15">H37/H39</f>
        <v>-5.0000687450589471E-2</v>
      </c>
      <c r="I40" s="1146">
        <f t="shared" si="15"/>
        <v>1.4497660271408517</v>
      </c>
      <c r="J40" s="1146">
        <f t="shared" si="15"/>
        <v>-0.61627511591962858</v>
      </c>
      <c r="K40" s="1146">
        <f t="shared" ref="K40:S40" si="16">K37/K39</f>
        <v>-3.1230541141587683E-2</v>
      </c>
      <c r="L40" s="1146">
        <f t="shared" si="16"/>
        <v>-1.1154250706404698</v>
      </c>
      <c r="M40" s="1146">
        <f t="shared" si="16"/>
        <v>-1.5871112778629641</v>
      </c>
      <c r="N40" s="1146">
        <f t="shared" si="16"/>
        <v>-1.9019464969972268</v>
      </c>
      <c r="O40" s="1146">
        <f t="shared" si="16"/>
        <v>-1.9092093993188315</v>
      </c>
      <c r="P40" s="1146">
        <f t="shared" si="16"/>
        <v>-2.2291492725366449</v>
      </c>
      <c r="Q40" s="1146">
        <f t="shared" si="16"/>
        <v>-3.0117312442603175</v>
      </c>
      <c r="R40" s="1146">
        <f t="shared" si="16"/>
        <v>-3.8112083627210493</v>
      </c>
      <c r="S40" s="1152">
        <f t="shared" si="16"/>
        <v>-4.6113960090385726</v>
      </c>
      <c r="U40" s="93">
        <v>1</v>
      </c>
      <c r="V40" s="24">
        <v>1</v>
      </c>
    </row>
    <row r="41" spans="1:22" ht="13.5" customHeight="1">
      <c r="C41" s="344"/>
      <c r="K41" s="6"/>
      <c r="L41" s="6"/>
      <c r="U41" s="93">
        <v>0</v>
      </c>
      <c r="V41" s="24">
        <v>0</v>
      </c>
    </row>
    <row r="42" spans="1:22" ht="13.5" customHeight="1">
      <c r="A42" s="20"/>
      <c r="B42" s="20"/>
      <c r="C42" s="1091" t="s">
        <v>919</v>
      </c>
      <c r="D42" s="1091"/>
      <c r="E42" s="1091"/>
      <c r="F42" s="1092"/>
      <c r="G42" s="1093">
        <v>0</v>
      </c>
      <c r="H42" s="1093">
        <v>0</v>
      </c>
      <c r="I42" s="1093">
        <v>0</v>
      </c>
      <c r="J42" s="1093">
        <v>0</v>
      </c>
      <c r="K42" s="1093">
        <v>0</v>
      </c>
      <c r="L42" s="1090">
        <v>0</v>
      </c>
      <c r="M42" s="1090">
        <v>0</v>
      </c>
      <c r="N42" s="1090">
        <v>0</v>
      </c>
      <c r="O42" s="1090">
        <v>0</v>
      </c>
      <c r="P42" s="1090">
        <v>0</v>
      </c>
      <c r="Q42" s="1090">
        <v>0</v>
      </c>
      <c r="R42" s="1090">
        <v>0</v>
      </c>
      <c r="S42" s="1090">
        <v>0</v>
      </c>
      <c r="U42" s="93">
        <v>1</v>
      </c>
      <c r="V42" s="24">
        <v>1</v>
      </c>
    </row>
    <row r="43" spans="1:22" ht="13.5" customHeight="1">
      <c r="A43" s="900"/>
      <c r="B43" s="900"/>
      <c r="C43" s="3" t="s">
        <v>920</v>
      </c>
      <c r="G43" s="6">
        <f t="shared" ref="G43:S43" si="17">G42+G34</f>
        <v>85.844000000000008</v>
      </c>
      <c r="H43" s="6">
        <f t="shared" si="17"/>
        <v>-142.74199999999996</v>
      </c>
      <c r="I43" s="6">
        <f t="shared" si="17"/>
        <v>281.74</v>
      </c>
      <c r="J43" s="6">
        <f t="shared" si="17"/>
        <v>-114.12399999999994</v>
      </c>
      <c r="K43" s="6">
        <f t="shared" si="17"/>
        <v>-1.868000000000178</v>
      </c>
      <c r="L43" s="82">
        <f t="shared" si="17"/>
        <v>-150.47084202939939</v>
      </c>
      <c r="M43" s="82">
        <f t="shared" si="17"/>
        <v>-214.10131138371386</v>
      </c>
      <c r="N43" s="82">
        <f t="shared" si="17"/>
        <v>-256.5725824449259</v>
      </c>
      <c r="O43" s="82">
        <f t="shared" si="17"/>
        <v>-257.55234796811038</v>
      </c>
      <c r="P43" s="82">
        <f t="shared" si="17"/>
        <v>-300.7122368651934</v>
      </c>
      <c r="Q43" s="82">
        <f t="shared" si="17"/>
        <v>-406.28254485071682</v>
      </c>
      <c r="R43" s="82">
        <f t="shared" si="17"/>
        <v>-514.1320081310696</v>
      </c>
      <c r="S43" s="82">
        <f t="shared" si="17"/>
        <v>-622.07732161930346</v>
      </c>
      <c r="U43" s="93">
        <v>1</v>
      </c>
      <c r="V43" s="24">
        <v>1</v>
      </c>
    </row>
    <row r="44" spans="1:22" ht="13.5" customHeight="1">
      <c r="C44" s="344"/>
      <c r="K44" s="6"/>
      <c r="L44" s="6"/>
      <c r="U44" s="93">
        <v>0</v>
      </c>
      <c r="V44" s="24">
        <v>0</v>
      </c>
    </row>
    <row r="45" spans="1:22" ht="13.5" customHeight="1">
      <c r="C45" s="1153" t="s">
        <v>1246</v>
      </c>
      <c r="K45" s="6"/>
      <c r="L45" s="6"/>
      <c r="U45" s="93">
        <v>1</v>
      </c>
      <c r="V45" s="24">
        <v>1</v>
      </c>
    </row>
    <row r="46" spans="1:22" ht="13.5" customHeight="1">
      <c r="C46" s="19" t="str">
        <f>C42</f>
        <v>Other Comprehensive Income (Loss)</v>
      </c>
      <c r="G46" s="6">
        <f>G42</f>
        <v>0</v>
      </c>
      <c r="H46" s="6">
        <f>H42</f>
        <v>0</v>
      </c>
      <c r="I46" s="6">
        <f>I42</f>
        <v>0</v>
      </c>
      <c r="J46" s="6">
        <f>J42</f>
        <v>0</v>
      </c>
      <c r="K46" s="6">
        <f>K42</f>
        <v>0</v>
      </c>
      <c r="L46" s="559">
        <f t="shared" ref="L46:S46" si="18">L42</f>
        <v>0</v>
      </c>
      <c r="M46" s="559">
        <f t="shared" si="18"/>
        <v>0</v>
      </c>
      <c r="N46" s="559">
        <f t="shared" si="18"/>
        <v>0</v>
      </c>
      <c r="O46" s="559">
        <f t="shared" si="18"/>
        <v>0</v>
      </c>
      <c r="P46" s="559">
        <f t="shared" si="18"/>
        <v>0</v>
      </c>
      <c r="Q46" s="559">
        <f t="shared" si="18"/>
        <v>0</v>
      </c>
      <c r="R46" s="559">
        <f t="shared" si="18"/>
        <v>0</v>
      </c>
      <c r="S46" s="559">
        <f t="shared" si="18"/>
        <v>0</v>
      </c>
      <c r="U46" s="93">
        <v>1</v>
      </c>
      <c r="V46" s="24">
        <v>1</v>
      </c>
    </row>
    <row r="47" spans="1:22" ht="13.5" customHeight="1">
      <c r="C47" s="19" t="str">
        <f>C36</f>
        <v>Non-controlling interest</v>
      </c>
      <c r="G47" s="6">
        <f>-G36</f>
        <v>19.698</v>
      </c>
      <c r="H47" s="6">
        <f t="shared" ref="H47:K47" si="19">-H36</f>
        <v>2.7250000000000001</v>
      </c>
      <c r="I47" s="6">
        <f t="shared" si="19"/>
        <v>-28.074999999999999</v>
      </c>
      <c r="J47" s="6">
        <f t="shared" si="19"/>
        <v>-34.378</v>
      </c>
      <c r="K47" s="6">
        <f t="shared" si="19"/>
        <v>2.3450000000000002</v>
      </c>
      <c r="L47" s="559">
        <f t="shared" ref="L47:S47" si="20">-L36</f>
        <v>0</v>
      </c>
      <c r="M47" s="559">
        <f t="shared" si="20"/>
        <v>0</v>
      </c>
      <c r="N47" s="559">
        <f t="shared" si="20"/>
        <v>0</v>
      </c>
      <c r="O47" s="559">
        <f t="shared" si="20"/>
        <v>0</v>
      </c>
      <c r="P47" s="559">
        <f t="shared" si="20"/>
        <v>0</v>
      </c>
      <c r="Q47" s="559">
        <f t="shared" si="20"/>
        <v>0</v>
      </c>
      <c r="R47" s="559">
        <f t="shared" si="20"/>
        <v>0</v>
      </c>
      <c r="S47" s="559">
        <f t="shared" si="20"/>
        <v>0</v>
      </c>
      <c r="U47" s="93">
        <v>1</v>
      </c>
      <c r="V47" s="24">
        <v>1</v>
      </c>
    </row>
    <row r="48" spans="1:22" ht="13.5" customHeight="1">
      <c r="C48" s="19" t="str">
        <f>C33</f>
        <v>Income tax</v>
      </c>
      <c r="G48" s="6">
        <f>-G33</f>
        <v>6.1379999999999999</v>
      </c>
      <c r="H48" s="6">
        <f t="shared" ref="H48:K48" si="21">-H33</f>
        <v>8.4909999999999997</v>
      </c>
      <c r="I48" s="6">
        <f t="shared" si="21"/>
        <v>-437.83699999999999</v>
      </c>
      <c r="J48" s="6">
        <f t="shared" si="21"/>
        <v>3.4060000000000001</v>
      </c>
      <c r="K48" s="6">
        <f t="shared" si="21"/>
        <v>7.17</v>
      </c>
      <c r="L48" s="559">
        <f t="shared" ref="L48:S48" si="22">-L33</f>
        <v>-39.998578260979578</v>
      </c>
      <c r="M48" s="559">
        <f t="shared" si="22"/>
        <v>-56.913006823518877</v>
      </c>
      <c r="N48" s="559">
        <f t="shared" si="22"/>
        <v>-68.202838371435988</v>
      </c>
      <c r="O48" s="559">
        <f t="shared" si="22"/>
        <v>-68.463282371269841</v>
      </c>
      <c r="P48" s="559">
        <f t="shared" si="22"/>
        <v>-79.936164229988108</v>
      </c>
      <c r="Q48" s="559">
        <f t="shared" si="22"/>
        <v>-107.99915749196269</v>
      </c>
      <c r="R48" s="559">
        <f t="shared" si="22"/>
        <v>-136.66800216142354</v>
      </c>
      <c r="S48" s="559">
        <f t="shared" si="22"/>
        <v>-165.36232600006801</v>
      </c>
      <c r="U48" s="93">
        <v>1</v>
      </c>
      <c r="V48" s="24">
        <v>1</v>
      </c>
    </row>
    <row r="49" spans="1:99" ht="13.5" customHeight="1">
      <c r="C49" s="19" t="str">
        <f>C30</f>
        <v>Interest income (expense)</v>
      </c>
      <c r="G49" s="6">
        <f>-G30</f>
        <v>0</v>
      </c>
      <c r="H49" s="6">
        <f>-H30</f>
        <v>22.084</v>
      </c>
      <c r="I49" s="6">
        <f>-I30</f>
        <v>24.574000000000002</v>
      </c>
      <c r="J49" s="6">
        <f>-J30</f>
        <v>24.062999999999999</v>
      </c>
      <c r="K49" s="6">
        <f>-K30</f>
        <v>21.533999999999999</v>
      </c>
      <c r="L49" s="559">
        <f t="shared" ref="L49:S49" si="23">-L30</f>
        <v>15.917907005916643</v>
      </c>
      <c r="M49" s="559">
        <f t="shared" si="23"/>
        <v>37.628806331896669</v>
      </c>
      <c r="N49" s="559">
        <f t="shared" si="23"/>
        <v>40.699036577630025</v>
      </c>
      <c r="O49" s="559">
        <f t="shared" si="23"/>
        <v>39.921196879075609</v>
      </c>
      <c r="P49" s="559">
        <f t="shared" si="23"/>
        <v>40.075881349607457</v>
      </c>
      <c r="Q49" s="559">
        <f t="shared" si="23"/>
        <v>43.178763808394621</v>
      </c>
      <c r="R49" s="559">
        <f t="shared" si="23"/>
        <v>44.822751097855573</v>
      </c>
      <c r="S49" s="559">
        <f t="shared" si="23"/>
        <v>45.979716794577101</v>
      </c>
      <c r="U49" s="93">
        <v>1</v>
      </c>
      <c r="V49" s="24">
        <v>1</v>
      </c>
    </row>
    <row r="50" spans="1:99" ht="13.5" customHeight="1">
      <c r="C50" s="1154" t="str">
        <f>C28</f>
        <v>Non-operating items</v>
      </c>
      <c r="G50" s="6">
        <f t="shared" ref="G50:L50" si="24">-G28</f>
        <v>1.2709999999999999</v>
      </c>
      <c r="H50" s="6">
        <f t="shared" si="24"/>
        <v>6.407</v>
      </c>
      <c r="I50" s="6">
        <f t="shared" si="24"/>
        <v>-3.16</v>
      </c>
      <c r="J50" s="6">
        <f t="shared" si="24"/>
        <v>-16.189</v>
      </c>
      <c r="K50" s="6">
        <f t="shared" si="24"/>
        <v>26.536999999999999</v>
      </c>
      <c r="L50" s="559">
        <f t="shared" si="24"/>
        <v>0</v>
      </c>
      <c r="M50" s="559">
        <f t="shared" ref="M50:S50" si="25">-M28</f>
        <v>0</v>
      </c>
      <c r="N50" s="559">
        <f t="shared" si="25"/>
        <v>0</v>
      </c>
      <c r="O50" s="559">
        <f t="shared" si="25"/>
        <v>0</v>
      </c>
      <c r="P50" s="559">
        <f t="shared" si="25"/>
        <v>0</v>
      </c>
      <c r="Q50" s="559">
        <f t="shared" si="25"/>
        <v>0</v>
      </c>
      <c r="R50" s="559">
        <f t="shared" si="25"/>
        <v>0</v>
      </c>
      <c r="S50" s="559">
        <f t="shared" si="25"/>
        <v>0</v>
      </c>
      <c r="U50" s="93">
        <v>1</v>
      </c>
      <c r="V50" s="24">
        <v>1</v>
      </c>
    </row>
    <row r="51" spans="1:99" ht="13.5" customHeight="1">
      <c r="A51" s="20"/>
      <c r="B51" s="20"/>
      <c r="C51" s="19" t="str">
        <f>C22</f>
        <v>Depreciation &amp; Amortization</v>
      </c>
      <c r="G51" s="6">
        <f>-G22</f>
        <v>6.734</v>
      </c>
      <c r="H51" s="6">
        <f>-H22</f>
        <v>92.174999999999997</v>
      </c>
      <c r="I51" s="6">
        <f>-I22</f>
        <v>107.056</v>
      </c>
      <c r="J51" s="6">
        <f>-J22</f>
        <v>89.712999999999994</v>
      </c>
      <c r="K51" s="6">
        <f>-K22</f>
        <v>68.028000000000006</v>
      </c>
      <c r="L51" s="559">
        <f t="shared" ref="L51:S51" si="26">-L22</f>
        <v>203.83878048475535</v>
      </c>
      <c r="M51" s="559">
        <f t="shared" si="26"/>
        <v>203.82205409597324</v>
      </c>
      <c r="N51" s="559">
        <f t="shared" si="26"/>
        <v>268.40363584398705</v>
      </c>
      <c r="O51" s="559">
        <f t="shared" si="26"/>
        <v>310.42940488004342</v>
      </c>
      <c r="P51" s="559">
        <f t="shared" si="26"/>
        <v>410.21705209086457</v>
      </c>
      <c r="Q51" s="559">
        <f t="shared" si="26"/>
        <v>506.83412298944961</v>
      </c>
      <c r="R51" s="559">
        <f t="shared" si="26"/>
        <v>645.71796627474282</v>
      </c>
      <c r="S51" s="559">
        <f t="shared" si="26"/>
        <v>819.22860716997479</v>
      </c>
      <c r="U51" s="93">
        <v>1</v>
      </c>
      <c r="V51" s="24">
        <v>1</v>
      </c>
    </row>
    <row r="52" spans="1:99" ht="13.5" customHeight="1">
      <c r="A52" s="20"/>
      <c r="B52" s="20"/>
      <c r="C52" s="3" t="s">
        <v>482</v>
      </c>
      <c r="D52" s="884"/>
      <c r="E52" s="595"/>
      <c r="F52" s="927"/>
      <c r="G52" s="6">
        <f>G65</f>
        <v>2.16</v>
      </c>
      <c r="H52" s="6">
        <f t="shared" ref="H52:K52" si="27">H65</f>
        <v>31.623999999999999</v>
      </c>
      <c r="I52" s="6">
        <f t="shared" si="27"/>
        <v>123.91</v>
      </c>
      <c r="J52" s="6">
        <f t="shared" si="27"/>
        <v>111.008</v>
      </c>
      <c r="K52" s="6">
        <f t="shared" si="27"/>
        <v>104.33799999999999</v>
      </c>
      <c r="L52" s="559">
        <f t="shared" ref="L52:S52" si="28">L65</f>
        <v>75.068374701274792</v>
      </c>
      <c r="M52" s="559">
        <f>M65</f>
        <v>91.740934509589522</v>
      </c>
      <c r="N52" s="559">
        <f t="shared" si="28"/>
        <v>112.62603624247861</v>
      </c>
      <c r="O52" s="559">
        <f t="shared" si="28"/>
        <v>140.00510648540612</v>
      </c>
      <c r="P52" s="559">
        <f t="shared" si="28"/>
        <v>175.04305667274855</v>
      </c>
      <c r="Q52" s="559">
        <f t="shared" si="28"/>
        <v>220.27285220423101</v>
      </c>
      <c r="R52" s="559">
        <f t="shared" si="28"/>
        <v>280.49251528609983</v>
      </c>
      <c r="S52" s="559">
        <f t="shared" si="28"/>
        <v>356.24506441529678</v>
      </c>
      <c r="U52" s="93">
        <v>1</v>
      </c>
      <c r="V52" s="24">
        <v>1</v>
      </c>
    </row>
    <row r="53" spans="1:99" ht="13.5" customHeight="1">
      <c r="A53" s="20"/>
      <c r="B53" s="20"/>
      <c r="C53" s="593" t="s">
        <v>922</v>
      </c>
      <c r="D53" s="32"/>
      <c r="E53" s="592"/>
      <c r="F53" s="926"/>
      <c r="G53" s="211">
        <f t="shared" ref="G53:S53" si="29">SUM(G43:G52)</f>
        <v>121.845</v>
      </c>
      <c r="H53" s="211">
        <f t="shared" si="29"/>
        <v>20.764000000000042</v>
      </c>
      <c r="I53" s="211">
        <f t="shared" si="29"/>
        <v>68.208000000000041</v>
      </c>
      <c r="J53" s="211">
        <f t="shared" si="29"/>
        <v>63.499000000000038</v>
      </c>
      <c r="K53" s="211">
        <f t="shared" si="29"/>
        <v>228.08399999999983</v>
      </c>
      <c r="L53" s="211">
        <f t="shared" si="29"/>
        <v>104.35564190156782</v>
      </c>
      <c r="M53" s="211">
        <f t="shared" si="29"/>
        <v>62.177476730226687</v>
      </c>
      <c r="N53" s="211">
        <f t="shared" si="29"/>
        <v>96.95328784773379</v>
      </c>
      <c r="O53" s="211">
        <f t="shared" si="29"/>
        <v>164.34007790514497</v>
      </c>
      <c r="P53" s="211">
        <f t="shared" si="29"/>
        <v>244.68758901803909</v>
      </c>
      <c r="Q53" s="211">
        <f t="shared" si="29"/>
        <v>256.00403665939569</v>
      </c>
      <c r="R53" s="211">
        <f t="shared" si="29"/>
        <v>320.23322236620498</v>
      </c>
      <c r="S53" s="211">
        <f t="shared" si="29"/>
        <v>434.01374076047722</v>
      </c>
      <c r="U53" s="93">
        <v>1</v>
      </c>
      <c r="V53" s="24">
        <v>1</v>
      </c>
    </row>
    <row r="54" spans="1:99" ht="13.5" customHeight="1">
      <c r="A54" s="20"/>
      <c r="B54" s="20"/>
      <c r="C54" s="344"/>
      <c r="D54" s="884"/>
      <c r="E54" s="595"/>
      <c r="F54" s="927"/>
      <c r="G54" s="22"/>
      <c r="H54" s="22"/>
      <c r="I54" s="22"/>
      <c r="J54" s="22"/>
      <c r="K54" s="960"/>
      <c r="L54" s="22"/>
      <c r="M54" s="22"/>
      <c r="N54" s="22"/>
      <c r="O54" s="22"/>
      <c r="P54" s="22"/>
      <c r="Q54" s="22"/>
      <c r="R54" s="22"/>
      <c r="S54" s="22"/>
      <c r="U54" s="93">
        <v>0</v>
      </c>
      <c r="V54" s="24">
        <v>0</v>
      </c>
    </row>
    <row r="55" spans="1:99" ht="13.5" customHeight="1">
      <c r="A55" s="20"/>
      <c r="B55" s="20"/>
      <c r="C55" s="3" t="s">
        <v>1247</v>
      </c>
      <c r="D55" s="884"/>
      <c r="E55" s="595"/>
      <c r="F55" s="927"/>
      <c r="G55" s="556"/>
      <c r="H55" s="556"/>
      <c r="I55" s="556"/>
      <c r="J55" s="556"/>
      <c r="K55" s="556"/>
      <c r="L55" s="580">
        <v>0</v>
      </c>
      <c r="M55" s="580">
        <v>0</v>
      </c>
      <c r="N55" s="580">
        <v>0</v>
      </c>
      <c r="O55" s="580">
        <v>0</v>
      </c>
      <c r="P55" s="580">
        <v>0</v>
      </c>
      <c r="Q55" s="580">
        <v>0</v>
      </c>
      <c r="R55" s="580">
        <v>0</v>
      </c>
      <c r="S55" s="580">
        <v>0</v>
      </c>
      <c r="U55" s="93">
        <v>1</v>
      </c>
      <c r="V55" s="24">
        <v>1</v>
      </c>
    </row>
    <row r="56" spans="1:99" ht="13.5" customHeight="1">
      <c r="A56" s="20"/>
      <c r="B56" s="20"/>
      <c r="C56" s="593" t="s">
        <v>924</v>
      </c>
      <c r="D56" s="32"/>
      <c r="E56" s="592"/>
      <c r="F56" s="926"/>
      <c r="G56" s="211">
        <f t="shared" ref="G56:S56" si="30">SUM(G53,G55:G55)</f>
        <v>121.845</v>
      </c>
      <c r="H56" s="211">
        <f t="shared" si="30"/>
        <v>20.764000000000042</v>
      </c>
      <c r="I56" s="211">
        <f t="shared" si="30"/>
        <v>68.208000000000041</v>
      </c>
      <c r="J56" s="211">
        <f t="shared" si="30"/>
        <v>63.499000000000038</v>
      </c>
      <c r="K56" s="211">
        <f t="shared" si="30"/>
        <v>228.08399999999983</v>
      </c>
      <c r="L56" s="211">
        <f t="shared" si="30"/>
        <v>104.35564190156782</v>
      </c>
      <c r="M56" s="211">
        <f t="shared" si="30"/>
        <v>62.177476730226687</v>
      </c>
      <c r="N56" s="211">
        <f t="shared" si="30"/>
        <v>96.95328784773379</v>
      </c>
      <c r="O56" s="211">
        <f t="shared" si="30"/>
        <v>164.34007790514497</v>
      </c>
      <c r="P56" s="211">
        <f t="shared" si="30"/>
        <v>244.68758901803909</v>
      </c>
      <c r="Q56" s="211">
        <f t="shared" si="30"/>
        <v>256.00403665939569</v>
      </c>
      <c r="R56" s="211">
        <f>SUM(R53,R55:R55)</f>
        <v>320.23322236620498</v>
      </c>
      <c r="S56" s="211">
        <f t="shared" si="30"/>
        <v>434.01374076047722</v>
      </c>
      <c r="U56" s="93">
        <v>1</v>
      </c>
      <c r="V56" s="24">
        <v>1</v>
      </c>
    </row>
    <row r="57" spans="1:99" ht="13.5" customHeight="1">
      <c r="C57" s="119" t="s">
        <v>925</v>
      </c>
      <c r="D57" s="1"/>
      <c r="E57" s="1"/>
      <c r="F57" s="924"/>
      <c r="G57" s="355">
        <f>G56/G$9</f>
        <v>0.249202356117315</v>
      </c>
      <c r="H57" s="355">
        <f>H56/H$9</f>
        <v>3.5665822715233449E-2</v>
      </c>
      <c r="I57" s="355">
        <f t="shared" ref="I57:J57" si="31">I56/I$9</f>
        <v>8.9640036272358156E-2</v>
      </c>
      <c r="J57" s="355">
        <f t="shared" si="31"/>
        <v>7.0280895580866948E-2</v>
      </c>
      <c r="K57" s="355">
        <f>K56/K$9</f>
        <v>0.21684492741222428</v>
      </c>
      <c r="L57" s="355">
        <f t="shared" ref="L57:S57" si="32">L56/L$9</f>
        <v>8.164094704851893E-2</v>
      </c>
      <c r="M57" s="355">
        <f t="shared" si="32"/>
        <v>3.9803296998862939E-2</v>
      </c>
      <c r="N57" s="355">
        <f t="shared" si="32"/>
        <v>5.0556017409659093E-2</v>
      </c>
      <c r="O57" s="355">
        <f t="shared" si="32"/>
        <v>6.8936419938587776E-2</v>
      </c>
      <c r="P57" s="355">
        <f t="shared" si="32"/>
        <v>8.2094897780047915E-2</v>
      </c>
      <c r="Q57" s="355">
        <f t="shared" si="32"/>
        <v>6.825507547913344E-2</v>
      </c>
      <c r="R57" s="355">
        <f t="shared" si="32"/>
        <v>6.7049295931060585E-2</v>
      </c>
      <c r="S57" s="355">
        <f t="shared" si="32"/>
        <v>7.1549027716889077E-2</v>
      </c>
      <c r="T57"/>
      <c r="U57" s="93">
        <v>1</v>
      </c>
      <c r="V57" s="24">
        <v>1</v>
      </c>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r="58" spans="1:99" ht="13.5" customHeight="1">
      <c r="A58" s="20"/>
      <c r="B58" s="20"/>
      <c r="C58" s="594"/>
      <c r="D58" s="595"/>
      <c r="E58" s="595"/>
      <c r="F58" s="927"/>
      <c r="G58" s="22"/>
      <c r="H58" s="1031"/>
      <c r="I58" s="1031"/>
      <c r="J58" s="1031"/>
      <c r="K58" s="1031"/>
      <c r="L58" s="1031"/>
      <c r="M58" s="1031"/>
      <c r="N58" s="1031"/>
      <c r="O58" s="1031"/>
      <c r="P58" s="1031"/>
      <c r="Q58" s="1031"/>
      <c r="R58" s="1031"/>
      <c r="S58" s="1031"/>
      <c r="U58" s="93">
        <v>0</v>
      </c>
      <c r="V58" s="24">
        <v>0</v>
      </c>
    </row>
    <row r="59" spans="1:99" ht="13.5" customHeight="1">
      <c r="A59" s="19"/>
      <c r="B59" s="19"/>
      <c r="C59" s="1147" t="s">
        <v>926</v>
      </c>
      <c r="D59" s="1148"/>
      <c r="E59" s="1148"/>
      <c r="F59" s="1149"/>
      <c r="G59" s="1148"/>
      <c r="H59" s="1148"/>
      <c r="I59" s="1148"/>
      <c r="J59" s="1148"/>
      <c r="K59" s="1545"/>
      <c r="L59" s="1148"/>
      <c r="M59" s="1148"/>
      <c r="N59" s="1148"/>
      <c r="O59" s="1148"/>
      <c r="P59" s="1148"/>
      <c r="Q59" s="1148"/>
      <c r="R59" s="1148"/>
      <c r="S59" s="1148"/>
      <c r="U59" s="93">
        <v>1</v>
      </c>
      <c r="V59" s="24">
        <v>1</v>
      </c>
      <c r="W59" s="19"/>
      <c r="X59" s="19"/>
      <c r="Y59" s="19"/>
      <c r="Z59" s="19"/>
      <c r="AA59" s="19"/>
      <c r="AB59" s="19"/>
      <c r="AC59" s="19"/>
      <c r="AD59" s="19"/>
      <c r="AE59" s="19"/>
      <c r="AF59" s="19"/>
      <c r="AG59" s="19"/>
      <c r="AH59" s="19"/>
      <c r="AI59" s="19"/>
      <c r="AJ59" s="19"/>
      <c r="AK59" s="19"/>
      <c r="AL59" s="19"/>
    </row>
    <row r="60" spans="1:99" ht="13.5" customHeight="1">
      <c r="G60" s="40"/>
      <c r="H60" s="40"/>
      <c r="I60" s="40"/>
      <c r="J60" s="39"/>
      <c r="K60" s="39"/>
      <c r="L60" s="1089" t="str">
        <f>'DCF - Assumptions (old)'!$L$6</f>
        <v>Projected Fiscal Years Ending June 31</v>
      </c>
      <c r="M60" s="1089"/>
      <c r="N60" s="1089"/>
      <c r="O60" s="1089"/>
      <c r="P60" s="1089"/>
      <c r="Q60" s="1089"/>
      <c r="R60" s="1089"/>
      <c r="S60" s="1089"/>
      <c r="U60" s="93">
        <v>0</v>
      </c>
      <c r="V60" s="24">
        <v>0</v>
      </c>
    </row>
    <row r="61" spans="1:99" ht="13.5" customHeight="1" thickBot="1">
      <c r="C61" s="57"/>
      <c r="D61" s="57"/>
      <c r="E61" s="57"/>
      <c r="F61" s="929"/>
      <c r="G61" s="56">
        <f t="shared" ref="G61:S61" si="33">G$8</f>
        <v>2019</v>
      </c>
      <c r="H61" s="56">
        <f t="shared" si="33"/>
        <v>2020</v>
      </c>
      <c r="I61" s="56">
        <f t="shared" si="33"/>
        <v>2021</v>
      </c>
      <c r="J61" s="56">
        <f t="shared" si="33"/>
        <v>2022</v>
      </c>
      <c r="K61" s="56">
        <f t="shared" si="33"/>
        <v>2023</v>
      </c>
      <c r="L61" s="56">
        <f t="shared" si="33"/>
        <v>2024</v>
      </c>
      <c r="M61" s="56">
        <f t="shared" si="33"/>
        <v>2025</v>
      </c>
      <c r="N61" s="56">
        <f t="shared" si="33"/>
        <v>2026</v>
      </c>
      <c r="O61" s="56">
        <f t="shared" si="33"/>
        <v>2027</v>
      </c>
      <c r="P61" s="56">
        <f t="shared" si="33"/>
        <v>2028</v>
      </c>
      <c r="Q61" s="56">
        <f t="shared" si="33"/>
        <v>2029</v>
      </c>
      <c r="R61" s="56">
        <f t="shared" si="33"/>
        <v>2030</v>
      </c>
      <c r="S61" s="56">
        <f t="shared" si="33"/>
        <v>2031</v>
      </c>
      <c r="U61" s="93">
        <v>0</v>
      </c>
      <c r="V61" s="24">
        <v>0</v>
      </c>
    </row>
    <row r="62" spans="1:99" ht="13.5" customHeight="1">
      <c r="A62" s="19"/>
      <c r="B62" s="19"/>
      <c r="C62" s="66" t="s">
        <v>927</v>
      </c>
      <c r="D62" s="19"/>
      <c r="E62" s="19"/>
      <c r="F62" s="930"/>
      <c r="G62" s="71"/>
      <c r="H62" s="45"/>
      <c r="I62" s="45"/>
      <c r="J62" s="45"/>
      <c r="K62" s="45"/>
      <c r="L62" s="14"/>
      <c r="M62" s="14"/>
      <c r="N62" s="14"/>
      <c r="O62" s="14"/>
      <c r="P62" s="14"/>
      <c r="Q62" s="14"/>
      <c r="R62" s="14"/>
      <c r="S62" s="14"/>
      <c r="U62" s="93">
        <v>1</v>
      </c>
      <c r="V62" s="24">
        <v>1</v>
      </c>
      <c r="W62" s="19"/>
      <c r="X62" s="19"/>
      <c r="Y62" s="19"/>
      <c r="Z62" s="19"/>
      <c r="AA62" s="19"/>
      <c r="AB62" s="19"/>
      <c r="AC62" s="19"/>
      <c r="AD62" s="19"/>
      <c r="AE62" s="19"/>
      <c r="AF62" s="19"/>
      <c r="AG62" s="19"/>
      <c r="AH62" s="19"/>
      <c r="AI62" s="19"/>
      <c r="AJ62" s="19"/>
      <c r="AK62" s="19"/>
      <c r="AL62" s="19"/>
    </row>
    <row r="63" spans="1:99" ht="13.5" customHeight="1">
      <c r="A63" s="19"/>
      <c r="B63" s="19"/>
      <c r="C63" s="19" t="s">
        <v>1248</v>
      </c>
      <c r="D63" s="19"/>
      <c r="E63" s="19"/>
      <c r="F63" s="930"/>
      <c r="G63" s="978">
        <f t="shared" ref="G63:S63" si="34">G34</f>
        <v>85.844000000000008</v>
      </c>
      <c r="H63" s="978">
        <f t="shared" si="34"/>
        <v>-142.74199999999996</v>
      </c>
      <c r="I63" s="978">
        <f t="shared" si="34"/>
        <v>281.74</v>
      </c>
      <c r="J63" s="978">
        <f t="shared" si="34"/>
        <v>-114.12399999999994</v>
      </c>
      <c r="K63" s="978">
        <f t="shared" si="34"/>
        <v>-1.868000000000178</v>
      </c>
      <c r="L63" s="980">
        <f t="shared" si="34"/>
        <v>-150.47084202939939</v>
      </c>
      <c r="M63" s="980">
        <f t="shared" si="34"/>
        <v>-214.10131138371386</v>
      </c>
      <c r="N63" s="980">
        <f t="shared" si="34"/>
        <v>-256.5725824449259</v>
      </c>
      <c r="O63" s="980">
        <f t="shared" si="34"/>
        <v>-257.55234796811038</v>
      </c>
      <c r="P63" s="980">
        <f t="shared" si="34"/>
        <v>-300.7122368651934</v>
      </c>
      <c r="Q63" s="980">
        <f t="shared" si="34"/>
        <v>-406.28254485071682</v>
      </c>
      <c r="R63" s="980">
        <f t="shared" si="34"/>
        <v>-514.1320081310696</v>
      </c>
      <c r="S63" s="980">
        <f t="shared" si="34"/>
        <v>-622.07732161930346</v>
      </c>
      <c r="U63" s="93">
        <v>1</v>
      </c>
      <c r="V63" s="24">
        <v>1</v>
      </c>
      <c r="W63" s="19"/>
      <c r="X63" s="19"/>
      <c r="Y63" s="19"/>
      <c r="Z63" s="19"/>
      <c r="AA63" s="19"/>
      <c r="AB63" s="19"/>
      <c r="AC63" s="19"/>
      <c r="AD63" s="19"/>
      <c r="AE63" s="19"/>
      <c r="AF63" s="19"/>
      <c r="AG63" s="19"/>
      <c r="AH63" s="19"/>
      <c r="AI63" s="19"/>
      <c r="AJ63" s="19"/>
      <c r="AK63" s="19"/>
      <c r="AL63" s="19"/>
    </row>
    <row r="64" spans="1:99" ht="13.5" customHeight="1">
      <c r="A64" s="19"/>
      <c r="B64" s="19"/>
      <c r="C64" s="19" t="s">
        <v>1249</v>
      </c>
      <c r="D64" s="19"/>
      <c r="E64" s="19"/>
      <c r="F64" s="930"/>
      <c r="G64" s="49">
        <v>6.734</v>
      </c>
      <c r="H64" s="49">
        <v>92.174999999999997</v>
      </c>
      <c r="I64" s="49">
        <v>107.056</v>
      </c>
      <c r="J64" s="49">
        <v>89.712999999999994</v>
      </c>
      <c r="K64" s="49">
        <v>68.028000000000006</v>
      </c>
      <c r="L64" s="944">
        <f t="shared" ref="L64:S64" si="35">-L22</f>
        <v>203.83878048475535</v>
      </c>
      <c r="M64" s="944">
        <f t="shared" si="35"/>
        <v>203.82205409597324</v>
      </c>
      <c r="N64" s="944">
        <f t="shared" si="35"/>
        <v>268.40363584398705</v>
      </c>
      <c r="O64" s="944">
        <f t="shared" si="35"/>
        <v>310.42940488004342</v>
      </c>
      <c r="P64" s="944">
        <f t="shared" si="35"/>
        <v>410.21705209086457</v>
      </c>
      <c r="Q64" s="944">
        <f t="shared" si="35"/>
        <v>506.83412298944961</v>
      </c>
      <c r="R64" s="944">
        <f t="shared" si="35"/>
        <v>645.71796627474282</v>
      </c>
      <c r="S64" s="944">
        <f t="shared" si="35"/>
        <v>819.22860716997479</v>
      </c>
      <c r="U64" s="93">
        <v>1</v>
      </c>
      <c r="V64" s="24">
        <v>1</v>
      </c>
      <c r="W64" s="19"/>
      <c r="X64" s="19"/>
      <c r="Y64" s="19"/>
      <c r="Z64" s="19"/>
      <c r="AA64" s="19"/>
      <c r="AB64" s="19"/>
      <c r="AC64" s="19"/>
      <c r="AD64" s="19"/>
      <c r="AE64" s="19"/>
      <c r="AF64" s="19"/>
      <c r="AG64" s="19"/>
      <c r="AH64" s="19"/>
      <c r="AI64" s="19"/>
      <c r="AJ64" s="19"/>
      <c r="AK64" s="19"/>
      <c r="AL64" s="19"/>
    </row>
    <row r="65" spans="1:38" ht="13.5" customHeight="1">
      <c r="A65" s="19"/>
      <c r="B65" s="19"/>
      <c r="C65" s="19" t="s">
        <v>1250</v>
      </c>
      <c r="D65" s="859"/>
      <c r="E65" s="19"/>
      <c r="F65" s="930"/>
      <c r="G65" s="49">
        <v>2.16</v>
      </c>
      <c r="H65" s="49">
        <v>31.623999999999999</v>
      </c>
      <c r="I65" s="49">
        <v>123.91</v>
      </c>
      <c r="J65" s="49">
        <v>111.008</v>
      </c>
      <c r="K65" s="49">
        <v>104.33799999999999</v>
      </c>
      <c r="L65" s="624">
        <f>'DCF - Assumptions'!L206</f>
        <v>75.068374701274792</v>
      </c>
      <c r="M65" s="624">
        <f>'DCF - Assumptions'!M206</f>
        <v>91.740934509589522</v>
      </c>
      <c r="N65" s="624">
        <f>'DCF - Assumptions'!N206</f>
        <v>112.62603624247861</v>
      </c>
      <c r="O65" s="624">
        <f>'DCF - Assumptions'!O206</f>
        <v>140.00510648540612</v>
      </c>
      <c r="P65" s="624">
        <f>'DCF - Assumptions'!P206</f>
        <v>175.04305667274855</v>
      </c>
      <c r="Q65" s="624">
        <f>'DCF - Assumptions'!Q206</f>
        <v>220.27285220423101</v>
      </c>
      <c r="R65" s="624">
        <f>'DCF - Assumptions'!R206</f>
        <v>280.49251528609983</v>
      </c>
      <c r="S65" s="624">
        <f>'DCF - Assumptions'!S206</f>
        <v>356.24506441529678</v>
      </c>
      <c r="U65" s="93">
        <v>1</v>
      </c>
      <c r="V65" s="24">
        <v>1</v>
      </c>
      <c r="W65" s="19"/>
      <c r="X65" s="19"/>
      <c r="Y65" s="19"/>
      <c r="Z65" s="19"/>
      <c r="AA65" s="19"/>
      <c r="AB65" s="19"/>
      <c r="AC65" s="19"/>
      <c r="AD65" s="19"/>
      <c r="AE65" s="19"/>
      <c r="AF65" s="19"/>
      <c r="AG65" s="19"/>
      <c r="AH65" s="19"/>
      <c r="AI65" s="19"/>
      <c r="AJ65" s="19"/>
      <c r="AK65" s="19"/>
      <c r="AL65" s="19"/>
    </row>
    <row r="66" spans="1:38" ht="13.5" customHeight="1">
      <c r="A66" s="19"/>
      <c r="B66" s="19"/>
      <c r="C66" s="19" t="s">
        <v>1251</v>
      </c>
      <c r="D66" s="19"/>
      <c r="E66" s="19"/>
      <c r="F66" s="930"/>
      <c r="G66" s="49">
        <v>0.20100000000000001</v>
      </c>
      <c r="H66" s="49">
        <v>-0.76300000000000001</v>
      </c>
      <c r="I66" s="49">
        <v>-448.39499999999998</v>
      </c>
      <c r="J66" s="49">
        <v>-5.4539999999999997</v>
      </c>
      <c r="K66" s="49">
        <v>-7.1660000000000004</v>
      </c>
      <c r="L66" s="49">
        <v>0</v>
      </c>
      <c r="M66" s="49">
        <v>0</v>
      </c>
      <c r="N66" s="49">
        <v>0</v>
      </c>
      <c r="O66" s="49">
        <v>0</v>
      </c>
      <c r="P66" s="49">
        <v>0</v>
      </c>
      <c r="Q66" s="49">
        <v>0</v>
      </c>
      <c r="R66" s="49">
        <v>0</v>
      </c>
      <c r="S66" s="49">
        <v>0</v>
      </c>
      <c r="U66" s="93">
        <v>1</v>
      </c>
      <c r="V66" s="24">
        <v>1</v>
      </c>
      <c r="W66" s="19"/>
      <c r="X66" s="19"/>
      <c r="Y66" s="19"/>
      <c r="Z66" s="19"/>
      <c r="AA66" s="19"/>
      <c r="AB66" s="19"/>
      <c r="AC66" s="19"/>
      <c r="AD66" s="19"/>
      <c r="AE66" s="19"/>
      <c r="AF66" s="19"/>
      <c r="AG66" s="19"/>
      <c r="AH66" s="19"/>
      <c r="AI66" s="19"/>
      <c r="AJ66" s="19"/>
      <c r="AK66" s="19"/>
      <c r="AL66" s="19"/>
    </row>
    <row r="67" spans="1:38" ht="13.5" customHeight="1">
      <c r="A67" s="19"/>
      <c r="B67" s="19"/>
      <c r="C67" s="19" t="s">
        <v>1252</v>
      </c>
      <c r="D67" s="19"/>
      <c r="E67" s="19"/>
      <c r="F67" s="930"/>
      <c r="G67" s="49">
        <v>19.446000000000002</v>
      </c>
      <c r="H67" s="49">
        <v>40.973999999999997</v>
      </c>
      <c r="I67" s="49">
        <v>64.411000000000001</v>
      </c>
      <c r="J67" s="49">
        <v>46.283000000000001</v>
      </c>
      <c r="K67" s="49">
        <v>8.9570000000000007</v>
      </c>
      <c r="L67" s="49">
        <f t="shared" ref="L67:S67" si="36">L29</f>
        <v>0</v>
      </c>
      <c r="M67" s="49">
        <f t="shared" si="36"/>
        <v>0</v>
      </c>
      <c r="N67" s="49">
        <f t="shared" si="36"/>
        <v>0</v>
      </c>
      <c r="O67" s="49">
        <f t="shared" si="36"/>
        <v>0</v>
      </c>
      <c r="P67" s="49">
        <f t="shared" si="36"/>
        <v>0</v>
      </c>
      <c r="Q67" s="49">
        <f t="shared" si="36"/>
        <v>0</v>
      </c>
      <c r="R67" s="49">
        <f t="shared" si="36"/>
        <v>0</v>
      </c>
      <c r="S67" s="49">
        <f t="shared" si="36"/>
        <v>0</v>
      </c>
      <c r="U67" s="93">
        <v>1</v>
      </c>
      <c r="V67" s="24">
        <v>1</v>
      </c>
      <c r="W67" s="19"/>
      <c r="X67" s="19"/>
      <c r="Y67" s="19"/>
      <c r="Z67" s="19"/>
      <c r="AA67" s="19"/>
      <c r="AB67" s="19"/>
      <c r="AC67" s="19"/>
      <c r="AD67" s="19"/>
      <c r="AE67" s="19"/>
      <c r="AF67" s="19"/>
      <c r="AG67" s="19"/>
      <c r="AH67" s="19"/>
      <c r="AI67" s="19"/>
      <c r="AJ67" s="19"/>
      <c r="AK67" s="19"/>
      <c r="AL67" s="19"/>
    </row>
    <row r="68" spans="1:38" ht="13.5" customHeight="1">
      <c r="A68" s="19"/>
      <c r="B68" s="19"/>
      <c r="C68" s="585" t="s">
        <v>1253</v>
      </c>
      <c r="D68" s="573"/>
      <c r="E68" s="573"/>
      <c r="F68" s="931"/>
      <c r="G68" s="579">
        <f>SUM(G63:G67)</f>
        <v>114.38499999999999</v>
      </c>
      <c r="H68" s="579">
        <f t="shared" ref="H68:K68" si="37">SUM(H63:H67)</f>
        <v>21.268000000000029</v>
      </c>
      <c r="I68" s="579">
        <f t="shared" si="37"/>
        <v>128.72200000000004</v>
      </c>
      <c r="J68" s="579">
        <f t="shared" si="37"/>
        <v>127.42600000000006</v>
      </c>
      <c r="K68" s="579">
        <f t="shared" si="37"/>
        <v>172.28899999999982</v>
      </c>
      <c r="L68" s="579">
        <f t="shared" ref="L68:S68" si="38">SUM(L63:L67)</f>
        <v>128.43631315663075</v>
      </c>
      <c r="M68" s="579">
        <f t="shared" si="38"/>
        <v>81.461677221848902</v>
      </c>
      <c r="N68" s="579">
        <f t="shared" si="38"/>
        <v>124.45708964153975</v>
      </c>
      <c r="O68" s="579">
        <f t="shared" si="38"/>
        <v>192.88216339733916</v>
      </c>
      <c r="P68" s="579">
        <f t="shared" si="38"/>
        <v>284.54787189841971</v>
      </c>
      <c r="Q68" s="579">
        <f t="shared" si="38"/>
        <v>320.82443034296381</v>
      </c>
      <c r="R68" s="579">
        <f t="shared" si="38"/>
        <v>412.07847342977306</v>
      </c>
      <c r="S68" s="579">
        <f t="shared" si="38"/>
        <v>553.39634996596806</v>
      </c>
      <c r="U68" s="93">
        <v>1</v>
      </c>
      <c r="V68" s="24">
        <v>1</v>
      </c>
      <c r="W68" s="19"/>
      <c r="X68" s="19"/>
      <c r="Y68" s="19"/>
      <c r="Z68" s="19"/>
      <c r="AA68" s="19"/>
      <c r="AB68" s="19"/>
      <c r="AC68" s="19"/>
      <c r="AD68" s="19"/>
      <c r="AE68" s="19"/>
      <c r="AF68" s="19"/>
      <c r="AG68" s="19"/>
      <c r="AH68" s="19"/>
      <c r="AI68" s="19"/>
      <c r="AJ68" s="19"/>
      <c r="AK68" s="19"/>
      <c r="AL68" s="19"/>
    </row>
    <row r="69" spans="1:38" ht="13.5" customHeight="1">
      <c r="A69" s="19"/>
      <c r="B69" s="19"/>
      <c r="C69" s="1075"/>
      <c r="D69" s="66"/>
      <c r="E69" s="66"/>
      <c r="F69" s="933"/>
      <c r="G69" s="577"/>
      <c r="H69" s="577"/>
      <c r="I69" s="577"/>
      <c r="J69" s="577"/>
      <c r="K69" s="577"/>
      <c r="L69" s="577"/>
      <c r="M69" s="577"/>
      <c r="N69" s="577"/>
      <c r="O69" s="577"/>
      <c r="P69" s="577"/>
      <c r="Q69" s="577"/>
      <c r="R69" s="577"/>
      <c r="S69" s="577"/>
      <c r="U69" s="93">
        <v>0</v>
      </c>
      <c r="V69" s="24">
        <v>0</v>
      </c>
      <c r="W69" s="19"/>
      <c r="X69" s="19"/>
      <c r="Y69" s="19"/>
      <c r="Z69" s="19"/>
      <c r="AA69" s="19"/>
      <c r="AB69" s="19"/>
      <c r="AC69" s="19"/>
      <c r="AD69" s="19"/>
      <c r="AE69" s="19"/>
      <c r="AF69" s="19"/>
      <c r="AG69" s="19"/>
      <c r="AH69" s="19"/>
      <c r="AI69" s="19"/>
      <c r="AJ69" s="19"/>
      <c r="AK69" s="19"/>
      <c r="AL69" s="19"/>
    </row>
    <row r="70" spans="1:38" ht="13.5" customHeight="1">
      <c r="A70" s="19"/>
      <c r="B70" s="19"/>
      <c r="C70" s="945" t="s">
        <v>1209</v>
      </c>
      <c r="D70" s="19"/>
      <c r="E70" s="19"/>
      <c r="F70" s="930"/>
      <c r="G70" s="64">
        <v>-5.9710000000000001</v>
      </c>
      <c r="H70" s="64">
        <v>-6.8620000000000001</v>
      </c>
      <c r="I70" s="64">
        <v>-9.9529999999999994</v>
      </c>
      <c r="J70" s="64">
        <v>-20.722999999999999</v>
      </c>
      <c r="K70" s="64">
        <v>-36.030999999999999</v>
      </c>
      <c r="L70" s="966">
        <f>-(L117-K117)</f>
        <v>6.6477826704043679</v>
      </c>
      <c r="M70" s="966">
        <f t="shared" ref="M70:S70" si="39">-(M117-L117)</f>
        <v>-22.924454510651685</v>
      </c>
      <c r="N70" s="966">
        <f t="shared" si="39"/>
        <v>-28.883683231542562</v>
      </c>
      <c r="O70" s="966">
        <f t="shared" si="39"/>
        <v>-42.906696865618301</v>
      </c>
      <c r="P70" s="966">
        <f t="shared" si="39"/>
        <v>-51.273210244373757</v>
      </c>
      <c r="Q70" s="966">
        <f t="shared" si="39"/>
        <v>-50.219255828886986</v>
      </c>
      <c r="R70" s="966">
        <f t="shared" si="39"/>
        <v>-82.557073559851176</v>
      </c>
      <c r="S70" s="966">
        <f t="shared" si="39"/>
        <v>-104.03990576038188</v>
      </c>
      <c r="U70" s="93">
        <v>1</v>
      </c>
      <c r="V70" s="24">
        <v>1</v>
      </c>
      <c r="W70" s="19"/>
      <c r="X70" s="19"/>
      <c r="Y70" s="19"/>
      <c r="Z70" s="19"/>
      <c r="AA70" s="19"/>
      <c r="AB70" s="19"/>
      <c r="AC70" s="19"/>
      <c r="AD70" s="19"/>
      <c r="AE70" s="19"/>
      <c r="AF70" s="19"/>
      <c r="AG70" s="19"/>
      <c r="AH70" s="19"/>
      <c r="AI70" s="19"/>
      <c r="AJ70" s="19"/>
      <c r="AK70" s="19"/>
      <c r="AL70" s="19"/>
    </row>
    <row r="71" spans="1:38" ht="13.5" customHeight="1">
      <c r="A71" s="19"/>
      <c r="B71" s="19"/>
      <c r="C71" s="70" t="s">
        <v>21</v>
      </c>
      <c r="D71" s="19"/>
      <c r="E71" s="19"/>
      <c r="F71" s="930"/>
      <c r="G71" s="45">
        <v>-21.143999999999998</v>
      </c>
      <c r="H71" s="45">
        <v>-49.124000000000002</v>
      </c>
      <c r="I71" s="45">
        <v>24.327999999999999</v>
      </c>
      <c r="J71" s="45">
        <v>22.963999999999999</v>
      </c>
      <c r="K71" s="45">
        <v>-2.92</v>
      </c>
      <c r="L71" s="966">
        <f t="shared" ref="L71:S71" si="40">-(L118-K118)</f>
        <v>-77.052470205753892</v>
      </c>
      <c r="M71" s="966">
        <f t="shared" si="40"/>
        <v>-2.2136784827361993</v>
      </c>
      <c r="N71" s="966">
        <f t="shared" si="40"/>
        <v>-0.32339943112289404</v>
      </c>
      <c r="O71" s="966">
        <f t="shared" si="40"/>
        <v>-23.159944350501419</v>
      </c>
      <c r="P71" s="966">
        <f t="shared" si="40"/>
        <v>-47.748999370617781</v>
      </c>
      <c r="Q71" s="966">
        <f t="shared" si="40"/>
        <v>-69.710674861446989</v>
      </c>
      <c r="R71" s="966">
        <f t="shared" si="40"/>
        <v>-51.088859826485162</v>
      </c>
      <c r="S71" s="966">
        <f t="shared" si="40"/>
        <v>-71.850662005100048</v>
      </c>
      <c r="U71" s="93">
        <v>1</v>
      </c>
      <c r="V71" s="24">
        <v>1</v>
      </c>
      <c r="W71" s="19"/>
      <c r="X71" s="19"/>
      <c r="Y71" s="19"/>
      <c r="Z71" s="19"/>
      <c r="AA71" s="19"/>
      <c r="AB71" s="19"/>
      <c r="AC71" s="19"/>
      <c r="AD71" s="19"/>
      <c r="AE71" s="19"/>
      <c r="AF71" s="19"/>
      <c r="AG71" s="19"/>
      <c r="AH71" s="19"/>
      <c r="AI71" s="19"/>
      <c r="AJ71" s="19"/>
      <c r="AK71" s="19"/>
      <c r="AL71" s="19"/>
    </row>
    <row r="72" spans="1:38" ht="13.5" customHeight="1">
      <c r="A72" s="19"/>
      <c r="B72" s="19"/>
      <c r="C72" s="70" t="s">
        <v>1210</v>
      </c>
      <c r="D72" s="19"/>
      <c r="E72" s="19"/>
      <c r="F72" s="930"/>
      <c r="G72" s="45">
        <v>-0.252</v>
      </c>
      <c r="H72" s="45">
        <v>15.954000000000001</v>
      </c>
      <c r="I72" s="45">
        <v>-3.5310000000000001</v>
      </c>
      <c r="J72" s="45">
        <v>-13.997</v>
      </c>
      <c r="K72" s="45">
        <v>1.7749999999999999</v>
      </c>
      <c r="L72" s="966">
        <f>L131-K131</f>
        <v>19.442224128834624</v>
      </c>
      <c r="M72" s="626">
        <f t="shared" ref="M72:S72" si="41">M131-L131</f>
        <v>7.0916930707915284</v>
      </c>
      <c r="N72" s="626">
        <f t="shared" si="41"/>
        <v>-1.6361912930900111</v>
      </c>
      <c r="O72" s="626">
        <f t="shared" si="41"/>
        <v>1.5348854764952229</v>
      </c>
      <c r="P72" s="626">
        <f t="shared" si="41"/>
        <v>13.470966614499911</v>
      </c>
      <c r="Q72" s="626">
        <f t="shared" si="41"/>
        <v>20.864457406620886</v>
      </c>
      <c r="R72" s="626">
        <f t="shared" si="41"/>
        <v>15.615693425102151</v>
      </c>
      <c r="S72" s="626">
        <f t="shared" si="41"/>
        <v>17.57393036577281</v>
      </c>
      <c r="U72" s="93">
        <v>1</v>
      </c>
      <c r="V72" s="24">
        <v>1</v>
      </c>
      <c r="W72" s="19"/>
      <c r="X72" s="19"/>
      <c r="Y72" s="19"/>
      <c r="Z72" s="19"/>
      <c r="AA72" s="19"/>
      <c r="AB72" s="19"/>
      <c r="AC72" s="19"/>
      <c r="AD72" s="19"/>
      <c r="AE72" s="19"/>
      <c r="AF72" s="19"/>
      <c r="AG72" s="19"/>
      <c r="AH72" s="19"/>
      <c r="AI72" s="19"/>
      <c r="AJ72" s="19"/>
      <c r="AK72" s="19"/>
      <c r="AL72" s="19"/>
    </row>
    <row r="73" spans="1:38" ht="13.5" customHeight="1">
      <c r="A73" s="19"/>
      <c r="B73" s="19"/>
      <c r="C73" s="70" t="s">
        <v>1211</v>
      </c>
      <c r="D73" s="19"/>
      <c r="E73" s="19"/>
      <c r="F73" s="930"/>
      <c r="G73" s="45">
        <v>1.36</v>
      </c>
      <c r="H73" s="45">
        <v>22.457999999999998</v>
      </c>
      <c r="I73" s="45">
        <v>8.6539999999999999</v>
      </c>
      <c r="J73" s="45">
        <v>5.8890000000000002</v>
      </c>
      <c r="K73" s="45">
        <v>2.593</v>
      </c>
      <c r="L73" s="966">
        <f t="shared" ref="L73:S73" si="42">L132-K132</f>
        <v>-119.42989144878077</v>
      </c>
      <c r="M73" s="626">
        <f t="shared" si="42"/>
        <v>17.928283334563346</v>
      </c>
      <c r="N73" s="626">
        <f t="shared" si="42"/>
        <v>19.750790938711816</v>
      </c>
      <c r="O73" s="626">
        <f t="shared" si="42"/>
        <v>25.273172158071418</v>
      </c>
      <c r="P73" s="626">
        <f t="shared" si="42"/>
        <v>32.529218095616471</v>
      </c>
      <c r="Q73" s="626">
        <f t="shared" si="42"/>
        <v>51.269332097853265</v>
      </c>
      <c r="R73" s="626">
        <f t="shared" si="42"/>
        <v>60.998083232601687</v>
      </c>
      <c r="S73" s="626">
        <f t="shared" si="42"/>
        <v>77.534211243263428</v>
      </c>
      <c r="U73" s="93">
        <v>1</v>
      </c>
      <c r="V73" s="24">
        <v>1</v>
      </c>
      <c r="W73" s="19"/>
      <c r="X73" s="19"/>
      <c r="Y73" s="19"/>
      <c r="Z73" s="19"/>
      <c r="AA73" s="19"/>
      <c r="AB73" s="19"/>
      <c r="AC73" s="19"/>
      <c r="AD73" s="19"/>
      <c r="AE73" s="19"/>
      <c r="AF73" s="19"/>
      <c r="AG73" s="19"/>
      <c r="AH73" s="19"/>
      <c r="AI73" s="19"/>
      <c r="AJ73" s="19"/>
      <c r="AK73" s="19"/>
      <c r="AL73" s="19"/>
    </row>
    <row r="74" spans="1:38" ht="13.5" customHeight="1">
      <c r="A74" s="19"/>
      <c r="B74" s="19"/>
      <c r="C74" s="70" t="s">
        <v>1212</v>
      </c>
      <c r="D74" s="19"/>
      <c r="E74" s="19"/>
      <c r="F74" s="930"/>
      <c r="G74" s="45">
        <v>32.712000000000003</v>
      </c>
      <c r="H74" s="45">
        <v>51.986000000000004</v>
      </c>
      <c r="I74" s="45">
        <v>-71.457999999999998</v>
      </c>
      <c r="J74" s="45">
        <v>-22.996000000000002</v>
      </c>
      <c r="K74" s="45">
        <v>46.725000000000001</v>
      </c>
      <c r="L74" s="966">
        <f t="shared" ref="L74:S74" si="43">L133-K133</f>
        <v>210.24890410920463</v>
      </c>
      <c r="M74" s="626">
        <f t="shared" si="43"/>
        <v>75.179495510516574</v>
      </c>
      <c r="N74" s="626">
        <f t="shared" si="43"/>
        <v>36.498923599090801</v>
      </c>
      <c r="O74" s="626">
        <f t="shared" si="43"/>
        <v>110.93504033568064</v>
      </c>
      <c r="P74" s="626">
        <f t="shared" si="43"/>
        <v>132.37062706285076</v>
      </c>
      <c r="Q74" s="626">
        <f t="shared" si="43"/>
        <v>193.82255034138802</v>
      </c>
      <c r="R74" s="626">
        <f t="shared" si="43"/>
        <v>224.97202762744541</v>
      </c>
      <c r="S74" s="626">
        <f t="shared" si="43"/>
        <v>277.94164910186737</v>
      </c>
      <c r="U74" s="93">
        <v>1</v>
      </c>
      <c r="V74" s="24">
        <v>1</v>
      </c>
      <c r="W74" s="19"/>
      <c r="X74" s="19"/>
      <c r="Y74" s="19"/>
      <c r="Z74" s="19"/>
      <c r="AA74" s="19"/>
      <c r="AB74" s="19"/>
      <c r="AC74" s="19"/>
      <c r="AD74" s="19"/>
      <c r="AE74" s="19"/>
      <c r="AF74" s="19"/>
      <c r="AG74" s="19"/>
      <c r="AH74" s="19"/>
      <c r="AI74" s="19"/>
      <c r="AJ74" s="19"/>
      <c r="AK74" s="19"/>
      <c r="AL74" s="19"/>
    </row>
    <row r="75" spans="1:38" ht="13.5" customHeight="1">
      <c r="A75" s="19"/>
      <c r="B75" s="19"/>
      <c r="C75" s="586" t="s">
        <v>1254</v>
      </c>
      <c r="D75" s="573"/>
      <c r="E75" s="573"/>
      <c r="F75" s="931"/>
      <c r="G75" s="579">
        <f>SUM(G70:G74)</f>
        <v>6.7050000000000054</v>
      </c>
      <c r="H75" s="579">
        <f t="shared" ref="H75:K75" si="44">SUM(H70:H74)</f>
        <v>34.411999999999999</v>
      </c>
      <c r="I75" s="579">
        <f t="shared" si="44"/>
        <v>-51.96</v>
      </c>
      <c r="J75" s="579">
        <f t="shared" si="44"/>
        <v>-28.863000000000003</v>
      </c>
      <c r="K75" s="579">
        <f t="shared" si="44"/>
        <v>12.142000000000003</v>
      </c>
      <c r="L75" s="579">
        <f t="shared" ref="L75:S75" si="45">SUM(L70:L74)</f>
        <v>39.85654925390898</v>
      </c>
      <c r="M75" s="579">
        <f t="shared" si="45"/>
        <v>75.061338922483571</v>
      </c>
      <c r="N75" s="579">
        <f t="shared" si="45"/>
        <v>25.40644058204715</v>
      </c>
      <c r="O75" s="579">
        <f t="shared" si="45"/>
        <v>71.676456754127557</v>
      </c>
      <c r="P75" s="579">
        <f t="shared" si="45"/>
        <v>79.348602157975606</v>
      </c>
      <c r="Q75" s="579">
        <f t="shared" si="45"/>
        <v>146.0264091555282</v>
      </c>
      <c r="R75" s="579">
        <f t="shared" si="45"/>
        <v>167.9398708988129</v>
      </c>
      <c r="S75" s="579">
        <f t="shared" si="45"/>
        <v>197.15922294542167</v>
      </c>
      <c r="U75" s="93">
        <v>1</v>
      </c>
      <c r="V75" s="24">
        <v>1</v>
      </c>
      <c r="W75" s="19"/>
      <c r="X75" s="19"/>
      <c r="Y75" s="19"/>
      <c r="Z75" s="19"/>
      <c r="AA75" s="19"/>
      <c r="AB75" s="19"/>
      <c r="AC75" s="19"/>
      <c r="AD75" s="19"/>
      <c r="AE75" s="19"/>
      <c r="AF75" s="19"/>
      <c r="AG75" s="19"/>
      <c r="AH75" s="19"/>
      <c r="AI75" s="19"/>
      <c r="AJ75" s="19"/>
      <c r="AK75" s="19"/>
      <c r="AL75" s="19"/>
    </row>
    <row r="76" spans="1:38" ht="13.5" customHeight="1">
      <c r="A76" s="19"/>
      <c r="B76" s="19"/>
      <c r="C76" s="69"/>
      <c r="D76" s="19"/>
      <c r="E76" s="19"/>
      <c r="F76" s="930"/>
      <c r="G76" s="19"/>
      <c r="H76" s="19"/>
      <c r="I76" s="19"/>
      <c r="J76" s="19"/>
      <c r="K76" s="19"/>
      <c r="L76" s="2"/>
      <c r="M76" s="2"/>
      <c r="N76" s="2"/>
      <c r="O76" s="2"/>
      <c r="P76" s="2"/>
      <c r="Q76" s="2"/>
      <c r="R76" s="2"/>
      <c r="S76" s="2"/>
      <c r="U76" s="93">
        <v>0</v>
      </c>
      <c r="V76" s="24">
        <v>0</v>
      </c>
      <c r="W76" s="19"/>
      <c r="X76" s="19"/>
      <c r="Y76" s="19"/>
      <c r="Z76" s="19"/>
      <c r="AA76" s="19"/>
      <c r="AB76" s="19"/>
      <c r="AC76" s="19"/>
      <c r="AD76" s="19"/>
      <c r="AE76" s="19"/>
      <c r="AF76" s="19"/>
      <c r="AG76" s="19"/>
      <c r="AH76" s="19"/>
      <c r="AI76" s="19"/>
      <c r="AJ76" s="19"/>
      <c r="AK76" s="19"/>
      <c r="AL76" s="19"/>
    </row>
    <row r="77" spans="1:38" ht="13.5" customHeight="1">
      <c r="A77" s="19"/>
      <c r="B77" s="19"/>
      <c r="C77" s="63" t="s">
        <v>941</v>
      </c>
      <c r="D77" s="48"/>
      <c r="E77" s="48"/>
      <c r="F77" s="932"/>
      <c r="G77" s="579">
        <f t="shared" ref="G77:S77" si="46">G75+G68</f>
        <v>121.09</v>
      </c>
      <c r="H77" s="579">
        <f t="shared" si="46"/>
        <v>55.680000000000028</v>
      </c>
      <c r="I77" s="579">
        <f t="shared" si="46"/>
        <v>76.762000000000029</v>
      </c>
      <c r="J77" s="579">
        <f t="shared" si="46"/>
        <v>98.563000000000059</v>
      </c>
      <c r="K77" s="579">
        <f t="shared" si="46"/>
        <v>184.43099999999981</v>
      </c>
      <c r="L77" s="579">
        <f>L75+L68</f>
        <v>168.29286241053973</v>
      </c>
      <c r="M77" s="579">
        <f t="shared" si="46"/>
        <v>156.52301614433247</v>
      </c>
      <c r="N77" s="579">
        <f t="shared" si="46"/>
        <v>149.86353022358691</v>
      </c>
      <c r="O77" s="579">
        <f t="shared" si="46"/>
        <v>264.5586201514667</v>
      </c>
      <c r="P77" s="579">
        <f t="shared" si="46"/>
        <v>363.89647405639533</v>
      </c>
      <c r="Q77" s="579">
        <f t="shared" si="46"/>
        <v>466.85083949849201</v>
      </c>
      <c r="R77" s="579">
        <f t="shared" si="46"/>
        <v>580.01834432858595</v>
      </c>
      <c r="S77" s="579">
        <f t="shared" si="46"/>
        <v>750.55557291138973</v>
      </c>
      <c r="U77" s="93">
        <v>1</v>
      </c>
      <c r="V77" s="24">
        <v>1</v>
      </c>
      <c r="W77" s="19"/>
      <c r="X77" s="19"/>
      <c r="Y77" s="19"/>
      <c r="Z77" s="19"/>
      <c r="AA77" s="19"/>
      <c r="AB77" s="19"/>
      <c r="AC77" s="19"/>
      <c r="AD77" s="19"/>
      <c r="AE77" s="19"/>
      <c r="AF77" s="19"/>
      <c r="AG77" s="19"/>
      <c r="AH77" s="19"/>
      <c r="AI77" s="19"/>
      <c r="AJ77" s="19"/>
      <c r="AK77" s="19"/>
      <c r="AL77" s="19"/>
    </row>
    <row r="78" spans="1:38" ht="13.5" customHeight="1">
      <c r="A78" s="19"/>
      <c r="B78" s="19"/>
      <c r="C78" s="19"/>
      <c r="D78" s="19"/>
      <c r="E78" s="19"/>
      <c r="F78" s="930"/>
      <c r="H78" s="19"/>
      <c r="I78" s="19"/>
      <c r="J78" s="19"/>
      <c r="K78" s="19"/>
      <c r="L78" s="19"/>
      <c r="M78" s="19"/>
      <c r="N78" s="19"/>
      <c r="O78" s="19"/>
      <c r="P78" s="19"/>
      <c r="Q78" s="19"/>
      <c r="R78" s="19"/>
      <c r="S78" s="19"/>
      <c r="U78" s="93">
        <v>0</v>
      </c>
      <c r="V78" s="24">
        <v>0</v>
      </c>
      <c r="W78" s="19"/>
      <c r="X78" s="19"/>
      <c r="Y78" s="19"/>
      <c r="Z78" s="19"/>
      <c r="AA78" s="19"/>
      <c r="AB78" s="19"/>
      <c r="AC78" s="19"/>
      <c r="AD78" s="19"/>
      <c r="AE78" s="19"/>
      <c r="AF78" s="19"/>
      <c r="AG78" s="19"/>
      <c r="AH78" s="19"/>
      <c r="AI78" s="19"/>
      <c r="AJ78" s="19"/>
      <c r="AK78" s="19"/>
      <c r="AL78" s="19"/>
    </row>
    <row r="79" spans="1:38" ht="13.5" customHeight="1">
      <c r="A79" s="19"/>
      <c r="B79" s="19"/>
      <c r="C79" s="66" t="s">
        <v>1255</v>
      </c>
      <c r="D79" s="859"/>
      <c r="E79" s="19"/>
      <c r="F79" s="930"/>
      <c r="G79" s="68"/>
      <c r="H79" s="68"/>
      <c r="I79" s="68"/>
      <c r="J79" s="68"/>
      <c r="K79" s="68"/>
      <c r="L79" s="68"/>
      <c r="M79" s="68"/>
      <c r="N79" s="68"/>
      <c r="O79" s="68"/>
      <c r="P79" s="68"/>
      <c r="Q79" s="68"/>
      <c r="R79" s="68"/>
      <c r="S79" s="68"/>
      <c r="U79" s="93">
        <v>1</v>
      </c>
      <c r="V79" s="24">
        <v>1</v>
      </c>
      <c r="W79" s="19"/>
      <c r="X79" s="19"/>
      <c r="Y79" s="19"/>
      <c r="Z79" s="19"/>
      <c r="AA79" s="19"/>
      <c r="AB79" s="19"/>
      <c r="AC79" s="19"/>
      <c r="AD79" s="19"/>
      <c r="AE79" s="19"/>
      <c r="AF79" s="19"/>
      <c r="AG79" s="19"/>
      <c r="AH79" s="19"/>
      <c r="AI79" s="19"/>
      <c r="AJ79" s="19"/>
      <c r="AK79" s="19"/>
      <c r="AL79" s="19"/>
    </row>
    <row r="80" spans="1:38" ht="13.5" customHeight="1">
      <c r="A80" s="19"/>
      <c r="B80" s="19"/>
      <c r="C80" s="19" t="s">
        <v>513</v>
      </c>
      <c r="D80" s="19"/>
      <c r="E80" s="19"/>
      <c r="F80" s="930"/>
      <c r="G80" s="64">
        <v>-9.6739999999999995</v>
      </c>
      <c r="H80" s="64">
        <v>-10.632</v>
      </c>
      <c r="I80" s="64">
        <v>-13.653</v>
      </c>
      <c r="J80" s="64">
        <v>-16.332999999999998</v>
      </c>
      <c r="K80" s="64">
        <v>-14.935</v>
      </c>
      <c r="L80" s="627">
        <f>-'DCF - Assumptions'!L148-'DCF - Assumptions'!L157</f>
        <v>-63.90270997617155</v>
      </c>
      <c r="M80" s="627">
        <f>-'DCF - Assumptions'!M148-'DCF - Assumptions'!M157</f>
        <v>-62.248755254759317</v>
      </c>
      <c r="N80" s="627">
        <f>-'DCF - Assumptions'!N148-'DCF - Assumptions'!N157</f>
        <v>-78.35484834373824</v>
      </c>
      <c r="O80" s="627">
        <f>-'DCF - Assumptions'!O148-'DCF - Assumptions'!O157</f>
        <v>-94.601179856317813</v>
      </c>
      <c r="P80" s="627">
        <f>-'DCF - Assumptions'!P148-'DCF - Assumptions'!P157</f>
        <v>-125.00295338450766</v>
      </c>
      <c r="Q80" s="627">
        <f>-'DCF - Assumptions'!Q148-'DCF - Assumptions'!Q157</f>
        <v>-153.44227917202954</v>
      </c>
      <c r="R80" s="627">
        <f>-'DCF - Assumptions'!R148-'DCF - Assumptions'!R157</f>
        <v>-194.30855748836231</v>
      </c>
      <c r="S80" s="627">
        <f>-'DCF - Assumptions'!S148-'DCF - Assumptions'!S157</f>
        <v>-248.01356674709388</v>
      </c>
      <c r="U80" s="93">
        <v>1</v>
      </c>
      <c r="V80" s="24">
        <v>1</v>
      </c>
      <c r="W80" s="19"/>
      <c r="X80" s="19"/>
      <c r="Y80" s="19"/>
      <c r="Z80" s="19"/>
      <c r="AA80" s="19"/>
      <c r="AB80" s="19"/>
      <c r="AC80" s="19"/>
      <c r="AD80" s="19"/>
      <c r="AE80" s="19"/>
      <c r="AF80" s="19"/>
      <c r="AG80" s="19"/>
      <c r="AH80" s="19"/>
      <c r="AI80" s="19"/>
      <c r="AJ80" s="19"/>
      <c r="AK80" s="19"/>
      <c r="AL80" s="19"/>
    </row>
    <row r="81" spans="1:38" ht="13.5" customHeight="1">
      <c r="A81" s="19"/>
      <c r="B81" s="19"/>
      <c r="C81" s="19" t="s">
        <v>515</v>
      </c>
      <c r="D81" s="19"/>
      <c r="E81" s="19"/>
      <c r="F81" s="930"/>
      <c r="G81" s="64">
        <v>0</v>
      </c>
      <c r="H81" s="64">
        <v>-2837.7060000000001</v>
      </c>
      <c r="I81" s="64">
        <v>0</v>
      </c>
      <c r="J81" s="64">
        <v>-69.72</v>
      </c>
      <c r="K81" s="64">
        <v>-9.82</v>
      </c>
      <c r="L81" s="64">
        <v>0</v>
      </c>
      <c r="M81" s="64">
        <v>0</v>
      </c>
      <c r="N81" s="64">
        <v>0</v>
      </c>
      <c r="O81" s="64">
        <v>0</v>
      </c>
      <c r="P81" s="64">
        <v>0</v>
      </c>
      <c r="Q81" s="64">
        <v>0</v>
      </c>
      <c r="R81" s="64">
        <v>0</v>
      </c>
      <c r="S81" s="64">
        <v>0</v>
      </c>
      <c r="U81" s="93">
        <v>1</v>
      </c>
      <c r="V81" s="24">
        <v>1</v>
      </c>
      <c r="W81" s="19"/>
      <c r="X81" s="19"/>
      <c r="Y81" s="19"/>
      <c r="Z81" s="19"/>
      <c r="AA81" s="19"/>
      <c r="AB81" s="19"/>
      <c r="AC81" s="19"/>
      <c r="AD81" s="19"/>
      <c r="AE81" s="19"/>
      <c r="AF81" s="19"/>
      <c r="AG81" s="19"/>
      <c r="AH81" s="19"/>
      <c r="AI81" s="19"/>
      <c r="AJ81" s="19"/>
      <c r="AK81" s="19"/>
      <c r="AL81" s="19"/>
    </row>
    <row r="82" spans="1:38" ht="13.5" customHeight="1">
      <c r="A82" s="19"/>
      <c r="B82" s="19"/>
      <c r="C82" s="19" t="s">
        <v>517</v>
      </c>
      <c r="D82" s="19"/>
      <c r="E82" s="19"/>
      <c r="F82" s="930"/>
      <c r="G82" s="64">
        <v>-1.722</v>
      </c>
      <c r="H82" s="64">
        <v>-2.3130000000000002</v>
      </c>
      <c r="I82" s="64">
        <v>1.169</v>
      </c>
      <c r="J82" s="64">
        <v>0</v>
      </c>
      <c r="K82" s="64">
        <v>0</v>
      </c>
      <c r="L82" s="64">
        <v>0</v>
      </c>
      <c r="M82" s="64">
        <v>0</v>
      </c>
      <c r="N82" s="64">
        <v>0</v>
      </c>
      <c r="O82" s="64">
        <v>0</v>
      </c>
      <c r="P82" s="64">
        <v>0</v>
      </c>
      <c r="Q82" s="64">
        <v>0</v>
      </c>
      <c r="R82" s="64">
        <v>0</v>
      </c>
      <c r="S82" s="64">
        <v>0</v>
      </c>
      <c r="U82" s="93">
        <v>1</v>
      </c>
      <c r="V82" s="24">
        <v>1</v>
      </c>
      <c r="W82" s="19"/>
      <c r="X82" s="19"/>
      <c r="Y82" s="19"/>
      <c r="Z82" s="19"/>
      <c r="AA82" s="19"/>
      <c r="AB82" s="19"/>
      <c r="AC82" s="19"/>
      <c r="AD82" s="19"/>
      <c r="AE82" s="19"/>
      <c r="AF82" s="19"/>
      <c r="AG82" s="19"/>
      <c r="AH82" s="19"/>
      <c r="AI82" s="19"/>
      <c r="AJ82" s="19"/>
      <c r="AK82" s="19"/>
      <c r="AL82" s="19"/>
    </row>
    <row r="83" spans="1:38" ht="13.5" customHeight="1">
      <c r="A83" s="19"/>
      <c r="B83" s="19"/>
      <c r="C83" s="63" t="s">
        <v>1256</v>
      </c>
      <c r="D83" s="48"/>
      <c r="E83" s="48"/>
      <c r="F83" s="932"/>
      <c r="G83" s="579">
        <f>SUM(G80:G82)</f>
        <v>-11.395999999999999</v>
      </c>
      <c r="H83" s="579">
        <f t="shared" ref="H83:K83" si="47">SUM(H80:H82)</f>
        <v>-2850.6510000000003</v>
      </c>
      <c r="I83" s="579">
        <f t="shared" si="47"/>
        <v>-12.484</v>
      </c>
      <c r="J83" s="579">
        <f t="shared" si="47"/>
        <v>-86.052999999999997</v>
      </c>
      <c r="K83" s="579">
        <f t="shared" si="47"/>
        <v>-24.755000000000003</v>
      </c>
      <c r="L83" s="579">
        <f t="shared" ref="L83:S83" si="48">SUM(L80:L82)</f>
        <v>-63.90270997617155</v>
      </c>
      <c r="M83" s="579">
        <f t="shared" si="48"/>
        <v>-62.248755254759317</v>
      </c>
      <c r="N83" s="579">
        <f t="shared" si="48"/>
        <v>-78.35484834373824</v>
      </c>
      <c r="O83" s="579">
        <f t="shared" si="48"/>
        <v>-94.601179856317813</v>
      </c>
      <c r="P83" s="579">
        <f t="shared" si="48"/>
        <v>-125.00295338450766</v>
      </c>
      <c r="Q83" s="579">
        <f t="shared" si="48"/>
        <v>-153.44227917202954</v>
      </c>
      <c r="R83" s="579">
        <f t="shared" si="48"/>
        <v>-194.30855748836231</v>
      </c>
      <c r="S83" s="579">
        <f t="shared" si="48"/>
        <v>-248.01356674709388</v>
      </c>
      <c r="U83" s="93">
        <v>1</v>
      </c>
      <c r="V83" s="24">
        <v>1</v>
      </c>
      <c r="W83" s="19"/>
      <c r="X83" s="19"/>
      <c r="Y83" s="19"/>
      <c r="Z83" s="19"/>
      <c r="AA83" s="19"/>
      <c r="AB83" s="19"/>
      <c r="AC83" s="19"/>
      <c r="AD83" s="19"/>
      <c r="AE83" s="19"/>
      <c r="AF83" s="19"/>
      <c r="AG83" s="19"/>
      <c r="AH83" s="19"/>
      <c r="AI83" s="19"/>
      <c r="AJ83" s="19"/>
      <c r="AK83" s="19"/>
      <c r="AL83" s="19"/>
    </row>
    <row r="84" spans="1:38" ht="13.5" customHeight="1">
      <c r="A84" s="19"/>
      <c r="B84" s="19"/>
      <c r="C84" s="67"/>
      <c r="D84" s="19"/>
      <c r="E84" s="19"/>
      <c r="F84" s="930"/>
      <c r="G84" s="19"/>
      <c r="H84" s="19"/>
      <c r="I84" s="19"/>
      <c r="J84" s="19"/>
      <c r="K84" s="19"/>
      <c r="L84" s="19"/>
      <c r="M84" s="19"/>
      <c r="N84" s="19"/>
      <c r="O84" s="19"/>
      <c r="P84" s="19"/>
      <c r="Q84" s="19"/>
      <c r="R84" s="19"/>
      <c r="S84" s="19"/>
      <c r="U84" s="93">
        <v>0</v>
      </c>
      <c r="V84" s="24">
        <v>0</v>
      </c>
      <c r="W84" s="19"/>
      <c r="X84" s="19"/>
      <c r="Y84" s="19"/>
      <c r="Z84" s="19"/>
      <c r="AA84" s="19"/>
      <c r="AB84" s="19"/>
      <c r="AC84" s="19"/>
      <c r="AD84" s="19"/>
      <c r="AE84" s="19"/>
      <c r="AF84" s="19"/>
      <c r="AG84" s="19"/>
      <c r="AH84" s="19"/>
      <c r="AI84" s="19"/>
      <c r="AJ84" s="19"/>
      <c r="AK84" s="19"/>
      <c r="AL84" s="19"/>
    </row>
    <row r="85" spans="1:38" s="23" customFormat="1" ht="13.5" customHeight="1">
      <c r="A85" s="66"/>
      <c r="B85" s="66"/>
      <c r="C85" s="578" t="s">
        <v>949</v>
      </c>
      <c r="D85" s="66"/>
      <c r="E85" s="66"/>
      <c r="F85" s="933"/>
      <c r="G85" s="577">
        <f t="shared" ref="G85:S85" si="49">G77+G83</f>
        <v>109.694</v>
      </c>
      <c r="H85" s="577">
        <f t="shared" si="49"/>
        <v>-2794.9710000000005</v>
      </c>
      <c r="I85" s="577">
        <f t="shared" si="49"/>
        <v>64.278000000000034</v>
      </c>
      <c r="J85" s="577">
        <f t="shared" si="49"/>
        <v>12.510000000000062</v>
      </c>
      <c r="K85" s="577">
        <f t="shared" si="49"/>
        <v>159.67599999999982</v>
      </c>
      <c r="L85" s="629">
        <f t="shared" si="49"/>
        <v>104.39015243436818</v>
      </c>
      <c r="M85" s="629">
        <f t="shared" si="49"/>
        <v>94.274260889573156</v>
      </c>
      <c r="N85" s="629">
        <f t="shared" si="49"/>
        <v>71.508681879848666</v>
      </c>
      <c r="O85" s="629">
        <f t="shared" si="49"/>
        <v>169.9574402951489</v>
      </c>
      <c r="P85" s="629">
        <f t="shared" si="49"/>
        <v>238.89352067188767</v>
      </c>
      <c r="Q85" s="629">
        <f t="shared" si="49"/>
        <v>313.40856032646246</v>
      </c>
      <c r="R85" s="629">
        <f t="shared" si="49"/>
        <v>385.70978684022361</v>
      </c>
      <c r="S85" s="629">
        <f t="shared" si="49"/>
        <v>502.54200616429586</v>
      </c>
      <c r="U85" s="93">
        <v>1</v>
      </c>
      <c r="V85" s="569">
        <v>1</v>
      </c>
      <c r="W85" s="66"/>
      <c r="X85" s="66"/>
      <c r="Y85" s="66"/>
      <c r="Z85" s="66"/>
      <c r="AA85" s="66"/>
      <c r="AB85" s="66"/>
      <c r="AC85" s="66"/>
      <c r="AD85" s="66"/>
      <c r="AE85" s="66"/>
      <c r="AF85" s="66"/>
      <c r="AG85" s="66"/>
      <c r="AH85" s="66"/>
      <c r="AI85" s="66"/>
      <c r="AJ85" s="66"/>
      <c r="AK85" s="66"/>
      <c r="AL85" s="66"/>
    </row>
    <row r="86" spans="1:38" ht="13.5" customHeight="1">
      <c r="A86" s="19"/>
      <c r="B86" s="19"/>
      <c r="C86" s="67"/>
      <c r="D86" s="19"/>
      <c r="E86" s="19"/>
      <c r="F86" s="930"/>
      <c r="G86" s="19"/>
      <c r="H86" s="19"/>
      <c r="I86" s="19"/>
      <c r="J86" s="19"/>
      <c r="K86" s="19"/>
      <c r="L86" s="19"/>
      <c r="M86" s="19"/>
      <c r="N86" s="19"/>
      <c r="O86" s="19"/>
      <c r="P86" s="19"/>
      <c r="Q86" s="19"/>
      <c r="R86" s="19"/>
      <c r="S86" s="19"/>
      <c r="U86" s="93">
        <v>0</v>
      </c>
      <c r="V86" s="24">
        <v>0</v>
      </c>
      <c r="W86" s="19"/>
      <c r="X86" s="19"/>
      <c r="Y86" s="19"/>
      <c r="Z86" s="19"/>
      <c r="AA86" s="19"/>
      <c r="AB86" s="19"/>
      <c r="AC86" s="19"/>
      <c r="AD86" s="19"/>
      <c r="AE86" s="19"/>
      <c r="AF86" s="19"/>
      <c r="AG86" s="19"/>
      <c r="AH86" s="19"/>
      <c r="AI86" s="19"/>
      <c r="AJ86" s="19"/>
      <c r="AK86" s="19"/>
      <c r="AL86" s="19"/>
    </row>
    <row r="87" spans="1:38" ht="13.5" customHeight="1">
      <c r="A87" s="19"/>
      <c r="B87" s="19"/>
      <c r="C87" s="66" t="s">
        <v>950</v>
      </c>
      <c r="D87" s="19"/>
      <c r="E87" s="19"/>
      <c r="F87" s="930"/>
      <c r="G87" s="893"/>
      <c r="H87" s="14"/>
      <c r="I87" s="14"/>
      <c r="J87" s="14"/>
      <c r="K87" s="14"/>
      <c r="L87" s="14"/>
      <c r="M87" s="14"/>
      <c r="N87" s="14"/>
      <c r="O87" s="14"/>
      <c r="P87" s="14"/>
      <c r="Q87" s="14"/>
      <c r="R87" s="14"/>
      <c r="S87" s="14"/>
      <c r="U87" s="93">
        <v>1</v>
      </c>
      <c r="V87" s="24">
        <v>1</v>
      </c>
      <c r="W87" s="19"/>
      <c r="X87" s="19"/>
      <c r="Y87" s="19"/>
      <c r="Z87" s="19"/>
      <c r="AA87" s="19"/>
      <c r="AB87" s="19"/>
      <c r="AC87" s="19"/>
      <c r="AD87" s="19"/>
      <c r="AE87" s="19"/>
      <c r="AF87" s="19"/>
      <c r="AG87" s="19"/>
      <c r="AH87" s="19"/>
      <c r="AI87" s="19"/>
      <c r="AJ87" s="19"/>
      <c r="AK87" s="19"/>
      <c r="AL87" s="19"/>
    </row>
    <row r="88" spans="1:38" ht="13.5" customHeight="1">
      <c r="A88" s="19"/>
      <c r="B88" s="19"/>
      <c r="C88" s="65" t="s">
        <v>522</v>
      </c>
      <c r="D88" s="19"/>
      <c r="E88" s="19"/>
      <c r="F88" s="930"/>
      <c r="G88" s="64">
        <v>-23.359000000000002</v>
      </c>
      <c r="H88" s="64">
        <v>-360</v>
      </c>
      <c r="I88" s="64">
        <v>0</v>
      </c>
      <c r="J88" s="64">
        <v>0</v>
      </c>
      <c r="K88" s="64">
        <v>0</v>
      </c>
      <c r="L88" s="627">
        <f>-'DCF - Capital Structure'!L135</f>
        <v>0</v>
      </c>
      <c r="M88" s="627">
        <f>-'DCF - Capital Structure'!M135</f>
        <v>0</v>
      </c>
      <c r="N88" s="627">
        <f>-'DCF - Capital Structure'!N135</f>
        <v>0</v>
      </c>
      <c r="O88" s="627">
        <f>-'DCF - Capital Structure'!O135</f>
        <v>0</v>
      </c>
      <c r="P88" s="627">
        <f>-'DCF - Capital Structure'!P135</f>
        <v>0</v>
      </c>
      <c r="Q88" s="627">
        <f>-'DCF - Capital Structure'!Q135</f>
        <v>0</v>
      </c>
      <c r="R88" s="627">
        <f>-'DCF - Capital Structure'!R135</f>
        <v>0</v>
      </c>
      <c r="S88" s="627">
        <f>-'DCF - Capital Structure'!S135</f>
        <v>0</v>
      </c>
      <c r="U88" s="93">
        <v>1</v>
      </c>
      <c r="V88" s="24">
        <v>1</v>
      </c>
      <c r="W88" s="19"/>
      <c r="X88" s="19"/>
      <c r="Y88" s="19"/>
      <c r="Z88" s="19"/>
      <c r="AA88" s="19"/>
      <c r="AB88" s="19"/>
      <c r="AC88" s="19"/>
      <c r="AD88" s="19"/>
      <c r="AE88" s="19"/>
      <c r="AF88" s="19"/>
      <c r="AG88" s="19"/>
      <c r="AH88" s="19"/>
      <c r="AI88" s="19"/>
      <c r="AJ88" s="19"/>
      <c r="AK88" s="19"/>
      <c r="AL88" s="19"/>
    </row>
    <row r="89" spans="1:38" ht="13.5" customHeight="1">
      <c r="A89" s="19"/>
      <c r="B89" s="19"/>
      <c r="C89" s="65" t="s">
        <v>1257</v>
      </c>
      <c r="D89" s="19"/>
      <c r="E89" s="19"/>
      <c r="F89" s="930"/>
      <c r="G89" s="64">
        <v>0.104</v>
      </c>
      <c r="H89" s="64">
        <v>0</v>
      </c>
      <c r="I89" s="64">
        <v>2358.3710000000001</v>
      </c>
      <c r="J89" s="64">
        <v>0</v>
      </c>
      <c r="K89" s="64">
        <v>0</v>
      </c>
      <c r="L89" s="627">
        <f>'DCF - Capital Structure'!L169</f>
        <v>0</v>
      </c>
      <c r="M89" s="627">
        <f>'DCF - Capital Structure'!M169</f>
        <v>0</v>
      </c>
      <c r="N89" s="627">
        <f>'DCF - Capital Structure'!N169</f>
        <v>0</v>
      </c>
      <c r="O89" s="627">
        <f>'DCF - Capital Structure'!O169</f>
        <v>0</v>
      </c>
      <c r="P89" s="627">
        <f>'DCF - Capital Structure'!P169</f>
        <v>0</v>
      </c>
      <c r="Q89" s="627">
        <f>'DCF - Capital Structure'!Q169</f>
        <v>0</v>
      </c>
      <c r="R89" s="627">
        <f>'DCF - Capital Structure'!R169</f>
        <v>0</v>
      </c>
      <c r="S89" s="627">
        <f>'DCF - Capital Structure'!S169</f>
        <v>0</v>
      </c>
      <c r="U89" s="93">
        <v>1</v>
      </c>
      <c r="V89" s="24">
        <v>1</v>
      </c>
      <c r="W89" s="19"/>
      <c r="X89" s="19"/>
      <c r="Y89" s="19"/>
      <c r="Z89" s="19"/>
      <c r="AA89" s="19"/>
      <c r="AB89" s="19"/>
      <c r="AC89" s="19"/>
      <c r="AD89" s="19"/>
      <c r="AE89" s="19"/>
      <c r="AF89" s="19"/>
      <c r="AG89" s="19"/>
      <c r="AH89" s="19"/>
      <c r="AI89" s="19"/>
      <c r="AJ89" s="19"/>
      <c r="AK89" s="19"/>
      <c r="AL89" s="19"/>
    </row>
    <row r="90" spans="1:38" ht="13.5" customHeight="1">
      <c r="A90" s="19"/>
      <c r="B90" s="19"/>
      <c r="C90" s="65" t="s">
        <v>1258</v>
      </c>
      <c r="D90" s="19"/>
      <c r="E90" s="19"/>
      <c r="F90" s="930"/>
      <c r="G90" s="64"/>
      <c r="H90" s="64"/>
      <c r="I90" s="64">
        <f>-1018.365-973.289</f>
        <v>-1991.654</v>
      </c>
      <c r="J90" s="64"/>
      <c r="K90" s="64">
        <v>-112.83</v>
      </c>
      <c r="L90" s="627">
        <f>'DCF - Capital Structure'!L176</f>
        <v>0</v>
      </c>
      <c r="M90" s="627">
        <f>'DCF - Capital Structure'!M176</f>
        <v>0</v>
      </c>
      <c r="N90" s="627">
        <f>'DCF - Capital Structure'!N176</f>
        <v>0</v>
      </c>
      <c r="O90" s="627">
        <f>'DCF - Capital Structure'!O176</f>
        <v>0</v>
      </c>
      <c r="P90" s="627">
        <f>'DCF - Capital Structure'!P176</f>
        <v>0</v>
      </c>
      <c r="Q90" s="627">
        <f>'DCF - Capital Structure'!Q176</f>
        <v>0</v>
      </c>
      <c r="R90" s="627">
        <f>'DCF - Capital Structure'!R176</f>
        <v>0</v>
      </c>
      <c r="S90" s="627">
        <f>'DCF - Capital Structure'!S176</f>
        <v>0</v>
      </c>
      <c r="U90" s="93">
        <v>1</v>
      </c>
      <c r="V90" s="24">
        <v>1</v>
      </c>
      <c r="W90" s="19"/>
      <c r="X90" s="19"/>
      <c r="Y90" s="19"/>
      <c r="Z90" s="19"/>
      <c r="AA90" s="19"/>
      <c r="AB90" s="19"/>
      <c r="AC90" s="19"/>
      <c r="AD90" s="19"/>
      <c r="AE90" s="19"/>
      <c r="AF90" s="19"/>
      <c r="AG90" s="19"/>
      <c r="AH90" s="19"/>
      <c r="AI90" s="19"/>
      <c r="AJ90" s="19"/>
      <c r="AK90" s="19"/>
      <c r="AL90" s="19"/>
    </row>
    <row r="91" spans="1:38" ht="13.5" customHeight="1">
      <c r="A91" s="19"/>
      <c r="B91" s="19"/>
      <c r="C91" s="65" t="s">
        <v>1259</v>
      </c>
      <c r="D91" s="19"/>
      <c r="E91" s="19"/>
      <c r="F91" s="930"/>
      <c r="G91" s="64">
        <v>0</v>
      </c>
      <c r="H91" s="64">
        <v>850</v>
      </c>
      <c r="I91" s="64">
        <v>0</v>
      </c>
      <c r="J91" s="64">
        <v>0</v>
      </c>
      <c r="K91" s="64">
        <v>0</v>
      </c>
      <c r="L91" s="627">
        <f>'DCF - Capital Structure'!L12</f>
        <v>548.21004342526646</v>
      </c>
      <c r="M91" s="627">
        <f>'DCF - Capital Structure'!M12</f>
        <v>71.932464322977467</v>
      </c>
      <c r="N91" s="627">
        <f>'DCF - Capital Structure'!N12</f>
        <v>32.608623017061973</v>
      </c>
      <c r="O91" s="627">
        <f>'DCF - Capital Structure'!O12</f>
        <v>39.060139970198861</v>
      </c>
      <c r="P91" s="627">
        <f>'DCF - Capital Structure'!P12</f>
        <v>48.293284604165819</v>
      </c>
      <c r="Q91" s="627">
        <f>'DCF - Capital Structure'!Q12</f>
        <v>56.970766452697262</v>
      </c>
      <c r="R91" s="627">
        <f>'DCF - Capital Structure'!R12</f>
        <v>50.366550174032454</v>
      </c>
      <c r="S91" s="627">
        <f>'DCF - Capital Structure'!S12</f>
        <v>54.084952729149336</v>
      </c>
      <c r="U91" s="93">
        <v>1</v>
      </c>
      <c r="V91" s="24">
        <v>1</v>
      </c>
      <c r="W91" s="19"/>
      <c r="X91" s="19"/>
      <c r="Y91" s="19"/>
      <c r="Z91" s="19"/>
      <c r="AA91" s="19"/>
      <c r="AB91" s="19"/>
      <c r="AC91" s="19"/>
      <c r="AD91" s="19"/>
      <c r="AE91" s="19"/>
      <c r="AF91" s="19"/>
      <c r="AG91" s="19"/>
      <c r="AH91" s="19"/>
      <c r="AI91" s="19"/>
      <c r="AJ91" s="19"/>
      <c r="AK91" s="19"/>
      <c r="AL91" s="19"/>
    </row>
    <row r="92" spans="1:38" ht="13.5" customHeight="1">
      <c r="A92" s="19"/>
      <c r="B92" s="19"/>
      <c r="C92" s="65" t="s">
        <v>1260</v>
      </c>
      <c r="D92" s="19"/>
      <c r="E92" s="19"/>
      <c r="F92" s="930"/>
      <c r="G92" s="64">
        <v>0</v>
      </c>
      <c r="H92" s="64">
        <v>-5</v>
      </c>
      <c r="I92" s="64">
        <v>-206.43799999999999</v>
      </c>
      <c r="J92" s="64">
        <v>-5.75</v>
      </c>
      <c r="K92" s="64">
        <v>-5.75</v>
      </c>
      <c r="L92" s="627">
        <f>'DCF - Capital Structure'!L13</f>
        <v>0</v>
      </c>
      <c r="M92" s="627">
        <f>'DCF - Capital Structure'!M13</f>
        <v>0</v>
      </c>
      <c r="N92" s="627">
        <f>'DCF - Capital Structure'!N13</f>
        <v>0</v>
      </c>
      <c r="O92" s="627">
        <f>'DCF - Capital Structure'!O13</f>
        <v>0</v>
      </c>
      <c r="P92" s="627">
        <f>'DCF - Capital Structure'!P13</f>
        <v>0</v>
      </c>
      <c r="Q92" s="627">
        <f>'DCF - Capital Structure'!Q13</f>
        <v>0</v>
      </c>
      <c r="R92" s="627">
        <f>'DCF - Capital Structure'!R13</f>
        <v>0</v>
      </c>
      <c r="S92" s="627">
        <f>'DCF - Capital Structure'!S13</f>
        <v>0</v>
      </c>
      <c r="U92" s="93">
        <v>1</v>
      </c>
      <c r="V92" s="24">
        <v>1</v>
      </c>
      <c r="W92" s="19"/>
      <c r="X92" s="19"/>
      <c r="Y92" s="19"/>
      <c r="Z92" s="19"/>
      <c r="AA92" s="19"/>
      <c r="AB92" s="19"/>
      <c r="AC92" s="19"/>
      <c r="AD92" s="19"/>
      <c r="AE92" s="19"/>
      <c r="AF92" s="19"/>
      <c r="AG92" s="19"/>
      <c r="AH92" s="19"/>
      <c r="AI92" s="19"/>
      <c r="AJ92" s="19"/>
      <c r="AK92" s="19"/>
      <c r="AL92" s="19"/>
    </row>
    <row r="93" spans="1:38" ht="13.5" customHeight="1">
      <c r="A93" s="19"/>
      <c r="B93" s="19"/>
      <c r="C93" s="65" t="s">
        <v>532</v>
      </c>
      <c r="D93" s="19"/>
      <c r="E93" s="19"/>
      <c r="F93" s="930"/>
      <c r="G93" s="64">
        <f>-41.965-0.024</f>
        <v>-41.989000000000004</v>
      </c>
      <c r="H93" s="64">
        <f>-21.105+2360.412+41.929</f>
        <v>2381.2359999999999</v>
      </c>
      <c r="I93" s="64">
        <f>0.545-9.338</f>
        <v>-8.7929999999999993</v>
      </c>
      <c r="J93" s="64">
        <v>-9.2040000000000006</v>
      </c>
      <c r="K93" s="64">
        <f>-19.31-44.309-16.692</f>
        <v>-80.311000000000007</v>
      </c>
      <c r="L93" s="64">
        <v>0</v>
      </c>
      <c r="M93" s="64">
        <v>0</v>
      </c>
      <c r="N93" s="64">
        <v>0</v>
      </c>
      <c r="O93" s="64">
        <v>0</v>
      </c>
      <c r="P93" s="64">
        <v>0</v>
      </c>
      <c r="Q93" s="64">
        <v>0</v>
      </c>
      <c r="R93" s="64">
        <v>0</v>
      </c>
      <c r="S93" s="64">
        <v>0</v>
      </c>
      <c r="U93" s="93">
        <v>1</v>
      </c>
      <c r="V93" s="24">
        <v>1</v>
      </c>
      <c r="W93" s="19"/>
      <c r="X93" s="19"/>
      <c r="Y93" s="19"/>
      <c r="Z93" s="19"/>
      <c r="AA93" s="19"/>
      <c r="AB93" s="19"/>
      <c r="AC93" s="19"/>
      <c r="AD93" s="19"/>
      <c r="AE93" s="19"/>
      <c r="AF93" s="19"/>
      <c r="AG93" s="19"/>
      <c r="AH93" s="19"/>
      <c r="AI93" s="19"/>
      <c r="AJ93" s="19"/>
      <c r="AK93" s="19"/>
      <c r="AL93" s="19"/>
    </row>
    <row r="94" spans="1:38" s="23" customFormat="1" ht="13.5" customHeight="1">
      <c r="A94" s="66"/>
      <c r="B94" s="66"/>
      <c r="C94" s="63" t="s">
        <v>964</v>
      </c>
      <c r="D94" s="573"/>
      <c r="E94" s="573"/>
      <c r="F94" s="931"/>
      <c r="G94" s="579">
        <f t="shared" ref="G94:S94" si="50">SUM(G88:G93)</f>
        <v>-65.244</v>
      </c>
      <c r="H94" s="579">
        <f t="shared" si="50"/>
        <v>2866.2359999999999</v>
      </c>
      <c r="I94" s="579">
        <f t="shared" si="50"/>
        <v>151.4860000000001</v>
      </c>
      <c r="J94" s="579">
        <f t="shared" si="50"/>
        <v>-14.954000000000001</v>
      </c>
      <c r="K94" s="579">
        <f t="shared" si="50"/>
        <v>-198.89100000000002</v>
      </c>
      <c r="L94" s="1156">
        <f t="shared" si="50"/>
        <v>548.21004342526646</v>
      </c>
      <c r="M94" s="1156">
        <f t="shared" si="50"/>
        <v>71.932464322977467</v>
      </c>
      <c r="N94" s="1156">
        <f t="shared" si="50"/>
        <v>32.608623017061973</v>
      </c>
      <c r="O94" s="1156">
        <f t="shared" si="50"/>
        <v>39.060139970198861</v>
      </c>
      <c r="P94" s="1156">
        <f t="shared" si="50"/>
        <v>48.293284604165819</v>
      </c>
      <c r="Q94" s="1156">
        <f t="shared" si="50"/>
        <v>56.970766452697262</v>
      </c>
      <c r="R94" s="1156">
        <f t="shared" si="50"/>
        <v>50.366550174032454</v>
      </c>
      <c r="S94" s="1156">
        <f t="shared" si="50"/>
        <v>54.084952729149336</v>
      </c>
      <c r="U94" s="93">
        <v>1</v>
      </c>
      <c r="V94" s="569">
        <v>1</v>
      </c>
      <c r="W94" s="66"/>
      <c r="X94" s="66"/>
      <c r="Y94" s="66"/>
      <c r="Z94" s="66"/>
      <c r="AA94" s="66"/>
      <c r="AB94" s="66"/>
      <c r="AC94" s="66"/>
      <c r="AD94" s="66"/>
      <c r="AE94" s="66"/>
      <c r="AF94" s="66"/>
      <c r="AG94" s="66"/>
      <c r="AH94" s="66"/>
      <c r="AI94" s="66"/>
      <c r="AJ94" s="66"/>
      <c r="AK94" s="66"/>
      <c r="AL94" s="66"/>
    </row>
    <row r="95" spans="1:38" ht="13.5" customHeight="1">
      <c r="A95" s="19"/>
      <c r="B95" s="19"/>
      <c r="C95" s="19"/>
      <c r="D95" s="19"/>
      <c r="E95" s="19"/>
      <c r="F95" s="930"/>
      <c r="G95" s="19"/>
      <c r="H95" s="19"/>
      <c r="I95" s="19"/>
      <c r="J95" s="19"/>
      <c r="K95" s="19"/>
      <c r="L95" s="19"/>
      <c r="M95" s="19"/>
      <c r="N95" s="19"/>
      <c r="O95" s="19"/>
      <c r="P95" s="19"/>
      <c r="Q95" s="19"/>
      <c r="R95" s="19"/>
      <c r="S95" s="19"/>
      <c r="U95" s="93">
        <v>0</v>
      </c>
      <c r="V95" s="24">
        <v>0</v>
      </c>
      <c r="W95" s="19"/>
      <c r="X95" s="19"/>
      <c r="Y95" s="19"/>
      <c r="Z95" s="19"/>
      <c r="AA95" s="19"/>
      <c r="AB95" s="19"/>
      <c r="AC95" s="19"/>
      <c r="AD95" s="19"/>
      <c r="AE95" s="19"/>
      <c r="AF95" s="19"/>
      <c r="AG95" s="19"/>
      <c r="AH95" s="19"/>
      <c r="AI95" s="19"/>
      <c r="AJ95" s="19"/>
      <c r="AK95" s="19"/>
      <c r="AL95" s="19"/>
    </row>
    <row r="96" spans="1:38" ht="13.5" customHeight="1">
      <c r="A96" s="19"/>
      <c r="B96" s="19"/>
      <c r="C96" s="19" t="s">
        <v>965</v>
      </c>
      <c r="D96" s="62"/>
      <c r="E96" s="19"/>
      <c r="F96" s="930"/>
      <c r="G96" s="64"/>
      <c r="H96" s="46">
        <f>G100</f>
        <v>57.448999999999998</v>
      </c>
      <c r="I96" s="46">
        <f t="shared" ref="I96:K96" si="51">H100</f>
        <v>128.029</v>
      </c>
      <c r="J96" s="46">
        <f t="shared" si="51"/>
        <v>369.17500000000001</v>
      </c>
      <c r="K96" s="46">
        <f t="shared" si="51"/>
        <v>402.55900000000003</v>
      </c>
      <c r="L96" s="46">
        <f t="shared" ref="L96:S96" si="52">K100</f>
        <v>355.642</v>
      </c>
      <c r="M96" s="46">
        <f t="shared" si="52"/>
        <v>1008.2421958596346</v>
      </c>
      <c r="N96" s="46">
        <f t="shared" si="52"/>
        <v>1174.4489210721854</v>
      </c>
      <c r="O96" s="46">
        <f t="shared" si="52"/>
        <v>1278.566225969096</v>
      </c>
      <c r="P96" s="46">
        <f t="shared" si="52"/>
        <v>1487.5838062344437</v>
      </c>
      <c r="Q96" s="46">
        <f t="shared" si="52"/>
        <v>1774.7706115104972</v>
      </c>
      <c r="R96" s="46">
        <f t="shared" si="52"/>
        <v>2145.1499382896568</v>
      </c>
      <c r="S96" s="46">
        <f t="shared" si="52"/>
        <v>2581.2262753039131</v>
      </c>
      <c r="U96" s="93">
        <v>1</v>
      </c>
      <c r="V96" s="24">
        <v>1</v>
      </c>
      <c r="W96" s="19"/>
      <c r="X96" s="19"/>
      <c r="Y96" s="19"/>
      <c r="Z96" s="19"/>
      <c r="AA96" s="19"/>
      <c r="AB96" s="19"/>
      <c r="AC96" s="19"/>
      <c r="AD96" s="19"/>
      <c r="AE96" s="19"/>
      <c r="AF96" s="19"/>
      <c r="AG96" s="19"/>
      <c r="AH96" s="19"/>
      <c r="AI96" s="19"/>
      <c r="AJ96" s="19"/>
      <c r="AK96" s="19"/>
      <c r="AL96" s="19"/>
    </row>
    <row r="97" spans="1:38" ht="13.5" customHeight="1">
      <c r="A97" s="19"/>
      <c r="B97" s="19"/>
      <c r="C97" s="48" t="s">
        <v>966</v>
      </c>
      <c r="D97" s="1157"/>
      <c r="E97" s="48"/>
      <c r="F97" s="932"/>
      <c r="G97" s="1158"/>
      <c r="H97" s="1158">
        <v>2.5129999999999999</v>
      </c>
      <c r="I97" s="1158">
        <v>-2.95</v>
      </c>
      <c r="J97" s="1158">
        <v>5.9329999999999998</v>
      </c>
      <c r="K97" s="1158">
        <v>-6.28</v>
      </c>
      <c r="L97" s="1158">
        <v>0</v>
      </c>
      <c r="M97" s="1158">
        <v>0</v>
      </c>
      <c r="N97" s="1158">
        <v>0</v>
      </c>
      <c r="O97" s="1158">
        <v>0</v>
      </c>
      <c r="P97" s="1158">
        <v>0</v>
      </c>
      <c r="Q97" s="1158">
        <v>0</v>
      </c>
      <c r="R97" s="1158">
        <v>0</v>
      </c>
      <c r="S97" s="1158">
        <v>0</v>
      </c>
      <c r="U97" s="93">
        <v>1</v>
      </c>
      <c r="V97" s="24">
        <v>1</v>
      </c>
      <c r="W97" s="19"/>
      <c r="X97" s="19"/>
      <c r="Y97" s="19"/>
      <c r="Z97" s="19"/>
      <c r="AA97" s="19"/>
      <c r="AB97" s="19"/>
      <c r="AC97" s="19"/>
      <c r="AD97" s="19"/>
      <c r="AE97" s="19"/>
      <c r="AF97" s="19"/>
      <c r="AG97" s="19"/>
      <c r="AH97" s="19"/>
      <c r="AI97" s="19"/>
      <c r="AJ97" s="19"/>
      <c r="AK97" s="19"/>
      <c r="AL97" s="19"/>
    </row>
    <row r="98" spans="1:38" ht="13.5" customHeight="1">
      <c r="A98" s="19"/>
      <c r="B98" s="19"/>
      <c r="C98" s="19" t="s">
        <v>1261</v>
      </c>
      <c r="D98" s="859"/>
      <c r="E98" s="19"/>
      <c r="F98" s="930"/>
      <c r="G98" s="64"/>
      <c r="H98" s="64">
        <v>-3.1979999999996096</v>
      </c>
      <c r="I98" s="64">
        <v>28.33199999999988</v>
      </c>
      <c r="J98" s="64">
        <v>29.894999999999982</v>
      </c>
      <c r="K98" s="64">
        <v>-1.4219999999998549</v>
      </c>
      <c r="L98" s="64">
        <v>0</v>
      </c>
      <c r="M98" s="64">
        <v>0</v>
      </c>
      <c r="N98" s="64">
        <v>0</v>
      </c>
      <c r="O98" s="64">
        <v>0</v>
      </c>
      <c r="P98" s="64">
        <v>0</v>
      </c>
      <c r="Q98" s="64">
        <v>0</v>
      </c>
      <c r="R98" s="64">
        <v>0</v>
      </c>
      <c r="S98" s="64">
        <v>0</v>
      </c>
      <c r="U98" s="93">
        <v>1</v>
      </c>
      <c r="V98" s="24">
        <v>1</v>
      </c>
      <c r="W98" s="19"/>
      <c r="X98" s="19"/>
      <c r="Y98" s="19"/>
      <c r="Z98" s="19"/>
      <c r="AA98" s="19"/>
      <c r="AB98" s="19"/>
      <c r="AC98" s="19"/>
      <c r="AD98" s="19"/>
      <c r="AE98" s="19"/>
      <c r="AF98" s="19"/>
      <c r="AG98" s="19"/>
      <c r="AH98" s="19"/>
      <c r="AI98" s="19"/>
      <c r="AJ98" s="19"/>
      <c r="AK98" s="19"/>
      <c r="AL98" s="19"/>
    </row>
    <row r="99" spans="1:38" ht="13.5" customHeight="1">
      <c r="A99"/>
      <c r="B99" s="19"/>
      <c r="C99" s="1095" t="s">
        <v>967</v>
      </c>
      <c r="D99" s="1095"/>
      <c r="E99" s="1095"/>
      <c r="F99" s="1096"/>
      <c r="G99" s="1097"/>
      <c r="H99" s="1097">
        <f>H94+H83+H77</f>
        <v>71.264999999999617</v>
      </c>
      <c r="I99" s="1097">
        <f>I94+I83+I77</f>
        <v>215.76400000000012</v>
      </c>
      <c r="J99" s="1097">
        <f>J94+J83+J77</f>
        <v>-2.4439999999999458</v>
      </c>
      <c r="K99" s="1097">
        <f>K94+K83+K77</f>
        <v>-39.215000000000202</v>
      </c>
      <c r="L99" s="1094">
        <f t="shared" ref="L99:S99" si="53">L94+L83+L77</f>
        <v>652.6001958596346</v>
      </c>
      <c r="M99" s="1094">
        <f t="shared" si="53"/>
        <v>166.20672521255062</v>
      </c>
      <c r="N99" s="1094">
        <f t="shared" si="53"/>
        <v>104.11730489691064</v>
      </c>
      <c r="O99" s="1094">
        <f t="shared" si="53"/>
        <v>209.01758026534776</v>
      </c>
      <c r="P99" s="1094">
        <f t="shared" si="53"/>
        <v>287.18680527605352</v>
      </c>
      <c r="Q99" s="1094">
        <f t="shared" si="53"/>
        <v>370.37932677915973</v>
      </c>
      <c r="R99" s="1094">
        <f t="shared" si="53"/>
        <v>436.07633701425607</v>
      </c>
      <c r="S99" s="1094">
        <f t="shared" si="53"/>
        <v>556.62695889344513</v>
      </c>
      <c r="U99" s="93">
        <v>1</v>
      </c>
      <c r="V99" s="24">
        <v>1</v>
      </c>
      <c r="W99" s="19"/>
      <c r="X99" s="19"/>
      <c r="Y99" s="19"/>
      <c r="Z99" s="19"/>
      <c r="AA99" s="19"/>
      <c r="AB99" s="19"/>
      <c r="AC99" s="19"/>
      <c r="AD99" s="19"/>
      <c r="AE99" s="19"/>
      <c r="AF99" s="19"/>
      <c r="AG99" s="19"/>
      <c r="AH99" s="19"/>
      <c r="AI99" s="19"/>
      <c r="AJ99" s="19"/>
      <c r="AK99" s="19"/>
      <c r="AL99" s="19"/>
    </row>
    <row r="100" spans="1:38" ht="13.5" customHeight="1">
      <c r="A100" s="19"/>
      <c r="B100" s="19"/>
      <c r="C100" s="3" t="s">
        <v>968</v>
      </c>
      <c r="G100" s="6">
        <v>57.448999999999998</v>
      </c>
      <c r="H100" s="6">
        <f t="shared" ref="H100:S100" si="54">SUM(H96:H99)</f>
        <v>128.029</v>
      </c>
      <c r="I100" s="6">
        <f t="shared" si="54"/>
        <v>369.17500000000001</v>
      </c>
      <c r="J100" s="6">
        <f t="shared" si="54"/>
        <v>402.55900000000003</v>
      </c>
      <c r="K100" s="6">
        <f t="shared" si="54"/>
        <v>355.642</v>
      </c>
      <c r="L100" s="6">
        <f t="shared" si="54"/>
        <v>1008.2421958596346</v>
      </c>
      <c r="M100" s="6">
        <f t="shared" si="54"/>
        <v>1174.4489210721854</v>
      </c>
      <c r="N100" s="6">
        <f t="shared" si="54"/>
        <v>1278.566225969096</v>
      </c>
      <c r="O100" s="6">
        <f t="shared" si="54"/>
        <v>1487.5838062344437</v>
      </c>
      <c r="P100" s="6">
        <f t="shared" si="54"/>
        <v>1774.7706115104972</v>
      </c>
      <c r="Q100" s="6">
        <f t="shared" si="54"/>
        <v>2145.1499382896568</v>
      </c>
      <c r="R100" s="6">
        <f t="shared" si="54"/>
        <v>2581.2262753039131</v>
      </c>
      <c r="S100" s="6">
        <f t="shared" si="54"/>
        <v>3137.8532341973582</v>
      </c>
      <c r="U100" s="93">
        <v>1</v>
      </c>
      <c r="V100" s="24">
        <v>1</v>
      </c>
    </row>
    <row r="101" spans="1:38" ht="13.5" customHeight="1">
      <c r="A101" s="19"/>
      <c r="B101" s="19"/>
      <c r="C101" s="344"/>
      <c r="G101" s="6"/>
      <c r="H101" s="6"/>
      <c r="I101" s="61"/>
      <c r="J101" s="6"/>
      <c r="K101" s="6"/>
      <c r="L101" s="6"/>
      <c r="M101" s="6"/>
      <c r="N101" s="6"/>
      <c r="O101" s="6"/>
      <c r="P101" s="6"/>
      <c r="Q101" s="6"/>
      <c r="R101" s="6"/>
      <c r="S101" s="6"/>
      <c r="U101" s="93">
        <v>0</v>
      </c>
      <c r="V101" s="24">
        <v>0</v>
      </c>
    </row>
    <row r="102" spans="1:38" ht="13.5" customHeight="1">
      <c r="A102" s="19"/>
      <c r="B102" s="19"/>
      <c r="C102" s="1288" t="s">
        <v>971</v>
      </c>
      <c r="D102" s="1160"/>
      <c r="E102" s="1160"/>
      <c r="F102" s="1161"/>
      <c r="G102" s="1289">
        <f>G100-G116</f>
        <v>0</v>
      </c>
      <c r="H102" s="1289">
        <f t="shared" ref="H102:S102" si="55">H100-H116</f>
        <v>0</v>
      </c>
      <c r="I102" s="1289">
        <f t="shared" si="55"/>
        <v>0</v>
      </c>
      <c r="J102" s="1289">
        <f t="shared" si="55"/>
        <v>0</v>
      </c>
      <c r="K102" s="1289">
        <f t="shared" si="55"/>
        <v>0</v>
      </c>
      <c r="L102" s="1289">
        <f t="shared" si="55"/>
        <v>0</v>
      </c>
      <c r="M102" s="1289">
        <f t="shared" si="55"/>
        <v>0</v>
      </c>
      <c r="N102" s="1289">
        <f t="shared" si="55"/>
        <v>0</v>
      </c>
      <c r="O102" s="1289">
        <f t="shared" si="55"/>
        <v>0</v>
      </c>
      <c r="P102" s="1289">
        <f t="shared" si="55"/>
        <v>0</v>
      </c>
      <c r="Q102" s="1289">
        <f t="shared" si="55"/>
        <v>0</v>
      </c>
      <c r="R102" s="1289">
        <f t="shared" si="55"/>
        <v>0</v>
      </c>
      <c r="S102" s="1290">
        <f t="shared" si="55"/>
        <v>0</v>
      </c>
      <c r="U102" s="93">
        <v>1</v>
      </c>
      <c r="V102" s="24">
        <v>1</v>
      </c>
    </row>
    <row r="103" spans="1:38" ht="13.5" customHeight="1">
      <c r="A103" s="19"/>
      <c r="B103" s="19"/>
      <c r="G103" s="58"/>
      <c r="H103" s="58"/>
      <c r="I103" s="58"/>
      <c r="J103" s="58"/>
      <c r="K103" s="58"/>
      <c r="L103" s="58"/>
      <c r="M103" s="58"/>
      <c r="N103" s="58"/>
      <c r="O103" s="58"/>
      <c r="P103" s="58"/>
      <c r="Q103" s="58"/>
      <c r="R103" s="58"/>
      <c r="S103" s="58"/>
      <c r="U103" s="93">
        <v>0</v>
      </c>
      <c r="V103" s="24">
        <v>0</v>
      </c>
    </row>
    <row r="104" spans="1:38" ht="13.5" customHeight="1">
      <c r="A104" s="19"/>
      <c r="B104" s="19"/>
      <c r="C104" s="200" t="s">
        <v>973</v>
      </c>
      <c r="H104" s="232"/>
      <c r="I104" s="232"/>
      <c r="J104" s="232"/>
      <c r="K104" s="232"/>
      <c r="L104" s="58"/>
      <c r="M104" s="58"/>
      <c r="N104" s="58"/>
      <c r="O104" s="58"/>
      <c r="P104" s="58"/>
      <c r="Q104" s="58"/>
      <c r="R104" s="58"/>
      <c r="S104" s="58"/>
      <c r="U104" s="93">
        <v>1</v>
      </c>
      <c r="V104" s="24">
        <v>1</v>
      </c>
    </row>
    <row r="105" spans="1:38" ht="13.5" customHeight="1">
      <c r="A105" s="19"/>
      <c r="B105" s="19"/>
      <c r="C105" s="3" t="s">
        <v>513</v>
      </c>
      <c r="G105" s="232">
        <f t="shared" ref="G105:S105" si="56">SUM(G80:G82)</f>
        <v>-11.395999999999999</v>
      </c>
      <c r="H105" s="232">
        <f t="shared" si="56"/>
        <v>-2850.6510000000003</v>
      </c>
      <c r="I105" s="232">
        <f t="shared" si="56"/>
        <v>-12.484</v>
      </c>
      <c r="J105" s="232">
        <f t="shared" si="56"/>
        <v>-86.052999999999997</v>
      </c>
      <c r="K105" s="232">
        <f t="shared" si="56"/>
        <v>-24.755000000000003</v>
      </c>
      <c r="L105" s="232">
        <f t="shared" si="56"/>
        <v>-63.90270997617155</v>
      </c>
      <c r="M105" s="232">
        <f t="shared" si="56"/>
        <v>-62.248755254759317</v>
      </c>
      <c r="N105" s="232">
        <f t="shared" si="56"/>
        <v>-78.35484834373824</v>
      </c>
      <c r="O105" s="232">
        <f t="shared" si="56"/>
        <v>-94.601179856317813</v>
      </c>
      <c r="P105" s="232">
        <f t="shared" si="56"/>
        <v>-125.00295338450766</v>
      </c>
      <c r="Q105" s="232">
        <f t="shared" si="56"/>
        <v>-153.44227917202954</v>
      </c>
      <c r="R105" s="232">
        <f t="shared" si="56"/>
        <v>-194.30855748836231</v>
      </c>
      <c r="S105" s="232">
        <f t="shared" si="56"/>
        <v>-248.01356674709388</v>
      </c>
      <c r="U105" s="93">
        <v>1</v>
      </c>
      <c r="V105" s="24">
        <v>1</v>
      </c>
    </row>
    <row r="106" spans="1:38" ht="13.5" customHeight="1">
      <c r="A106" s="19"/>
      <c r="B106" s="19"/>
      <c r="C106" s="3" t="s">
        <v>974</v>
      </c>
      <c r="G106" s="232">
        <f t="shared" ref="G106:S106" si="57">G75</f>
        <v>6.7050000000000054</v>
      </c>
      <c r="H106" s="232">
        <f t="shared" si="57"/>
        <v>34.411999999999999</v>
      </c>
      <c r="I106" s="232">
        <f t="shared" si="57"/>
        <v>-51.96</v>
      </c>
      <c r="J106" s="232">
        <f t="shared" si="57"/>
        <v>-28.863000000000003</v>
      </c>
      <c r="K106" s="232">
        <f t="shared" si="57"/>
        <v>12.142000000000003</v>
      </c>
      <c r="L106" s="232">
        <f t="shared" si="57"/>
        <v>39.85654925390898</v>
      </c>
      <c r="M106" s="232">
        <f t="shared" si="57"/>
        <v>75.061338922483571</v>
      </c>
      <c r="N106" s="232">
        <f t="shared" si="57"/>
        <v>25.40644058204715</v>
      </c>
      <c r="O106" s="232">
        <f t="shared" si="57"/>
        <v>71.676456754127557</v>
      </c>
      <c r="P106" s="232">
        <f t="shared" si="57"/>
        <v>79.348602157975606</v>
      </c>
      <c r="Q106" s="232">
        <f t="shared" si="57"/>
        <v>146.0264091555282</v>
      </c>
      <c r="R106" s="232">
        <f t="shared" si="57"/>
        <v>167.9398708988129</v>
      </c>
      <c r="S106" s="232">
        <f t="shared" si="57"/>
        <v>197.15922294542167</v>
      </c>
      <c r="U106" s="93">
        <v>1</v>
      </c>
      <c r="V106" s="24">
        <v>1</v>
      </c>
    </row>
    <row r="107" spans="1:38" ht="13.5" customHeight="1">
      <c r="A107" s="19"/>
      <c r="B107" s="19"/>
      <c r="C107" s="3" t="s">
        <v>975</v>
      </c>
      <c r="G107" s="232">
        <v>0</v>
      </c>
      <c r="H107" s="232">
        <v>0</v>
      </c>
      <c r="I107" s="232">
        <v>0</v>
      </c>
      <c r="J107" s="232">
        <v>0</v>
      </c>
      <c r="K107" s="232">
        <v>0</v>
      </c>
      <c r="L107" s="232">
        <v>0</v>
      </c>
      <c r="M107" s="232">
        <v>0</v>
      </c>
      <c r="N107" s="232">
        <v>0</v>
      </c>
      <c r="O107" s="232">
        <v>0</v>
      </c>
      <c r="P107" s="232">
        <v>0</v>
      </c>
      <c r="Q107" s="232">
        <v>0</v>
      </c>
      <c r="R107" s="232">
        <v>0</v>
      </c>
      <c r="S107" s="232">
        <v>0</v>
      </c>
      <c r="U107" s="93">
        <v>1</v>
      </c>
      <c r="V107" s="24">
        <v>1</v>
      </c>
    </row>
    <row r="108" spans="1:38" ht="13.5" customHeight="1">
      <c r="A108" s="19"/>
      <c r="B108" s="19"/>
      <c r="C108" s="3" t="s">
        <v>1262</v>
      </c>
      <c r="G108" s="232"/>
      <c r="H108" s="232"/>
      <c r="I108" s="232"/>
      <c r="J108" s="232"/>
      <c r="K108" s="232"/>
      <c r="L108" s="232"/>
      <c r="M108" s="232"/>
      <c r="N108" s="232"/>
      <c r="O108" s="232"/>
      <c r="P108" s="232"/>
      <c r="Q108" s="232"/>
      <c r="R108" s="232"/>
      <c r="S108" s="232"/>
      <c r="U108" s="93">
        <f>IF(NOT(ISBLANK(C108)), 1, 0)</f>
        <v>1</v>
      </c>
      <c r="V108" s="24">
        <v>1</v>
      </c>
    </row>
    <row r="109" spans="1:38" ht="13.5" customHeight="1">
      <c r="A109" s="19"/>
      <c r="B109" s="19"/>
      <c r="G109" s="232"/>
      <c r="H109" s="232"/>
      <c r="I109" s="232"/>
      <c r="J109" s="232"/>
      <c r="K109" s="232"/>
      <c r="L109" s="232"/>
      <c r="M109" s="232"/>
      <c r="N109" s="232"/>
      <c r="O109" s="232"/>
      <c r="P109" s="232"/>
      <c r="Q109" s="232"/>
      <c r="R109" s="232"/>
      <c r="S109" s="232"/>
      <c r="U109" s="93"/>
      <c r="V109" s="24"/>
    </row>
    <row r="110" spans="1:38" ht="13.5" customHeight="1">
      <c r="A110" s="19"/>
      <c r="B110" s="19"/>
      <c r="G110" s="58"/>
      <c r="H110" s="58"/>
      <c r="I110" s="58"/>
      <c r="J110" s="58"/>
      <c r="K110" s="58"/>
      <c r="L110" s="58"/>
      <c r="M110" s="58"/>
      <c r="N110" s="58"/>
      <c r="O110" s="58"/>
      <c r="P110" s="58"/>
      <c r="Q110" s="58"/>
      <c r="R110" s="58"/>
      <c r="S110" s="58"/>
      <c r="U110" s="93">
        <v>0</v>
      </c>
      <c r="V110" s="24">
        <v>0</v>
      </c>
    </row>
    <row r="111" spans="1:38" ht="13.5" customHeight="1">
      <c r="A111" s="19"/>
      <c r="B111" s="19"/>
      <c r="C111" s="1147" t="s">
        <v>976</v>
      </c>
      <c r="D111" s="1148"/>
      <c r="E111" s="1148"/>
      <c r="F111" s="1149"/>
      <c r="G111" s="1148"/>
      <c r="H111" s="1148"/>
      <c r="I111" s="1148"/>
      <c r="J111" s="1148"/>
      <c r="K111" s="1148"/>
      <c r="L111" s="1148"/>
      <c r="M111" s="1148"/>
      <c r="N111" s="1148"/>
      <c r="O111" s="1148"/>
      <c r="P111" s="1148"/>
      <c r="Q111" s="1148"/>
      <c r="R111" s="1148"/>
      <c r="S111" s="1148"/>
      <c r="U111" s="93">
        <v>1</v>
      </c>
      <c r="V111" s="24">
        <v>1</v>
      </c>
      <c r="W111" s="19"/>
      <c r="X111" s="19"/>
      <c r="Y111" s="19"/>
      <c r="Z111" s="19"/>
      <c r="AA111" s="19"/>
      <c r="AB111" s="19"/>
      <c r="AC111" s="19"/>
      <c r="AD111" s="19"/>
      <c r="AE111" s="19"/>
      <c r="AF111" s="19"/>
      <c r="AG111" s="19"/>
      <c r="AH111" s="19"/>
      <c r="AI111" s="19"/>
      <c r="AJ111" s="19"/>
      <c r="AK111" s="19"/>
      <c r="AL111" s="19"/>
    </row>
    <row r="112" spans="1:38" ht="13.5" customHeight="1">
      <c r="A112" s="19"/>
      <c r="B112" s="19"/>
      <c r="C112" s="856"/>
      <c r="G112" s="40"/>
      <c r="H112" s="40"/>
      <c r="I112" s="40"/>
      <c r="J112" s="39"/>
      <c r="K112" s="39"/>
      <c r="L112" s="1089" t="str">
        <f>'DCF - Assumptions (old)'!$L$6</f>
        <v>Projected Fiscal Years Ending June 31</v>
      </c>
      <c r="M112" s="1089"/>
      <c r="N112" s="1089"/>
      <c r="O112" s="1089"/>
      <c r="P112" s="1089"/>
      <c r="Q112" s="1089"/>
      <c r="R112" s="1089"/>
      <c r="S112" s="1089"/>
      <c r="U112" s="93">
        <v>0</v>
      </c>
      <c r="V112" s="24">
        <v>0</v>
      </c>
    </row>
    <row r="113" spans="1:260" ht="13.5" customHeight="1" thickBot="1">
      <c r="A113" s="19"/>
      <c r="B113" s="19"/>
      <c r="C113" s="57"/>
      <c r="D113" s="57"/>
      <c r="E113" s="57"/>
      <c r="F113" s="929"/>
      <c r="G113" s="56">
        <f t="shared" ref="G113:S113" si="58">G$8</f>
        <v>2019</v>
      </c>
      <c r="H113" s="56">
        <f t="shared" si="58"/>
        <v>2020</v>
      </c>
      <c r="I113" s="56">
        <f t="shared" si="58"/>
        <v>2021</v>
      </c>
      <c r="J113" s="56">
        <f t="shared" si="58"/>
        <v>2022</v>
      </c>
      <c r="K113" s="56">
        <f t="shared" si="58"/>
        <v>2023</v>
      </c>
      <c r="L113" s="56">
        <f t="shared" si="58"/>
        <v>2024</v>
      </c>
      <c r="M113" s="56">
        <f t="shared" si="58"/>
        <v>2025</v>
      </c>
      <c r="N113" s="56">
        <f t="shared" si="58"/>
        <v>2026</v>
      </c>
      <c r="O113" s="56">
        <f t="shared" si="58"/>
        <v>2027</v>
      </c>
      <c r="P113" s="56">
        <f t="shared" si="58"/>
        <v>2028</v>
      </c>
      <c r="Q113" s="56">
        <f t="shared" si="58"/>
        <v>2029</v>
      </c>
      <c r="R113" s="56">
        <f t="shared" si="58"/>
        <v>2030</v>
      </c>
      <c r="S113" s="56">
        <f t="shared" si="58"/>
        <v>2031</v>
      </c>
      <c r="U113" s="93">
        <v>0</v>
      </c>
      <c r="V113" s="24">
        <v>0</v>
      </c>
    </row>
    <row r="114" spans="1:260" ht="13.5" customHeight="1">
      <c r="A114" s="19"/>
      <c r="B114" s="19"/>
      <c r="C114" s="52" t="s">
        <v>977</v>
      </c>
      <c r="D114" s="19"/>
      <c r="E114" s="19"/>
      <c r="F114" s="930"/>
      <c r="G114" s="19"/>
      <c r="H114" s="19"/>
      <c r="I114" s="46"/>
      <c r="J114" s="46"/>
      <c r="K114" s="45"/>
      <c r="U114" s="93">
        <v>1</v>
      </c>
      <c r="V114" s="24">
        <v>1</v>
      </c>
    </row>
    <row r="115" spans="1:260" ht="13.5" customHeight="1">
      <c r="A115" s="19"/>
      <c r="B115" s="19"/>
      <c r="C115" s="55" t="s">
        <v>978</v>
      </c>
      <c r="D115" s="19"/>
      <c r="E115" s="19"/>
      <c r="F115" s="930"/>
      <c r="G115" s="45"/>
      <c r="H115" s="45"/>
      <c r="I115" s="45"/>
      <c r="J115" s="45"/>
      <c r="K115" s="45"/>
      <c r="L115" s="6"/>
      <c r="U115" s="93">
        <v>1</v>
      </c>
      <c r="V115" s="24">
        <v>1</v>
      </c>
      <c r="IY115" s="6"/>
    </row>
    <row r="116" spans="1:260" ht="13.5" customHeight="1">
      <c r="A116" s="19"/>
      <c r="B116" s="19"/>
      <c r="C116" s="1083" t="s">
        <v>1263</v>
      </c>
      <c r="D116" s="19"/>
      <c r="E116" s="19"/>
      <c r="F116" s="930"/>
      <c r="G116" s="45">
        <v>57.448999999999998</v>
      </c>
      <c r="H116" s="45">
        <v>128.029</v>
      </c>
      <c r="I116" s="45">
        <v>369.17500000000001</v>
      </c>
      <c r="J116" s="45">
        <v>402.55900000000003</v>
      </c>
      <c r="K116" s="45">
        <v>355.642</v>
      </c>
      <c r="L116" s="626">
        <f>L100</f>
        <v>1008.2421958596346</v>
      </c>
      <c r="M116" s="626">
        <f t="shared" ref="M116:S116" si="59">M100</f>
        <v>1174.4489210721854</v>
      </c>
      <c r="N116" s="626">
        <f t="shared" si="59"/>
        <v>1278.566225969096</v>
      </c>
      <c r="O116" s="626">
        <f t="shared" si="59"/>
        <v>1487.5838062344437</v>
      </c>
      <c r="P116" s="626">
        <f t="shared" si="59"/>
        <v>1774.7706115104972</v>
      </c>
      <c r="Q116" s="626">
        <f t="shared" si="59"/>
        <v>2145.1499382896568</v>
      </c>
      <c r="R116" s="626">
        <f t="shared" si="59"/>
        <v>2581.2262753039131</v>
      </c>
      <c r="S116" s="626">
        <f t="shared" si="59"/>
        <v>3137.8532341973582</v>
      </c>
      <c r="U116" s="93">
        <v>1</v>
      </c>
      <c r="V116" s="24">
        <v>1</v>
      </c>
      <c r="IY116" s="6"/>
    </row>
    <row r="117" spans="1:260" ht="13.5" customHeight="1">
      <c r="A117" s="19"/>
      <c r="B117" s="19"/>
      <c r="C117" s="51" t="s">
        <v>1264</v>
      </c>
      <c r="D117" s="19"/>
      <c r="E117" s="19"/>
      <c r="F117" s="930"/>
      <c r="G117" s="45">
        <v>34.234000000000002</v>
      </c>
      <c r="H117" s="45">
        <v>41.594999999999999</v>
      </c>
      <c r="I117" s="45">
        <v>47.537999999999997</v>
      </c>
      <c r="J117" s="45">
        <v>66.930000000000007</v>
      </c>
      <c r="K117" s="45">
        <v>102.67700000000001</v>
      </c>
      <c r="L117" s="626">
        <f>'DCF - Assumptions'!L135</f>
        <v>96.029217329595639</v>
      </c>
      <c r="M117" s="626">
        <f>'DCF - Assumptions'!M135</f>
        <v>118.95367184024732</v>
      </c>
      <c r="N117" s="626">
        <f>'DCF - Assumptions'!N135</f>
        <v>147.83735507178989</v>
      </c>
      <c r="O117" s="626">
        <f>'DCF - Assumptions'!O135</f>
        <v>190.74405193740819</v>
      </c>
      <c r="P117" s="626">
        <f>'DCF - Assumptions'!P135</f>
        <v>242.01726218178194</v>
      </c>
      <c r="Q117" s="626">
        <f>'DCF - Assumptions'!Q135</f>
        <v>292.23651801066893</v>
      </c>
      <c r="R117" s="626">
        <f>'DCF - Assumptions'!R135</f>
        <v>374.79359157052011</v>
      </c>
      <c r="S117" s="626">
        <f>'DCF - Assumptions'!S135</f>
        <v>478.83349733090199</v>
      </c>
      <c r="U117" s="93">
        <v>1</v>
      </c>
      <c r="V117" s="24">
        <v>1</v>
      </c>
      <c r="IY117" s="6"/>
    </row>
    <row r="118" spans="1:260" ht="13.5" customHeight="1">
      <c r="A118" s="19"/>
      <c r="B118" s="19"/>
      <c r="C118" s="51" t="s">
        <v>21</v>
      </c>
      <c r="D118" s="19"/>
      <c r="E118" s="19"/>
      <c r="F118" s="930"/>
      <c r="G118" s="45">
        <v>78.149000000000001</v>
      </c>
      <c r="H118" s="45">
        <v>81.387</v>
      </c>
      <c r="I118" s="45">
        <v>52.750999999999998</v>
      </c>
      <c r="J118" s="45">
        <v>31.882000000000001</v>
      </c>
      <c r="K118" s="45">
        <v>34.731999999999999</v>
      </c>
      <c r="L118" s="626">
        <f>'DCF - Assumptions'!L136</f>
        <v>111.78447020575389</v>
      </c>
      <c r="M118" s="626">
        <f>'DCF - Assumptions'!M136</f>
        <v>113.99814868849009</v>
      </c>
      <c r="N118" s="626">
        <f>'DCF - Assumptions'!N136</f>
        <v>114.32154811961298</v>
      </c>
      <c r="O118" s="626">
        <f>'DCF - Assumptions'!O136</f>
        <v>137.4814924701144</v>
      </c>
      <c r="P118" s="626">
        <f>'DCF - Assumptions'!P136</f>
        <v>185.23049184073218</v>
      </c>
      <c r="Q118" s="626">
        <f>'DCF - Assumptions'!Q136</f>
        <v>254.94116670217917</v>
      </c>
      <c r="R118" s="626">
        <f>'DCF - Assumptions'!R136</f>
        <v>306.03002652866434</v>
      </c>
      <c r="S118" s="626">
        <f>'DCF - Assumptions'!S136</f>
        <v>377.88068853376438</v>
      </c>
      <c r="U118" s="93">
        <v>1</v>
      </c>
      <c r="V118" s="24">
        <v>1</v>
      </c>
      <c r="IY118" s="6"/>
    </row>
    <row r="119" spans="1:260" ht="13.5" customHeight="1">
      <c r="A119" s="19"/>
      <c r="B119" s="19"/>
      <c r="C119" s="48" t="s">
        <v>25</v>
      </c>
      <c r="D119" s="48"/>
      <c r="E119" s="48"/>
      <c r="F119" s="932"/>
      <c r="G119" s="597">
        <f t="shared" ref="G119:S119" si="60">SUM(G116:G118)</f>
        <v>169.83199999999999</v>
      </c>
      <c r="H119" s="597">
        <f t="shared" si="60"/>
        <v>251.011</v>
      </c>
      <c r="I119" s="597">
        <f t="shared" si="60"/>
        <v>469.464</v>
      </c>
      <c r="J119" s="597">
        <f t="shared" si="60"/>
        <v>501.37100000000004</v>
      </c>
      <c r="K119" s="597">
        <f t="shared" si="60"/>
        <v>493.05100000000004</v>
      </c>
      <c r="L119" s="1191">
        <f t="shared" si="60"/>
        <v>1216.0558833949842</v>
      </c>
      <c r="M119" s="1191">
        <f t="shared" si="60"/>
        <v>1407.4007416009229</v>
      </c>
      <c r="N119" s="1191">
        <f t="shared" si="60"/>
        <v>1540.7251291604989</v>
      </c>
      <c r="O119" s="1191">
        <f t="shared" si="60"/>
        <v>1815.8093506419664</v>
      </c>
      <c r="P119" s="1191">
        <f t="shared" si="60"/>
        <v>2202.0183655330115</v>
      </c>
      <c r="Q119" s="1191">
        <f t="shared" si="60"/>
        <v>2692.3276230025049</v>
      </c>
      <c r="R119" s="1191">
        <f t="shared" si="60"/>
        <v>3262.0498934030975</v>
      </c>
      <c r="S119" s="1191">
        <f t="shared" si="60"/>
        <v>3994.5674200620247</v>
      </c>
      <c r="U119" s="93">
        <v>1</v>
      </c>
      <c r="V119" s="24">
        <v>1</v>
      </c>
      <c r="IY119" s="6"/>
    </row>
    <row r="120" spans="1:260" ht="13.5" customHeight="1">
      <c r="A120" s="19"/>
      <c r="B120" s="19"/>
      <c r="C120" s="19"/>
      <c r="D120" s="19"/>
      <c r="E120" s="19"/>
      <c r="F120" s="930"/>
      <c r="G120" s="53"/>
      <c r="H120" s="53"/>
      <c r="I120" s="53"/>
      <c r="J120" s="53"/>
      <c r="K120" s="53"/>
      <c r="L120" s="53"/>
      <c r="M120" s="53"/>
      <c r="N120" s="53"/>
      <c r="O120" s="53"/>
      <c r="P120" s="53"/>
      <c r="Q120" s="53"/>
      <c r="R120" s="53"/>
      <c r="S120" s="53"/>
      <c r="U120" s="93">
        <v>0</v>
      </c>
      <c r="V120" s="24">
        <v>0</v>
      </c>
      <c r="IY120" s="6"/>
    </row>
    <row r="121" spans="1:260" ht="13.5" customHeight="1">
      <c r="A121" s="19"/>
      <c r="B121" s="19"/>
      <c r="C121" s="571" t="s">
        <v>982</v>
      </c>
      <c r="D121" s="19"/>
      <c r="E121" s="19"/>
      <c r="F121" s="930"/>
      <c r="G121" s="572"/>
      <c r="H121" s="53"/>
      <c r="I121" s="53"/>
      <c r="J121" s="53"/>
      <c r="K121" s="53"/>
      <c r="L121" s="53"/>
      <c r="M121" s="53"/>
      <c r="N121" s="53"/>
      <c r="O121" s="53"/>
      <c r="P121" s="53"/>
      <c r="Q121" s="53"/>
      <c r="R121" s="53"/>
      <c r="S121" s="53"/>
      <c r="U121" s="93">
        <v>1</v>
      </c>
      <c r="V121" s="24">
        <v>1</v>
      </c>
      <c r="IY121" s="6"/>
    </row>
    <row r="122" spans="1:260" ht="13.5" customHeight="1">
      <c r="A122" s="19"/>
      <c r="B122" s="19"/>
      <c r="C122" s="19" t="s">
        <v>1265</v>
      </c>
      <c r="D122" s="19"/>
      <c r="E122" s="19"/>
      <c r="F122" s="930"/>
      <c r="G122" s="53">
        <v>30.324000000000002</v>
      </c>
      <c r="H122" s="53">
        <v>28.544</v>
      </c>
      <c r="I122" s="53">
        <v>41.036999999999999</v>
      </c>
      <c r="J122" s="53">
        <v>31.885999999999999</v>
      </c>
      <c r="K122" s="53">
        <v>27.887</v>
      </c>
      <c r="L122" s="623">
        <f>'DCF - Assumptions'!L151</f>
        <v>20.102582524921324</v>
      </c>
      <c r="M122" s="623">
        <f>'DCF - Assumptions'!M151</f>
        <v>8.2020668090873876</v>
      </c>
      <c r="N122" s="623">
        <f>'DCF - Assumptions'!N151</f>
        <v>-1.7873070952006138</v>
      </c>
      <c r="O122" s="623">
        <f>'DCF - Assumptions'!O151</f>
        <v>-16.111051777441403</v>
      </c>
      <c r="P122" s="623">
        <f>'DCF - Assumptions'!P151</f>
        <v>-35.563590412426393</v>
      </c>
      <c r="Q122" s="623">
        <f>'DCF - Assumptions'!Q151</f>
        <v>-59.340183271617086</v>
      </c>
      <c r="R122" s="623">
        <f>'DCF - Assumptions'!R151</f>
        <v>-87.941999051332033</v>
      </c>
      <c r="S122" s="623">
        <f>'DCF - Assumptions'!S151</f>
        <v>-125.70848371716897</v>
      </c>
      <c r="U122" s="93">
        <v>1</v>
      </c>
      <c r="V122" s="24">
        <v>1</v>
      </c>
      <c r="IY122" s="6"/>
    </row>
    <row r="123" spans="1:260" ht="13.5" customHeight="1">
      <c r="A123" s="19"/>
      <c r="B123" s="19"/>
      <c r="C123" s="19" t="s">
        <v>1266</v>
      </c>
      <c r="D123" s="19"/>
      <c r="E123" s="19"/>
      <c r="F123" s="930"/>
      <c r="G123" s="53">
        <v>7.0549999999999997</v>
      </c>
      <c r="H123" s="53">
        <v>0</v>
      </c>
      <c r="I123" s="53">
        <v>19.571999999999999</v>
      </c>
      <c r="J123" s="53">
        <v>24.05</v>
      </c>
      <c r="K123" s="53">
        <v>27.029</v>
      </c>
      <c r="L123" s="45">
        <f t="shared" ref="L123:S123" si="61">K123</f>
        <v>27.029</v>
      </c>
      <c r="M123" s="1159">
        <f t="shared" si="61"/>
        <v>27.029</v>
      </c>
      <c r="N123" s="1159">
        <f t="shared" si="61"/>
        <v>27.029</v>
      </c>
      <c r="O123" s="1159">
        <f t="shared" si="61"/>
        <v>27.029</v>
      </c>
      <c r="P123" s="1159">
        <f t="shared" si="61"/>
        <v>27.029</v>
      </c>
      <c r="Q123" s="1159">
        <f t="shared" si="61"/>
        <v>27.029</v>
      </c>
      <c r="R123" s="1159">
        <f t="shared" si="61"/>
        <v>27.029</v>
      </c>
      <c r="S123" s="1159">
        <f t="shared" si="61"/>
        <v>27.029</v>
      </c>
      <c r="U123" s="93">
        <v>1</v>
      </c>
      <c r="V123" s="24">
        <v>1</v>
      </c>
      <c r="IY123" s="6"/>
    </row>
    <row r="124" spans="1:260" ht="13.5" customHeight="1">
      <c r="A124" s="19"/>
      <c r="B124" s="19"/>
      <c r="C124" s="19" t="s">
        <v>36</v>
      </c>
      <c r="D124" s="19"/>
      <c r="E124" s="19"/>
      <c r="F124" s="930"/>
      <c r="G124" s="53">
        <v>0</v>
      </c>
      <c r="H124" s="53">
        <v>1540.915</v>
      </c>
      <c r="I124" s="53">
        <v>1540.1120000000001</v>
      </c>
      <c r="J124" s="53">
        <v>1579.77</v>
      </c>
      <c r="K124" s="53">
        <v>1585.75</v>
      </c>
      <c r="L124" s="623">
        <f>'DCF - Assumptions'!L168</f>
        <v>1585.75</v>
      </c>
      <c r="M124" s="623">
        <f>'DCF - Assumptions'!M168</f>
        <v>1585.75</v>
      </c>
      <c r="N124" s="623">
        <f>'DCF - Assumptions'!N168</f>
        <v>1585.75</v>
      </c>
      <c r="O124" s="623">
        <f>'DCF - Assumptions'!O168</f>
        <v>1585.75</v>
      </c>
      <c r="P124" s="623">
        <f>'DCF - Assumptions'!P168</f>
        <v>1585.75</v>
      </c>
      <c r="Q124" s="623">
        <f>'DCF - Assumptions'!Q168</f>
        <v>1585.75</v>
      </c>
      <c r="R124" s="623">
        <f>'DCF - Assumptions'!R168</f>
        <v>1585.75</v>
      </c>
      <c r="S124" s="623">
        <f>'DCF - Assumptions'!S168</f>
        <v>1585.75</v>
      </c>
      <c r="U124" s="93">
        <v>1</v>
      </c>
      <c r="V124" s="24">
        <v>1</v>
      </c>
      <c r="IY124" s="6"/>
    </row>
    <row r="125" spans="1:260" ht="13.5" customHeight="1">
      <c r="A125" s="19"/>
      <c r="B125" s="19"/>
      <c r="C125" s="19" t="s">
        <v>34</v>
      </c>
      <c r="D125" s="19"/>
      <c r="E125" s="19"/>
      <c r="F125" s="930"/>
      <c r="G125" s="53">
        <v>1.2410000000000001</v>
      </c>
      <c r="H125" s="53">
        <v>1812.41</v>
      </c>
      <c r="I125" s="53">
        <v>1696.798</v>
      </c>
      <c r="J125" s="53">
        <v>1524.4280000000001</v>
      </c>
      <c r="K125" s="53">
        <v>1484.29</v>
      </c>
      <c r="L125" s="623">
        <f>'DCF - Assumptions'!L160</f>
        <v>1352.1383469664947</v>
      </c>
      <c r="M125" s="623">
        <f>'DCF - Assumptions'!M160</f>
        <v>1222.4655638411145</v>
      </c>
      <c r="N125" s="623">
        <f>'DCF - Assumptions'!N160</f>
        <v>1042.4061502451536</v>
      </c>
      <c r="O125" s="623">
        <f>'DCF - Assumptions'!O160</f>
        <v>840.90166990366879</v>
      </c>
      <c r="P125" s="623">
        <f>'DCF - Assumptions'!P160</f>
        <v>575.14010983229696</v>
      </c>
      <c r="Q125" s="623">
        <f>'DCF - Assumptions'!Q160</f>
        <v>245.52485887406766</v>
      </c>
      <c r="R125" s="623">
        <f>'DCF - Assumptions'!R160</f>
        <v>-177.28273413259791</v>
      </c>
      <c r="S125" s="623">
        <f>'DCF - Assumptions'!S160</f>
        <v>-710.73128988964186</v>
      </c>
      <c r="U125" s="93">
        <v>1</v>
      </c>
      <c r="V125" s="24">
        <v>1</v>
      </c>
      <c r="IY125" s="6"/>
    </row>
    <row r="126" spans="1:260" ht="13.5" customHeight="1">
      <c r="A126" s="19"/>
      <c r="B126" s="19"/>
      <c r="C126" s="19" t="s">
        <v>40</v>
      </c>
      <c r="D126" s="859"/>
      <c r="E126" s="19"/>
      <c r="F126" s="930"/>
      <c r="G126" s="53">
        <v>1.0109999999999999</v>
      </c>
      <c r="H126" s="53">
        <v>1.069</v>
      </c>
      <c r="I126" s="53">
        <v>0</v>
      </c>
      <c r="J126" s="53">
        <v>0</v>
      </c>
      <c r="K126" s="53">
        <v>0</v>
      </c>
      <c r="L126" s="1192">
        <v>0</v>
      </c>
      <c r="M126" s="1192">
        <v>0</v>
      </c>
      <c r="N126" s="1192">
        <v>0</v>
      </c>
      <c r="O126" s="1192">
        <v>0</v>
      </c>
      <c r="P126" s="1192">
        <v>0</v>
      </c>
      <c r="Q126" s="1192">
        <v>0</v>
      </c>
      <c r="R126" s="1192">
        <v>0</v>
      </c>
      <c r="S126" s="1192">
        <v>0</v>
      </c>
      <c r="U126" s="93">
        <v>1</v>
      </c>
      <c r="V126" s="24">
        <v>1</v>
      </c>
      <c r="IY126" s="6"/>
    </row>
    <row r="127" spans="1:260" ht="13.5" customHeight="1">
      <c r="A127" s="19"/>
      <c r="B127" s="19"/>
      <c r="C127" s="19" t="s">
        <v>1267</v>
      </c>
      <c r="D127" s="859"/>
      <c r="E127" s="19"/>
      <c r="F127" s="930"/>
      <c r="G127" s="53">
        <v>0.83499999999999996</v>
      </c>
      <c r="H127" s="53">
        <v>3.319</v>
      </c>
      <c r="I127" s="53">
        <v>10.013</v>
      </c>
      <c r="J127" s="53">
        <v>31.116</v>
      </c>
      <c r="K127" s="53">
        <v>7.12</v>
      </c>
      <c r="L127" s="1192">
        <f t="shared" ref="L127:S127" si="62">K127</f>
        <v>7.12</v>
      </c>
      <c r="M127" s="1192">
        <f t="shared" si="62"/>
        <v>7.12</v>
      </c>
      <c r="N127" s="1192">
        <f t="shared" si="62"/>
        <v>7.12</v>
      </c>
      <c r="O127" s="1192">
        <f t="shared" si="62"/>
        <v>7.12</v>
      </c>
      <c r="P127" s="1192">
        <f t="shared" si="62"/>
        <v>7.12</v>
      </c>
      <c r="Q127" s="1192">
        <f t="shared" si="62"/>
        <v>7.12</v>
      </c>
      <c r="R127" s="1192">
        <f t="shared" si="62"/>
        <v>7.12</v>
      </c>
      <c r="S127" s="1192">
        <f t="shared" si="62"/>
        <v>7.12</v>
      </c>
      <c r="U127" s="93">
        <v>1</v>
      </c>
      <c r="V127" s="24">
        <v>1</v>
      </c>
      <c r="IY127" s="6"/>
    </row>
    <row r="128" spans="1:260" ht="13.5" customHeight="1">
      <c r="A128" s="19"/>
      <c r="B128" s="19"/>
      <c r="C128" s="573" t="s">
        <v>44</v>
      </c>
      <c r="D128" s="48"/>
      <c r="E128" s="48"/>
      <c r="F128" s="932"/>
      <c r="G128" s="854">
        <f>SUM(G119:G127)</f>
        <v>210.29800000000003</v>
      </c>
      <c r="H128" s="854">
        <f t="shared" ref="H128:K128" si="63">SUM(H119:H127)</f>
        <v>3637.268</v>
      </c>
      <c r="I128" s="854">
        <f t="shared" si="63"/>
        <v>3776.9960000000001</v>
      </c>
      <c r="J128" s="854">
        <f t="shared" si="63"/>
        <v>3692.6210000000001</v>
      </c>
      <c r="K128" s="854">
        <f t="shared" si="63"/>
        <v>3625.127</v>
      </c>
      <c r="L128" s="1193">
        <f t="shared" ref="L128:S128" si="64">SUM(L119:L127)</f>
        <v>4208.1958128863998</v>
      </c>
      <c r="M128" s="1193">
        <f t="shared" si="64"/>
        <v>4257.9673722511243</v>
      </c>
      <c r="N128" s="1193">
        <f t="shared" si="64"/>
        <v>4201.2429723104515</v>
      </c>
      <c r="O128" s="1193">
        <f t="shared" si="64"/>
        <v>4260.4989687681937</v>
      </c>
      <c r="P128" s="1193">
        <f t="shared" si="64"/>
        <v>4361.4938849528817</v>
      </c>
      <c r="Q128" s="1193">
        <f t="shared" si="64"/>
        <v>4498.4112986049549</v>
      </c>
      <c r="R128" s="1193">
        <f t="shared" si="64"/>
        <v>4616.7241602191671</v>
      </c>
      <c r="S128" s="1193">
        <f t="shared" si="64"/>
        <v>4778.0266464552142</v>
      </c>
      <c r="U128" s="93">
        <v>1</v>
      </c>
      <c r="V128" s="24">
        <v>1</v>
      </c>
      <c r="IY128" s="6"/>
      <c r="IZ128" s="6"/>
    </row>
    <row r="129" spans="1:259" ht="13.5" customHeight="1">
      <c r="A129" s="19"/>
      <c r="B129" s="19"/>
      <c r="C129" s="19"/>
      <c r="D129" s="19"/>
      <c r="E129" s="19"/>
      <c r="F129" s="930"/>
      <c r="G129" s="874"/>
      <c r="H129" s="53"/>
      <c r="I129" s="53"/>
      <c r="J129" s="53"/>
      <c r="K129" s="53"/>
      <c r="L129" s="53"/>
      <c r="M129" s="53"/>
      <c r="N129" s="53"/>
      <c r="O129" s="53"/>
      <c r="P129" s="53"/>
      <c r="Q129" s="53"/>
      <c r="R129" s="53"/>
      <c r="S129" s="53"/>
      <c r="U129" s="93">
        <v>0</v>
      </c>
      <c r="V129" s="24">
        <v>0</v>
      </c>
      <c r="IY129" s="6"/>
    </row>
    <row r="130" spans="1:259" ht="13.5" customHeight="1">
      <c r="A130" s="19"/>
      <c r="B130" s="19"/>
      <c r="C130" s="52" t="s">
        <v>991</v>
      </c>
      <c r="D130" s="19"/>
      <c r="E130" s="19"/>
      <c r="F130" s="930"/>
      <c r="G130" s="874"/>
      <c r="H130" s="46"/>
      <c r="I130" s="46"/>
      <c r="J130" s="46"/>
      <c r="K130" s="46"/>
      <c r="L130" s="874"/>
      <c r="M130" s="46"/>
      <c r="N130" s="46"/>
      <c r="O130" s="46"/>
      <c r="P130" s="46"/>
      <c r="Q130" s="46"/>
      <c r="R130" s="46"/>
      <c r="S130" s="46"/>
      <c r="U130" s="93">
        <v>1</v>
      </c>
      <c r="V130" s="24">
        <v>1</v>
      </c>
      <c r="IY130" s="6"/>
    </row>
    <row r="131" spans="1:259" ht="13.5" customHeight="1">
      <c r="A131" s="19"/>
      <c r="B131" s="19"/>
      <c r="C131" s="51" t="s">
        <v>47</v>
      </c>
      <c r="D131"/>
      <c r="E131" s="19"/>
      <c r="F131" s="930"/>
      <c r="G131" s="596">
        <v>8.0660000000000007</v>
      </c>
      <c r="H131" s="596">
        <v>23.741</v>
      </c>
      <c r="I131" s="596">
        <v>19.169</v>
      </c>
      <c r="J131" s="596">
        <v>3.367</v>
      </c>
      <c r="K131" s="596">
        <v>4.6109999999999998</v>
      </c>
      <c r="L131" s="626">
        <f>'DCF - Assumptions'!L137</f>
        <v>24.053224128834625</v>
      </c>
      <c r="M131" s="626">
        <f>'DCF - Assumptions'!M137</f>
        <v>31.144917199626153</v>
      </c>
      <c r="N131" s="626">
        <f>'DCF - Assumptions'!N137</f>
        <v>29.508725906536142</v>
      </c>
      <c r="O131" s="626">
        <f>'DCF - Assumptions'!O137</f>
        <v>31.043611383031365</v>
      </c>
      <c r="P131" s="626">
        <f>'DCF - Assumptions'!P137</f>
        <v>44.514577997531276</v>
      </c>
      <c r="Q131" s="626">
        <f>'DCF - Assumptions'!Q137</f>
        <v>65.379035404152162</v>
      </c>
      <c r="R131" s="626">
        <f>'DCF - Assumptions'!R137</f>
        <v>80.994728829254313</v>
      </c>
      <c r="S131" s="626">
        <f>'DCF - Assumptions'!S137</f>
        <v>98.568659195027124</v>
      </c>
      <c r="U131" s="93">
        <v>1</v>
      </c>
      <c r="V131" s="24">
        <v>1</v>
      </c>
      <c r="IY131" s="6"/>
    </row>
    <row r="132" spans="1:259" ht="13.5" customHeight="1">
      <c r="A132" s="19"/>
      <c r="B132" s="19"/>
      <c r="C132" s="51" t="s">
        <v>1212</v>
      </c>
      <c r="D132" s="19"/>
      <c r="E132" s="19"/>
      <c r="F132" s="930"/>
      <c r="G132" s="596">
        <v>88.649000000000001</v>
      </c>
      <c r="H132" s="596">
        <v>180.98599999999999</v>
      </c>
      <c r="I132" s="596">
        <v>111.482</v>
      </c>
      <c r="J132" s="596">
        <v>156.44300000000001</v>
      </c>
      <c r="K132" s="596">
        <v>185.79900000000001</v>
      </c>
      <c r="L132" s="626">
        <f>'DCF - Assumptions'!L138</f>
        <v>66.369108551219242</v>
      </c>
      <c r="M132" s="626">
        <f>'DCF - Assumptions'!M138</f>
        <v>84.297391885782588</v>
      </c>
      <c r="N132" s="626">
        <f>'DCF - Assumptions'!N138</f>
        <v>104.0481828244944</v>
      </c>
      <c r="O132" s="626">
        <f>'DCF - Assumptions'!O138</f>
        <v>129.32135498256582</v>
      </c>
      <c r="P132" s="626">
        <f>'DCF - Assumptions'!P138</f>
        <v>161.85057307818229</v>
      </c>
      <c r="Q132" s="626">
        <f>'DCF - Assumptions'!Q138</f>
        <v>213.11990517603556</v>
      </c>
      <c r="R132" s="626">
        <f>'DCF - Assumptions'!R138</f>
        <v>274.11798840863725</v>
      </c>
      <c r="S132" s="626">
        <f>'DCF - Assumptions'!S138</f>
        <v>351.65219965190067</v>
      </c>
      <c r="U132" s="93">
        <v>1</v>
      </c>
      <c r="V132" s="24">
        <v>1</v>
      </c>
      <c r="IY132" s="6"/>
    </row>
    <row r="133" spans="1:259" ht="13.5" customHeight="1">
      <c r="A133" s="19"/>
      <c r="B133" s="19"/>
      <c r="C133" s="51" t="s">
        <v>1268</v>
      </c>
      <c r="D133" s="19"/>
      <c r="E133" s="19"/>
      <c r="F133" s="930"/>
      <c r="G133" s="596">
        <v>24.748999999999999</v>
      </c>
      <c r="H133" s="596">
        <v>31.268999999999998</v>
      </c>
      <c r="I133" s="596">
        <v>39.569000000000003</v>
      </c>
      <c r="J133" s="596">
        <v>46.107999999999997</v>
      </c>
      <c r="K133" s="596">
        <v>48.749000000000002</v>
      </c>
      <c r="L133" s="626">
        <f>'DCF - Assumptions'!L139</f>
        <v>258.99790410920463</v>
      </c>
      <c r="M133" s="626">
        <f>'DCF - Assumptions'!M139</f>
        <v>334.1773996197212</v>
      </c>
      <c r="N133" s="626">
        <f>'DCF - Assumptions'!N139</f>
        <v>370.676323218812</v>
      </c>
      <c r="O133" s="626">
        <f>'DCF - Assumptions'!O139</f>
        <v>481.61136355449264</v>
      </c>
      <c r="P133" s="626">
        <f>'DCF - Assumptions'!P139</f>
        <v>613.9819906173434</v>
      </c>
      <c r="Q133" s="626">
        <f>'DCF - Assumptions'!Q139</f>
        <v>807.80454095873142</v>
      </c>
      <c r="R133" s="626">
        <f>'DCF - Assumptions'!R139</f>
        <v>1032.7765685861768</v>
      </c>
      <c r="S133" s="626">
        <f>'DCF - Assumptions'!S139</f>
        <v>1310.7182176880442</v>
      </c>
      <c r="U133" s="93">
        <v>1</v>
      </c>
      <c r="V133" s="24">
        <v>1</v>
      </c>
      <c r="IY133" s="6"/>
    </row>
    <row r="134" spans="1:259" ht="13.5" customHeight="1">
      <c r="A134" s="19"/>
      <c r="B134" s="19"/>
      <c r="C134" s="51" t="s">
        <v>49</v>
      </c>
      <c r="D134" s="19"/>
      <c r="E134" s="19"/>
      <c r="F134" s="930"/>
      <c r="G134" s="596">
        <v>0</v>
      </c>
      <c r="H134" s="596">
        <v>5.3380000000000001</v>
      </c>
      <c r="I134" s="596">
        <v>5.75</v>
      </c>
      <c r="J134" s="596">
        <v>5.75</v>
      </c>
      <c r="K134" s="596">
        <v>5.75</v>
      </c>
      <c r="L134" s="626">
        <f>'DCF - Capital Structure'!L70</f>
        <v>5.75</v>
      </c>
      <c r="M134" s="626">
        <f>'DCF - Capital Structure'!M70</f>
        <v>5.75</v>
      </c>
      <c r="N134" s="626">
        <f>'DCF - Capital Structure'!N70</f>
        <v>5.75</v>
      </c>
      <c r="O134" s="626">
        <f>'DCF - Capital Structure'!O70</f>
        <v>5.75</v>
      </c>
      <c r="P134" s="626">
        <f>'DCF - Capital Structure'!P70</f>
        <v>5.75</v>
      </c>
      <c r="Q134" s="626">
        <f>'DCF - Capital Structure'!Q70</f>
        <v>5.75</v>
      </c>
      <c r="R134" s="626">
        <f>'DCF - Capital Structure'!R70</f>
        <v>5.75</v>
      </c>
      <c r="S134" s="626">
        <f>'DCF - Capital Structure'!S70</f>
        <v>5.75</v>
      </c>
      <c r="U134" s="93">
        <v>1</v>
      </c>
      <c r="V134" s="24">
        <v>1</v>
      </c>
      <c r="IY134" s="6"/>
    </row>
    <row r="135" spans="1:259" ht="13.5" customHeight="1">
      <c r="A135" s="19"/>
      <c r="B135" s="19"/>
      <c r="C135" s="48" t="s">
        <v>55</v>
      </c>
      <c r="D135" s="48"/>
      <c r="E135" s="48"/>
      <c r="F135" s="932"/>
      <c r="G135" s="597">
        <f t="shared" ref="G135:S135" si="65">SUM(G131:G134)</f>
        <v>121.464</v>
      </c>
      <c r="H135" s="597">
        <f t="shared" si="65"/>
        <v>241.33399999999997</v>
      </c>
      <c r="I135" s="597">
        <f t="shared" si="65"/>
        <v>175.97000000000003</v>
      </c>
      <c r="J135" s="597">
        <f t="shared" si="65"/>
        <v>211.66800000000001</v>
      </c>
      <c r="K135" s="597">
        <f t="shared" si="65"/>
        <v>244.90899999999999</v>
      </c>
      <c r="L135" s="1191">
        <f t="shared" si="65"/>
        <v>355.17023678925852</v>
      </c>
      <c r="M135" s="1191">
        <f t="shared" si="65"/>
        <v>455.36970870512994</v>
      </c>
      <c r="N135" s="1191">
        <f t="shared" si="65"/>
        <v>509.98323194984255</v>
      </c>
      <c r="O135" s="1191">
        <f t="shared" si="65"/>
        <v>647.72632992008982</v>
      </c>
      <c r="P135" s="1191">
        <f t="shared" si="65"/>
        <v>826.09714169305698</v>
      </c>
      <c r="Q135" s="1191">
        <f t="shared" si="65"/>
        <v>1092.0534815389192</v>
      </c>
      <c r="R135" s="1191">
        <f t="shared" si="65"/>
        <v>1393.6392858240683</v>
      </c>
      <c r="S135" s="1191">
        <f t="shared" si="65"/>
        <v>1766.6890765349719</v>
      </c>
      <c r="U135" s="93">
        <v>1</v>
      </c>
      <c r="V135" s="24">
        <v>1</v>
      </c>
      <c r="IY135" s="6"/>
    </row>
    <row r="136" spans="1:259" s="2" customFormat="1" ht="13.5" customHeight="1">
      <c r="A136" s="19"/>
      <c r="B136" s="19"/>
      <c r="F136" s="935"/>
      <c r="G136" s="50"/>
      <c r="H136" s="50"/>
      <c r="I136" s="50"/>
      <c r="J136" s="50"/>
      <c r="K136" s="50"/>
      <c r="L136" s="50"/>
      <c r="M136" s="50"/>
      <c r="N136" s="50"/>
      <c r="O136" s="50"/>
      <c r="P136" s="50"/>
      <c r="Q136" s="50"/>
      <c r="R136" s="50"/>
      <c r="S136" s="50"/>
      <c r="T136" s="3"/>
      <c r="U136" s="93">
        <v>0</v>
      </c>
      <c r="V136" s="24">
        <v>0</v>
      </c>
      <c r="IY136" s="6"/>
    </row>
    <row r="137" spans="1:259" ht="13.5" customHeight="1">
      <c r="A137" s="19"/>
      <c r="B137" s="19"/>
      <c r="C137" s="19" t="s">
        <v>60</v>
      </c>
      <c r="D137"/>
      <c r="E137" s="19"/>
      <c r="F137" s="930"/>
      <c r="G137" s="49">
        <v>0</v>
      </c>
      <c r="H137" s="49">
        <v>820.87599999999998</v>
      </c>
      <c r="I137" s="49">
        <v>623.23099999999999</v>
      </c>
      <c r="J137" s="49">
        <v>619.22299999999996</v>
      </c>
      <c r="K137" s="49">
        <v>615.17600000000004</v>
      </c>
      <c r="L137" s="626">
        <f>'DCF - Capital Structure'!L15</f>
        <v>1163.3860434252665</v>
      </c>
      <c r="M137" s="626">
        <f>'DCF - Capital Structure'!M15</f>
        <v>1235.318507748244</v>
      </c>
      <c r="N137" s="626">
        <f>'DCF - Capital Structure'!N15</f>
        <v>1267.9271307653059</v>
      </c>
      <c r="O137" s="626">
        <f>'DCF - Capital Structure'!O15</f>
        <v>1306.9872707355048</v>
      </c>
      <c r="P137" s="626">
        <f>'DCF - Capital Structure'!P15</f>
        <v>1355.2805553396706</v>
      </c>
      <c r="Q137" s="626">
        <f>'DCF - Capital Structure'!Q15</f>
        <v>1412.2513217923679</v>
      </c>
      <c r="R137" s="626">
        <f>'DCF - Capital Structure'!R15</f>
        <v>1462.6178719664003</v>
      </c>
      <c r="S137" s="626">
        <f>'DCF - Capital Structure'!S15</f>
        <v>1516.7028246955497</v>
      </c>
      <c r="U137" s="93">
        <v>1</v>
      </c>
      <c r="V137" s="24">
        <v>1</v>
      </c>
      <c r="IY137" s="6"/>
    </row>
    <row r="138" spans="1:259" ht="13.5" customHeight="1">
      <c r="A138" s="19"/>
      <c r="B138" s="19"/>
      <c r="C138" s="19" t="s">
        <v>1269</v>
      </c>
      <c r="D138"/>
      <c r="E138" s="19"/>
      <c r="F138" s="930"/>
      <c r="G138" s="49">
        <v>9.7970000000000006</v>
      </c>
      <c r="H138" s="49">
        <v>5.8310000000000004</v>
      </c>
      <c r="I138" s="49">
        <v>21.710999999999999</v>
      </c>
      <c r="J138" s="49">
        <v>13.75</v>
      </c>
      <c r="K138" s="49">
        <v>13.273</v>
      </c>
      <c r="L138" s="46">
        <f>'DCF - Capital Structure'!L53</f>
        <v>13.273</v>
      </c>
      <c r="M138" s="46">
        <f>'DCF - Capital Structure'!M53</f>
        <v>13.273</v>
      </c>
      <c r="N138" s="46">
        <f>'DCF - Capital Structure'!N53</f>
        <v>13.273</v>
      </c>
      <c r="O138" s="46">
        <f>'DCF - Capital Structure'!O53</f>
        <v>13.273</v>
      </c>
      <c r="P138" s="46">
        <f>'DCF - Capital Structure'!P53</f>
        <v>13.273</v>
      </c>
      <c r="Q138" s="46">
        <f>'DCF - Capital Structure'!Q53</f>
        <v>13.273</v>
      </c>
      <c r="R138" s="46">
        <f>'DCF - Capital Structure'!R53</f>
        <v>13.273</v>
      </c>
      <c r="S138" s="46">
        <f>'DCF - Capital Structure'!S53</f>
        <v>13.273</v>
      </c>
      <c r="U138" s="93">
        <v>1</v>
      </c>
      <c r="V138" s="24">
        <v>1</v>
      </c>
      <c r="IY138" s="6"/>
    </row>
    <row r="139" spans="1:259" ht="13.5" customHeight="1">
      <c r="A139" s="19"/>
      <c r="B139" s="19"/>
      <c r="C139" s="51" t="s">
        <v>1270</v>
      </c>
      <c r="D139" s="19"/>
      <c r="E139" s="19"/>
      <c r="F139" s="930"/>
      <c r="G139" s="49">
        <v>0</v>
      </c>
      <c r="H139" s="49">
        <v>428.08699999999999</v>
      </c>
      <c r="I139" s="49">
        <v>0</v>
      </c>
      <c r="J139" s="49">
        <v>8.077</v>
      </c>
      <c r="K139" s="49">
        <v>5.673</v>
      </c>
      <c r="L139" s="64">
        <f t="shared" ref="L139:S141" si="66">K139</f>
        <v>5.673</v>
      </c>
      <c r="M139" s="64">
        <f t="shared" si="66"/>
        <v>5.673</v>
      </c>
      <c r="N139" s="64">
        <f t="shared" si="66"/>
        <v>5.673</v>
      </c>
      <c r="O139" s="64">
        <f t="shared" si="66"/>
        <v>5.673</v>
      </c>
      <c r="P139" s="64">
        <f t="shared" si="66"/>
        <v>5.673</v>
      </c>
      <c r="Q139" s="64">
        <f t="shared" si="66"/>
        <v>5.673</v>
      </c>
      <c r="R139" s="64">
        <f t="shared" si="66"/>
        <v>5.673</v>
      </c>
      <c r="S139" s="64">
        <f t="shared" si="66"/>
        <v>5.673</v>
      </c>
      <c r="U139" s="93">
        <v>1</v>
      </c>
      <c r="V139" s="24">
        <v>1</v>
      </c>
      <c r="IY139" s="6"/>
    </row>
    <row r="140" spans="1:259" ht="13.5" customHeight="1">
      <c r="A140" s="19"/>
      <c r="B140" s="19"/>
      <c r="C140" s="51" t="s">
        <v>1271</v>
      </c>
      <c r="D140" s="19"/>
      <c r="E140" s="19"/>
      <c r="F140" s="930"/>
      <c r="G140" s="49">
        <v>49.355000000000004</v>
      </c>
      <c r="H140" s="49">
        <v>56.358999999999995</v>
      </c>
      <c r="I140" s="49">
        <v>97.534999999999997</v>
      </c>
      <c r="J140" s="49">
        <v>0.83799999999999919</v>
      </c>
      <c r="K140" s="49">
        <v>1.4340000000000011</v>
      </c>
      <c r="L140" s="64">
        <f t="shared" si="66"/>
        <v>1.4340000000000011</v>
      </c>
      <c r="M140" s="64">
        <f t="shared" si="66"/>
        <v>1.4340000000000011</v>
      </c>
      <c r="N140" s="64">
        <f t="shared" si="66"/>
        <v>1.4340000000000011</v>
      </c>
      <c r="O140" s="64">
        <f t="shared" si="66"/>
        <v>1.4340000000000011</v>
      </c>
      <c r="P140" s="64">
        <f t="shared" si="66"/>
        <v>1.4340000000000011</v>
      </c>
      <c r="Q140" s="64">
        <f t="shared" si="66"/>
        <v>1.4340000000000011</v>
      </c>
      <c r="R140" s="64">
        <f t="shared" si="66"/>
        <v>1.4340000000000011</v>
      </c>
      <c r="S140" s="64">
        <f t="shared" si="66"/>
        <v>1.4340000000000011</v>
      </c>
      <c r="U140" s="93">
        <v>1</v>
      </c>
      <c r="V140" s="24">
        <v>1</v>
      </c>
      <c r="IY140" s="6"/>
    </row>
    <row r="141" spans="1:259" ht="13.5" customHeight="1">
      <c r="A141" s="19"/>
      <c r="B141" s="19"/>
      <c r="C141" s="51" t="s">
        <v>1272</v>
      </c>
      <c r="D141" s="19"/>
      <c r="E141" s="19"/>
      <c r="F141" s="930"/>
      <c r="G141" s="49">
        <v>0</v>
      </c>
      <c r="H141" s="49">
        <v>0</v>
      </c>
      <c r="I141" s="49">
        <v>388.78</v>
      </c>
      <c r="J141" s="49">
        <v>385.48599999999999</v>
      </c>
      <c r="K141" s="49">
        <v>407.38900000000001</v>
      </c>
      <c r="L141" s="64">
        <f t="shared" si="66"/>
        <v>407.38900000000001</v>
      </c>
      <c r="M141" s="64">
        <f t="shared" si="66"/>
        <v>407.38900000000001</v>
      </c>
      <c r="N141" s="64">
        <f t="shared" si="66"/>
        <v>407.38900000000001</v>
      </c>
      <c r="O141" s="64">
        <f t="shared" si="66"/>
        <v>407.38900000000001</v>
      </c>
      <c r="P141" s="64">
        <f t="shared" si="66"/>
        <v>407.38900000000001</v>
      </c>
      <c r="Q141" s="64">
        <f t="shared" si="66"/>
        <v>407.38900000000001</v>
      </c>
      <c r="R141" s="64">
        <f t="shared" si="66"/>
        <v>407.38900000000001</v>
      </c>
      <c r="S141" s="64">
        <f t="shared" si="66"/>
        <v>407.38900000000001</v>
      </c>
      <c r="U141" s="93">
        <v>1</v>
      </c>
      <c r="V141" s="24">
        <v>1</v>
      </c>
      <c r="IY141" s="6"/>
    </row>
    <row r="142" spans="1:259" ht="13.5" customHeight="1">
      <c r="A142" s="19"/>
      <c r="B142" s="19"/>
      <c r="C142" s="573" t="s">
        <v>68</v>
      </c>
      <c r="D142" s="573"/>
      <c r="E142" s="573"/>
      <c r="F142" s="931"/>
      <c r="G142" s="579">
        <f>SUM(G135:G141)</f>
        <v>180.61599999999999</v>
      </c>
      <c r="H142" s="579">
        <f t="shared" ref="H142:K142" si="67">SUM(H135:H141)</f>
        <v>1552.4869999999999</v>
      </c>
      <c r="I142" s="579">
        <f t="shared" si="67"/>
        <v>1307.2269999999999</v>
      </c>
      <c r="J142" s="579">
        <f t="shared" si="67"/>
        <v>1239.0419999999999</v>
      </c>
      <c r="K142" s="579">
        <f t="shared" si="67"/>
        <v>1287.854</v>
      </c>
      <c r="L142" s="579">
        <f t="shared" ref="L142:S142" si="68">SUM(L135:L141)</f>
        <v>1946.3252802145248</v>
      </c>
      <c r="M142" s="579">
        <f t="shared" si="68"/>
        <v>2118.4572164533738</v>
      </c>
      <c r="N142" s="579">
        <f t="shared" si="68"/>
        <v>2205.6793627151483</v>
      </c>
      <c r="O142" s="579">
        <f t="shared" si="68"/>
        <v>2382.4826006555945</v>
      </c>
      <c r="P142" s="579">
        <f t="shared" si="68"/>
        <v>2609.1466970327278</v>
      </c>
      <c r="Q142" s="579">
        <f t="shared" si="68"/>
        <v>2932.0738033312873</v>
      </c>
      <c r="R142" s="579">
        <f t="shared" si="68"/>
        <v>3284.0261577904689</v>
      </c>
      <c r="S142" s="579">
        <f t="shared" si="68"/>
        <v>3711.1609012305216</v>
      </c>
      <c r="T142" s="6"/>
      <c r="U142" s="93">
        <v>1</v>
      </c>
      <c r="V142" s="24">
        <v>1</v>
      </c>
      <c r="IY142" s="6"/>
    </row>
    <row r="143" spans="1:259" ht="13.5" customHeight="1">
      <c r="A143" s="19"/>
      <c r="B143" s="19"/>
      <c r="C143" s="19"/>
      <c r="D143" s="19"/>
      <c r="E143" s="19"/>
      <c r="F143" s="930"/>
      <c r="G143" s="46"/>
      <c r="H143" s="46"/>
      <c r="I143" s="46"/>
      <c r="J143" s="46"/>
      <c r="K143" s="46"/>
      <c r="L143" s="46"/>
      <c r="M143" s="46"/>
      <c r="N143" s="46"/>
      <c r="O143" s="46"/>
      <c r="P143" s="46"/>
      <c r="Q143" s="46"/>
      <c r="R143" s="46"/>
      <c r="S143" s="46"/>
      <c r="U143" s="93">
        <v>0</v>
      </c>
      <c r="V143" s="24">
        <v>0</v>
      </c>
      <c r="IY143" s="2"/>
    </row>
    <row r="144" spans="1:259" ht="13.5" customHeight="1">
      <c r="B144" s="19"/>
      <c r="C144" s="19" t="s">
        <v>1273</v>
      </c>
      <c r="D144" s="19"/>
      <c r="E144" s="19"/>
      <c r="F144" s="930"/>
      <c r="G144" s="45">
        <v>1.0999999999999999E-2</v>
      </c>
      <c r="H144" s="45">
        <v>1903.1210000000001</v>
      </c>
      <c r="I144" s="45">
        <v>1.292</v>
      </c>
      <c r="J144" s="45">
        <v>1.298</v>
      </c>
      <c r="K144" s="45">
        <v>1.385</v>
      </c>
      <c r="L144" s="64">
        <f t="shared" ref="L144:S144" si="69">K144</f>
        <v>1.385</v>
      </c>
      <c r="M144" s="64">
        <f t="shared" si="69"/>
        <v>1.385</v>
      </c>
      <c r="N144" s="64">
        <f t="shared" si="69"/>
        <v>1.385</v>
      </c>
      <c r="O144" s="64">
        <f t="shared" si="69"/>
        <v>1.385</v>
      </c>
      <c r="P144" s="64">
        <f t="shared" si="69"/>
        <v>1.385</v>
      </c>
      <c r="Q144" s="64">
        <f t="shared" si="69"/>
        <v>1.385</v>
      </c>
      <c r="R144" s="64">
        <f t="shared" si="69"/>
        <v>1.385</v>
      </c>
      <c r="S144" s="64">
        <f t="shared" si="69"/>
        <v>1.385</v>
      </c>
      <c r="U144" s="93">
        <v>1</v>
      </c>
      <c r="V144" s="24">
        <v>1</v>
      </c>
      <c r="IY144" s="6"/>
    </row>
    <row r="145" spans="1:259" ht="13.5" customHeight="1">
      <c r="B145" s="19"/>
      <c r="C145" s="19" t="s">
        <v>1274</v>
      </c>
      <c r="D145" s="19"/>
      <c r="E145" s="19"/>
      <c r="F145" s="930"/>
      <c r="G145" s="45">
        <v>3.4489999999999998</v>
      </c>
      <c r="H145" s="45">
        <v>0</v>
      </c>
      <c r="I145" s="45">
        <v>1588.4259999999999</v>
      </c>
      <c r="J145" s="45">
        <v>1691.9110000000001</v>
      </c>
      <c r="K145" s="45">
        <v>1772.4490000000001</v>
      </c>
      <c r="L145" s="559">
        <f>'DCF - Capital Structure'!L171</f>
        <v>1847.5173747012748</v>
      </c>
      <c r="M145" s="559">
        <f>'DCF - Capital Structure'!M171</f>
        <v>1939.2583092108644</v>
      </c>
      <c r="N145" s="559">
        <f>'DCF - Capital Structure'!N171</f>
        <v>2051.884345453343</v>
      </c>
      <c r="O145" s="559">
        <f>'DCF - Capital Structure'!O171</f>
        <v>2191.8894519387491</v>
      </c>
      <c r="P145" s="559">
        <f>'DCF - Capital Structure'!P171</f>
        <v>2366.9325086114977</v>
      </c>
      <c r="Q145" s="559">
        <f>'DCF - Capital Structure'!Q171</f>
        <v>2587.2053608157289</v>
      </c>
      <c r="R145" s="559">
        <f>'DCF - Capital Structure'!R171</f>
        <v>2867.6978761018286</v>
      </c>
      <c r="S145" s="559">
        <f>'DCF - Capital Structure'!S171</f>
        <v>3223.9429405171254</v>
      </c>
      <c r="U145" s="93">
        <v>1</v>
      </c>
      <c r="V145" s="24">
        <v>1</v>
      </c>
      <c r="IY145" s="6"/>
    </row>
    <row r="146" spans="1:259" ht="13.5" customHeight="1">
      <c r="B146" s="19"/>
      <c r="C146" s="19" t="s">
        <v>1275</v>
      </c>
      <c r="D146" s="19"/>
      <c r="E146" s="19"/>
      <c r="F146" s="930"/>
      <c r="G146" s="45">
        <v>-3.7879999999999998</v>
      </c>
      <c r="H146" s="45">
        <v>0</v>
      </c>
      <c r="I146" s="45">
        <v>0</v>
      </c>
      <c r="J146" s="45">
        <v>0</v>
      </c>
      <c r="K146" s="45">
        <v>-73.763999999999996</v>
      </c>
      <c r="L146" s="64">
        <f t="shared" ref="L146:S146" si="70">K146</f>
        <v>-73.763999999999996</v>
      </c>
      <c r="M146" s="64">
        <f t="shared" si="70"/>
        <v>-73.763999999999996</v>
      </c>
      <c r="N146" s="64">
        <f t="shared" si="70"/>
        <v>-73.763999999999996</v>
      </c>
      <c r="O146" s="64">
        <f t="shared" si="70"/>
        <v>-73.763999999999996</v>
      </c>
      <c r="P146" s="64">
        <f t="shared" si="70"/>
        <v>-73.763999999999996</v>
      </c>
      <c r="Q146" s="64">
        <f t="shared" si="70"/>
        <v>-73.763999999999996</v>
      </c>
      <c r="R146" s="64">
        <f t="shared" si="70"/>
        <v>-73.763999999999996</v>
      </c>
      <c r="S146" s="64">
        <f t="shared" si="70"/>
        <v>-73.763999999999996</v>
      </c>
      <c r="U146" s="93">
        <v>1</v>
      </c>
      <c r="V146" s="24">
        <v>1</v>
      </c>
      <c r="IY146" s="6"/>
    </row>
    <row r="147" spans="1:259" ht="13.5" customHeight="1">
      <c r="B147" s="19"/>
      <c r="C147" s="19" t="s">
        <v>1276</v>
      </c>
      <c r="D147" s="19"/>
      <c r="E147" s="19"/>
      <c r="F147" s="930"/>
      <c r="G147" s="45">
        <v>23.352</v>
      </c>
      <c r="H147" s="45">
        <v>0</v>
      </c>
      <c r="I147" s="45">
        <v>-60.125</v>
      </c>
      <c r="J147" s="45">
        <v>-139.87100000000001</v>
      </c>
      <c r="K147" s="45">
        <v>-144.084</v>
      </c>
      <c r="L147" s="559">
        <f>'DCF - Capital Structure'!L179</f>
        <v>-294.55484202939942</v>
      </c>
      <c r="M147" s="559">
        <f>'DCF - Capital Structure'!M179</f>
        <v>-508.65615341311332</v>
      </c>
      <c r="N147" s="559">
        <f>'DCF - Capital Structure'!N179</f>
        <v>-765.22873585803927</v>
      </c>
      <c r="O147" s="559">
        <f>'DCF - Capital Structure'!O179</f>
        <v>-1022.7810838261496</v>
      </c>
      <c r="P147" s="559">
        <f>'DCF - Capital Structure'!P179</f>
        <v>-1323.4933206913429</v>
      </c>
      <c r="Q147" s="559">
        <f>'DCF - Capital Structure'!Q179</f>
        <v>-1729.7758655420598</v>
      </c>
      <c r="R147" s="559">
        <f>'DCF - Capital Structure'!R179</f>
        <v>-2243.9078736731294</v>
      </c>
      <c r="S147" s="559">
        <f>'DCF - Capital Structure'!S179</f>
        <v>-2865.9851952924328</v>
      </c>
      <c r="U147" s="93">
        <v>1</v>
      </c>
      <c r="V147" s="24">
        <v>1</v>
      </c>
      <c r="IY147" s="6"/>
    </row>
    <row r="148" spans="1:259" ht="13.5" customHeight="1">
      <c r="B148" s="19"/>
      <c r="C148" s="19" t="s">
        <v>1277</v>
      </c>
      <c r="D148" s="19"/>
      <c r="E148" s="19"/>
      <c r="F148" s="930"/>
      <c r="G148" s="45">
        <v>0.64400000000000002</v>
      </c>
      <c r="H148" s="45">
        <v>180.852</v>
      </c>
      <c r="I148" s="45">
        <v>78.602999999999994</v>
      </c>
      <c r="J148" s="45">
        <v>74.477000000000004</v>
      </c>
      <c r="K148" s="45">
        <v>79.028999999999996</v>
      </c>
      <c r="L148" s="64">
        <f t="shared" ref="L148:S148" si="71">K148</f>
        <v>79.028999999999996</v>
      </c>
      <c r="M148" s="64">
        <f t="shared" si="71"/>
        <v>79.028999999999996</v>
      </c>
      <c r="N148" s="64">
        <f t="shared" si="71"/>
        <v>79.028999999999996</v>
      </c>
      <c r="O148" s="64">
        <f t="shared" si="71"/>
        <v>79.028999999999996</v>
      </c>
      <c r="P148" s="64">
        <f t="shared" si="71"/>
        <v>79.028999999999996</v>
      </c>
      <c r="Q148" s="64">
        <f t="shared" si="71"/>
        <v>79.028999999999996</v>
      </c>
      <c r="R148" s="64">
        <f t="shared" si="71"/>
        <v>79.028999999999996</v>
      </c>
      <c r="S148" s="64">
        <f t="shared" si="71"/>
        <v>79.028999999999996</v>
      </c>
      <c r="U148" s="93">
        <v>1</v>
      </c>
      <c r="V148" s="24">
        <v>1</v>
      </c>
      <c r="IY148" s="6"/>
    </row>
    <row r="149" spans="1:259" ht="13.5" customHeight="1">
      <c r="B149" s="19"/>
      <c r="C149" s="48" t="s">
        <v>1010</v>
      </c>
      <c r="D149" s="48"/>
      <c r="E149" s="48"/>
      <c r="F149" s="932"/>
      <c r="G149" s="47">
        <f>SUM(G144:G148)</f>
        <v>23.667999999999999</v>
      </c>
      <c r="H149" s="47">
        <f t="shared" ref="H149:K149" si="72">SUM(H144:H148)</f>
        <v>2083.973</v>
      </c>
      <c r="I149" s="47">
        <f t="shared" si="72"/>
        <v>1608.1959999999999</v>
      </c>
      <c r="J149" s="47">
        <f t="shared" si="72"/>
        <v>1627.8150000000001</v>
      </c>
      <c r="K149" s="47">
        <f t="shared" si="72"/>
        <v>1635.0150000000001</v>
      </c>
      <c r="L149" s="47">
        <f t="shared" ref="L149:S149" si="73">SUM(L144:L148)</f>
        <v>1559.6125326718754</v>
      </c>
      <c r="M149" s="47">
        <f t="shared" si="73"/>
        <v>1437.2521557977511</v>
      </c>
      <c r="N149" s="47">
        <f t="shared" si="73"/>
        <v>1293.3056095953041</v>
      </c>
      <c r="O149" s="47">
        <f t="shared" si="73"/>
        <v>1175.7583681125996</v>
      </c>
      <c r="P149" s="47">
        <f t="shared" si="73"/>
        <v>1050.0891879201549</v>
      </c>
      <c r="Q149" s="47">
        <f t="shared" si="73"/>
        <v>864.07949527366918</v>
      </c>
      <c r="R149" s="47">
        <f t="shared" si="73"/>
        <v>630.44000242869924</v>
      </c>
      <c r="S149" s="47">
        <f t="shared" si="73"/>
        <v>364.60774522469274</v>
      </c>
      <c r="U149" s="93">
        <v>1</v>
      </c>
      <c r="V149" s="24">
        <v>1</v>
      </c>
      <c r="IY149" s="6"/>
    </row>
    <row r="150" spans="1:259" ht="13.5" customHeight="1">
      <c r="B150" s="19"/>
      <c r="C150" s="1095" t="s">
        <v>1278</v>
      </c>
      <c r="D150" s="1095"/>
      <c r="E150" s="1095"/>
      <c r="F150" s="1096"/>
      <c r="G150" s="1098">
        <v>6.0140000000000002</v>
      </c>
      <c r="H150" s="1098">
        <v>0.80800000000000005</v>
      </c>
      <c r="I150" s="1098">
        <v>861.57299999999998</v>
      </c>
      <c r="J150" s="1098">
        <v>825.76400000000001</v>
      </c>
      <c r="K150" s="1098">
        <v>702.25800000000004</v>
      </c>
      <c r="L150" s="1150">
        <f t="shared" ref="L150:S150" si="74">K150</f>
        <v>702.25800000000004</v>
      </c>
      <c r="M150" s="1150">
        <f t="shared" si="74"/>
        <v>702.25800000000004</v>
      </c>
      <c r="N150" s="1150">
        <f t="shared" si="74"/>
        <v>702.25800000000004</v>
      </c>
      <c r="O150" s="1150">
        <f t="shared" si="74"/>
        <v>702.25800000000004</v>
      </c>
      <c r="P150" s="1150">
        <f t="shared" si="74"/>
        <v>702.25800000000004</v>
      </c>
      <c r="Q150" s="1150">
        <f t="shared" si="74"/>
        <v>702.25800000000004</v>
      </c>
      <c r="R150" s="1150">
        <f t="shared" si="74"/>
        <v>702.25800000000004</v>
      </c>
      <c r="S150" s="1150">
        <f t="shared" si="74"/>
        <v>702.25800000000004</v>
      </c>
      <c r="U150" s="93">
        <v>1</v>
      </c>
      <c r="V150" s="24">
        <v>1</v>
      </c>
      <c r="IY150" s="6"/>
    </row>
    <row r="151" spans="1:259" ht="13.5" customHeight="1">
      <c r="C151" s="848" t="s">
        <v>1011</v>
      </c>
      <c r="D151" s="848"/>
      <c r="E151" s="848"/>
      <c r="F151" s="936"/>
      <c r="G151" s="849">
        <f t="shared" ref="G151:I151" si="75">SUM(G149:G150)</f>
        <v>29.681999999999999</v>
      </c>
      <c r="H151" s="849">
        <f t="shared" si="75"/>
        <v>2084.7809999999999</v>
      </c>
      <c r="I151" s="849">
        <f t="shared" si="75"/>
        <v>2469.7689999999998</v>
      </c>
      <c r="J151" s="849">
        <f>SUM(J149:J150)</f>
        <v>2453.5790000000002</v>
      </c>
      <c r="K151" s="849">
        <f t="shared" ref="K151" si="76">SUM(K149:K150)</f>
        <v>2337.2730000000001</v>
      </c>
      <c r="L151" s="849">
        <f t="shared" ref="L151:S151" si="77">SUM(L149:L150)</f>
        <v>2261.8705326718755</v>
      </c>
      <c r="M151" s="849">
        <f t="shared" si="77"/>
        <v>2139.5101557977514</v>
      </c>
      <c r="N151" s="849">
        <f t="shared" si="77"/>
        <v>1995.5636095953041</v>
      </c>
      <c r="O151" s="849">
        <f t="shared" si="77"/>
        <v>1878.0163681125996</v>
      </c>
      <c r="P151" s="849">
        <f t="shared" si="77"/>
        <v>1752.347187920155</v>
      </c>
      <c r="Q151" s="849">
        <f t="shared" si="77"/>
        <v>1566.3374952736692</v>
      </c>
      <c r="R151" s="849">
        <f t="shared" si="77"/>
        <v>1332.6980024286993</v>
      </c>
      <c r="S151" s="849">
        <f t="shared" si="77"/>
        <v>1066.8657452246928</v>
      </c>
      <c r="U151" s="93">
        <v>1</v>
      </c>
      <c r="V151" s="24">
        <v>1</v>
      </c>
      <c r="IY151" s="6"/>
    </row>
    <row r="152" spans="1:259" ht="13.5" customHeight="1">
      <c r="C152" s="44"/>
      <c r="D152" s="44"/>
      <c r="E152" s="44"/>
      <c r="F152" s="937"/>
      <c r="G152" s="43"/>
      <c r="H152" s="43"/>
      <c r="I152" s="43"/>
      <c r="J152" s="43"/>
      <c r="K152" s="43"/>
      <c r="L152" s="43"/>
      <c r="M152" s="43"/>
      <c r="N152" s="43"/>
      <c r="O152" s="43"/>
      <c r="P152" s="43"/>
      <c r="Q152" s="43"/>
      <c r="R152" s="43"/>
      <c r="S152" s="43"/>
      <c r="U152" s="93">
        <v>0</v>
      </c>
      <c r="V152" s="24">
        <v>0</v>
      </c>
      <c r="IY152" s="6"/>
    </row>
    <row r="153" spans="1:259" ht="13.5" customHeight="1">
      <c r="C153" s="848" t="s">
        <v>1012</v>
      </c>
      <c r="D153" s="848"/>
      <c r="E153" s="848"/>
      <c r="F153" s="936"/>
      <c r="G153" s="849">
        <f t="shared" ref="G153:S153" si="78">G151+G142</f>
        <v>210.29799999999997</v>
      </c>
      <c r="H153" s="849">
        <f t="shared" si="78"/>
        <v>3637.268</v>
      </c>
      <c r="I153" s="849">
        <f t="shared" si="78"/>
        <v>3776.9959999999996</v>
      </c>
      <c r="J153" s="849">
        <f t="shared" si="78"/>
        <v>3692.6210000000001</v>
      </c>
      <c r="K153" s="849">
        <f t="shared" si="78"/>
        <v>3625.1270000000004</v>
      </c>
      <c r="L153" s="850">
        <f t="shared" si="78"/>
        <v>4208.1958128864007</v>
      </c>
      <c r="M153" s="850">
        <f t="shared" si="78"/>
        <v>4257.9673722511252</v>
      </c>
      <c r="N153" s="850">
        <f t="shared" si="78"/>
        <v>4201.2429723104524</v>
      </c>
      <c r="O153" s="850">
        <f t="shared" si="78"/>
        <v>4260.4989687681937</v>
      </c>
      <c r="P153" s="850">
        <f t="shared" si="78"/>
        <v>4361.4938849528826</v>
      </c>
      <c r="Q153" s="850">
        <f t="shared" si="78"/>
        <v>4498.4112986049568</v>
      </c>
      <c r="R153" s="850">
        <f t="shared" si="78"/>
        <v>4616.724160219168</v>
      </c>
      <c r="S153" s="850">
        <f t="shared" si="78"/>
        <v>4778.0266464552142</v>
      </c>
      <c r="U153" s="93">
        <v>1</v>
      </c>
      <c r="V153" s="24">
        <v>1</v>
      </c>
      <c r="IY153" s="6"/>
    </row>
    <row r="154" spans="1:259" ht="13.5" customHeight="1">
      <c r="C154" s="19"/>
      <c r="D154" s="19"/>
      <c r="E154" s="19"/>
      <c r="F154" s="930"/>
      <c r="G154" s="46"/>
      <c r="H154" s="46"/>
      <c r="I154" s="46"/>
      <c r="J154" s="46"/>
      <c r="K154" s="46"/>
      <c r="L154" s="46"/>
      <c r="M154" s="46"/>
      <c r="N154" s="46"/>
      <c r="O154" s="46"/>
      <c r="P154" s="46"/>
      <c r="Q154" s="46"/>
      <c r="R154" s="46"/>
      <c r="S154" s="46"/>
      <c r="U154" s="93">
        <v>0</v>
      </c>
      <c r="V154" s="24">
        <v>0</v>
      </c>
      <c r="IY154" s="6"/>
    </row>
    <row r="155" spans="1:259" ht="13.5" customHeight="1">
      <c r="A155" s="19"/>
      <c r="B155" s="19"/>
      <c r="C155" s="16" t="s">
        <v>1013</v>
      </c>
      <c r="D155" s="15"/>
      <c r="E155" s="15"/>
      <c r="F155" s="934"/>
      <c r="G155" s="60" t="str">
        <f t="shared" ref="G155:S155" si="79">IF(ABS(G128-G153)&gt;1,G128-G153,"OK")</f>
        <v>OK</v>
      </c>
      <c r="H155" s="60" t="str">
        <f t="shared" si="79"/>
        <v>OK</v>
      </c>
      <c r="I155" s="60" t="str">
        <f t="shared" si="79"/>
        <v>OK</v>
      </c>
      <c r="J155" s="60" t="str">
        <f t="shared" si="79"/>
        <v>OK</v>
      </c>
      <c r="K155" s="60" t="str">
        <f t="shared" si="79"/>
        <v>OK</v>
      </c>
      <c r="L155" s="60" t="str">
        <f t="shared" si="79"/>
        <v>OK</v>
      </c>
      <c r="M155" s="60" t="str">
        <f t="shared" si="79"/>
        <v>OK</v>
      </c>
      <c r="N155" s="60" t="str">
        <f t="shared" si="79"/>
        <v>OK</v>
      </c>
      <c r="O155" s="60" t="str">
        <f t="shared" si="79"/>
        <v>OK</v>
      </c>
      <c r="P155" s="60" t="str">
        <f t="shared" si="79"/>
        <v>OK</v>
      </c>
      <c r="Q155" s="60" t="str">
        <f t="shared" si="79"/>
        <v>OK</v>
      </c>
      <c r="R155" s="60" t="str">
        <f t="shared" si="79"/>
        <v>OK</v>
      </c>
      <c r="S155" s="59" t="str">
        <f t="shared" si="79"/>
        <v>OK</v>
      </c>
      <c r="U155" s="93">
        <v>1</v>
      </c>
      <c r="V155" s="24">
        <v>1</v>
      </c>
    </row>
    <row r="156" spans="1:259" s="2" customFormat="1" ht="13.2">
      <c r="F156" s="935"/>
      <c r="U156" s="93">
        <v>0</v>
      </c>
      <c r="V156" s="24">
        <v>0</v>
      </c>
    </row>
    <row r="157" spans="1:259" s="2" customFormat="1" ht="13.2" hidden="1">
      <c r="F157" s="935"/>
      <c r="U157" s="93">
        <f t="shared" ref="U157:U183" si="80">IF(NOT(ISBLANK(C157)), 1, 0)</f>
        <v>0</v>
      </c>
      <c r="V157" s="24">
        <v>0</v>
      </c>
    </row>
    <row r="158" spans="1:259" s="2" customFormat="1" ht="13.2" hidden="1">
      <c r="F158" s="935"/>
      <c r="U158" s="93">
        <f t="shared" si="80"/>
        <v>0</v>
      </c>
      <c r="V158" s="24">
        <v>0</v>
      </c>
    </row>
    <row r="159" spans="1:259" s="2" customFormat="1" ht="13.2" hidden="1">
      <c r="F159" s="935"/>
      <c r="U159" s="93">
        <f t="shared" si="80"/>
        <v>0</v>
      </c>
      <c r="V159" s="24">
        <v>0</v>
      </c>
    </row>
    <row r="160" spans="1:259" s="2" customFormat="1" ht="13.2" hidden="1">
      <c r="F160" s="935"/>
      <c r="U160" s="93">
        <f t="shared" si="80"/>
        <v>0</v>
      </c>
      <c r="V160" s="24">
        <v>0</v>
      </c>
    </row>
    <row r="161" spans="3:22" s="2" customFormat="1" ht="13.2" hidden="1">
      <c r="F161" s="935"/>
      <c r="U161" s="93">
        <f t="shared" si="80"/>
        <v>0</v>
      </c>
      <c r="V161" s="24">
        <v>0</v>
      </c>
    </row>
    <row r="162" spans="3:22" s="2" customFormat="1" ht="13.2" hidden="1">
      <c r="F162" s="935"/>
      <c r="U162" s="93">
        <f t="shared" si="80"/>
        <v>0</v>
      </c>
      <c r="V162" s="24">
        <v>0</v>
      </c>
    </row>
    <row r="163" spans="3:22" s="2" customFormat="1" ht="13.2" hidden="1">
      <c r="F163" s="935"/>
      <c r="U163" s="93">
        <f t="shared" si="80"/>
        <v>0</v>
      </c>
      <c r="V163" s="24">
        <v>0</v>
      </c>
    </row>
    <row r="164" spans="3:22" s="2" customFormat="1" ht="13.2" hidden="1">
      <c r="F164" s="935"/>
      <c r="U164" s="93">
        <f t="shared" si="80"/>
        <v>0</v>
      </c>
      <c r="V164" s="24">
        <v>0</v>
      </c>
    </row>
    <row r="165" spans="3:22" hidden="1">
      <c r="U165" s="93">
        <f t="shared" si="80"/>
        <v>0</v>
      </c>
      <c r="V165" s="24">
        <v>0</v>
      </c>
    </row>
    <row r="166" spans="3:22" hidden="1">
      <c r="U166" s="93">
        <f t="shared" si="80"/>
        <v>0</v>
      </c>
      <c r="V166" s="24">
        <v>0</v>
      </c>
    </row>
    <row r="167" spans="3:22" hidden="1">
      <c r="U167" s="93">
        <f t="shared" si="80"/>
        <v>0</v>
      </c>
      <c r="V167" s="24">
        <v>0</v>
      </c>
    </row>
    <row r="168" spans="3:22" hidden="1">
      <c r="U168" s="93">
        <f t="shared" si="80"/>
        <v>0</v>
      </c>
      <c r="V168" s="24">
        <v>0</v>
      </c>
    </row>
    <row r="169" spans="3:22" hidden="1">
      <c r="U169" s="93">
        <f t="shared" si="80"/>
        <v>0</v>
      </c>
      <c r="V169" s="24">
        <v>0</v>
      </c>
    </row>
    <row r="170" spans="3:22" hidden="1">
      <c r="U170" s="93">
        <f t="shared" si="80"/>
        <v>0</v>
      </c>
      <c r="V170" s="24">
        <v>0</v>
      </c>
    </row>
    <row r="171" spans="3:22" hidden="1">
      <c r="U171" s="93">
        <f t="shared" si="80"/>
        <v>0</v>
      </c>
      <c r="V171" s="24">
        <v>0</v>
      </c>
    </row>
    <row r="172" spans="3:22" hidden="1">
      <c r="U172" s="93">
        <f t="shared" si="80"/>
        <v>0</v>
      </c>
      <c r="V172" s="24">
        <v>0</v>
      </c>
    </row>
    <row r="173" spans="3:22" hidden="1">
      <c r="U173" s="93">
        <f t="shared" si="80"/>
        <v>0</v>
      </c>
      <c r="V173" s="24">
        <v>0</v>
      </c>
    </row>
    <row r="174" spans="3:22" hidden="1">
      <c r="U174" s="93">
        <f t="shared" si="80"/>
        <v>0</v>
      </c>
      <c r="V174" s="24">
        <v>0</v>
      </c>
    </row>
    <row r="175" spans="3:22" hidden="1">
      <c r="U175" s="93">
        <f t="shared" si="80"/>
        <v>0</v>
      </c>
      <c r="V175" s="24">
        <v>0</v>
      </c>
    </row>
    <row r="176" spans="3:22" ht="13.2" hidden="1">
      <c r="C176" s="41"/>
      <c r="U176" s="93">
        <f t="shared" si="80"/>
        <v>0</v>
      </c>
      <c r="V176" s="24">
        <v>0</v>
      </c>
    </row>
    <row r="177" spans="7:22" hidden="1">
      <c r="G177" s="40"/>
      <c r="H177" s="40"/>
      <c r="I177" s="40"/>
      <c r="J177" s="39"/>
      <c r="K177" s="39"/>
      <c r="L177" s="38"/>
      <c r="M177" s="38"/>
      <c r="N177" s="38"/>
      <c r="O177" s="38"/>
      <c r="P177" s="38"/>
      <c r="Q177" s="38"/>
      <c r="R177" s="38"/>
      <c r="S177" s="38"/>
      <c r="U177" s="93">
        <f t="shared" si="80"/>
        <v>0</v>
      </c>
      <c r="V177" s="24">
        <v>0</v>
      </c>
    </row>
    <row r="178" spans="7:22" hidden="1">
      <c r="G178" s="37"/>
      <c r="H178" s="37"/>
      <c r="I178" s="37"/>
      <c r="J178" s="23"/>
      <c r="K178" s="23"/>
      <c r="L178" s="23"/>
      <c r="M178" s="23"/>
      <c r="N178" s="23"/>
      <c r="O178" s="23"/>
      <c r="P178" s="23"/>
      <c r="Q178" s="23"/>
      <c r="R178" s="23"/>
      <c r="S178" s="23"/>
      <c r="U178" s="93">
        <f t="shared" si="80"/>
        <v>0</v>
      </c>
      <c r="V178" s="24">
        <v>0</v>
      </c>
    </row>
    <row r="179" spans="7:22" hidden="1">
      <c r="U179" s="93">
        <f t="shared" si="80"/>
        <v>0</v>
      </c>
      <c r="V179" s="24">
        <v>0</v>
      </c>
    </row>
    <row r="180" spans="7:22" hidden="1">
      <c r="U180" s="93">
        <f t="shared" si="80"/>
        <v>0</v>
      </c>
      <c r="V180" s="24">
        <v>0</v>
      </c>
    </row>
    <row r="181" spans="7:22" hidden="1">
      <c r="U181" s="93">
        <f t="shared" si="80"/>
        <v>0</v>
      </c>
      <c r="V181" s="24">
        <v>0</v>
      </c>
    </row>
    <row r="183" spans="7:22" hidden="1">
      <c r="U183" s="93">
        <f t="shared" si="80"/>
        <v>0</v>
      </c>
      <c r="V183" s="3">
        <v>0</v>
      </c>
    </row>
    <row r="184" spans="7:22" hidden="1">
      <c r="U184" s="93">
        <f t="shared" ref="U184:U247" si="81">IF(NOT(ISBLANK(C184)), 1, 0)</f>
        <v>0</v>
      </c>
      <c r="V184" s="3">
        <v>0</v>
      </c>
    </row>
    <row r="185" spans="7:22" hidden="1">
      <c r="U185" s="93">
        <f t="shared" si="81"/>
        <v>0</v>
      </c>
      <c r="V185" s="3">
        <v>0</v>
      </c>
    </row>
    <row r="186" spans="7:22" hidden="1">
      <c r="U186" s="93">
        <f t="shared" si="81"/>
        <v>0</v>
      </c>
      <c r="V186" s="3">
        <v>0</v>
      </c>
    </row>
    <row r="187" spans="7:22" hidden="1">
      <c r="U187" s="93">
        <f t="shared" si="81"/>
        <v>0</v>
      </c>
      <c r="V187" s="3">
        <v>0</v>
      </c>
    </row>
    <row r="188" spans="7:22" hidden="1">
      <c r="U188" s="93">
        <f t="shared" si="81"/>
        <v>0</v>
      </c>
      <c r="V188" s="3">
        <v>0</v>
      </c>
    </row>
    <row r="189" spans="7:22" hidden="1">
      <c r="U189" s="93">
        <f t="shared" si="81"/>
        <v>0</v>
      </c>
      <c r="V189" s="3">
        <v>0</v>
      </c>
    </row>
    <row r="190" spans="7:22" hidden="1">
      <c r="U190" s="93">
        <f t="shared" si="81"/>
        <v>0</v>
      </c>
      <c r="V190" s="3">
        <v>0</v>
      </c>
    </row>
    <row r="191" spans="7:22" hidden="1">
      <c r="U191" s="93">
        <f t="shared" si="81"/>
        <v>0</v>
      </c>
      <c r="V191" s="3">
        <v>0</v>
      </c>
    </row>
    <row r="192" spans="7:22" hidden="1">
      <c r="U192" s="93">
        <f t="shared" si="81"/>
        <v>0</v>
      </c>
      <c r="V192" s="3">
        <v>0</v>
      </c>
    </row>
    <row r="193" spans="21:22" hidden="1">
      <c r="U193" s="93">
        <f t="shared" si="81"/>
        <v>0</v>
      </c>
      <c r="V193" s="3">
        <v>0</v>
      </c>
    </row>
    <row r="194" spans="21:22" hidden="1">
      <c r="U194" s="93">
        <f t="shared" si="81"/>
        <v>0</v>
      </c>
      <c r="V194" s="3">
        <v>0</v>
      </c>
    </row>
    <row r="195" spans="21:22" hidden="1">
      <c r="U195" s="93">
        <f t="shared" si="81"/>
        <v>0</v>
      </c>
      <c r="V195" s="3">
        <v>0</v>
      </c>
    </row>
    <row r="196" spans="21:22" hidden="1">
      <c r="U196" s="93">
        <f t="shared" si="81"/>
        <v>0</v>
      </c>
      <c r="V196" s="3">
        <v>0</v>
      </c>
    </row>
    <row r="197" spans="21:22" hidden="1">
      <c r="U197" s="93">
        <f t="shared" si="81"/>
        <v>0</v>
      </c>
      <c r="V197" s="3">
        <v>0</v>
      </c>
    </row>
    <row r="198" spans="21:22" hidden="1">
      <c r="U198" s="93">
        <f t="shared" si="81"/>
        <v>0</v>
      </c>
      <c r="V198" s="3">
        <v>0</v>
      </c>
    </row>
    <row r="199" spans="21:22" hidden="1">
      <c r="U199" s="93">
        <f t="shared" si="81"/>
        <v>0</v>
      </c>
      <c r="V199" s="3">
        <v>0</v>
      </c>
    </row>
    <row r="200" spans="21:22" hidden="1">
      <c r="U200" s="93">
        <f t="shared" si="81"/>
        <v>0</v>
      </c>
      <c r="V200" s="3">
        <v>0</v>
      </c>
    </row>
    <row r="201" spans="21:22" hidden="1">
      <c r="U201" s="93">
        <f t="shared" si="81"/>
        <v>0</v>
      </c>
      <c r="V201" s="3">
        <v>0</v>
      </c>
    </row>
    <row r="202" spans="21:22" hidden="1">
      <c r="U202" s="93">
        <f t="shared" si="81"/>
        <v>0</v>
      </c>
      <c r="V202" s="3">
        <v>0</v>
      </c>
    </row>
    <row r="203" spans="21:22" hidden="1">
      <c r="U203" s="93">
        <f t="shared" si="81"/>
        <v>0</v>
      </c>
      <c r="V203" s="3">
        <v>0</v>
      </c>
    </row>
    <row r="204" spans="21:22" hidden="1">
      <c r="U204" s="93">
        <f t="shared" si="81"/>
        <v>0</v>
      </c>
      <c r="V204" s="3">
        <v>0</v>
      </c>
    </row>
    <row r="205" spans="21:22" hidden="1">
      <c r="U205" s="93">
        <f t="shared" si="81"/>
        <v>0</v>
      </c>
      <c r="V205" s="3">
        <v>0</v>
      </c>
    </row>
    <row r="206" spans="21:22" hidden="1">
      <c r="U206" s="93">
        <f t="shared" si="81"/>
        <v>0</v>
      </c>
      <c r="V206" s="3">
        <v>0</v>
      </c>
    </row>
    <row r="207" spans="21:22" hidden="1">
      <c r="U207" s="93">
        <f t="shared" si="81"/>
        <v>0</v>
      </c>
      <c r="V207" s="3">
        <v>0</v>
      </c>
    </row>
    <row r="208" spans="21:22" hidden="1">
      <c r="U208" s="93">
        <f t="shared" si="81"/>
        <v>0</v>
      </c>
      <c r="V208" s="3">
        <v>0</v>
      </c>
    </row>
    <row r="209" spans="21:22" hidden="1">
      <c r="U209" s="93">
        <f t="shared" si="81"/>
        <v>0</v>
      </c>
      <c r="V209" s="3">
        <v>0</v>
      </c>
    </row>
    <row r="210" spans="21:22" hidden="1">
      <c r="U210" s="93">
        <f t="shared" si="81"/>
        <v>0</v>
      </c>
      <c r="V210" s="3">
        <v>0</v>
      </c>
    </row>
    <row r="211" spans="21:22" hidden="1">
      <c r="U211" s="93">
        <f t="shared" si="81"/>
        <v>0</v>
      </c>
      <c r="V211" s="3">
        <v>0</v>
      </c>
    </row>
    <row r="212" spans="21:22" hidden="1">
      <c r="U212" s="93">
        <f t="shared" si="81"/>
        <v>0</v>
      </c>
      <c r="V212" s="3">
        <v>0</v>
      </c>
    </row>
    <row r="213" spans="21:22" hidden="1">
      <c r="U213" s="93">
        <f t="shared" si="81"/>
        <v>0</v>
      </c>
      <c r="V213" s="3">
        <v>0</v>
      </c>
    </row>
    <row r="214" spans="21:22" hidden="1">
      <c r="U214" s="93">
        <f t="shared" si="81"/>
        <v>0</v>
      </c>
      <c r="V214" s="3">
        <v>0</v>
      </c>
    </row>
    <row r="215" spans="21:22" hidden="1">
      <c r="U215" s="93">
        <f t="shared" si="81"/>
        <v>0</v>
      </c>
      <c r="V215" s="3">
        <v>0</v>
      </c>
    </row>
    <row r="216" spans="21:22" hidden="1">
      <c r="U216" s="93">
        <f t="shared" si="81"/>
        <v>0</v>
      </c>
      <c r="V216" s="3">
        <v>0</v>
      </c>
    </row>
    <row r="217" spans="21:22" hidden="1">
      <c r="U217" s="93">
        <f t="shared" si="81"/>
        <v>0</v>
      </c>
      <c r="V217" s="3">
        <v>0</v>
      </c>
    </row>
    <row r="218" spans="21:22" hidden="1">
      <c r="U218" s="93">
        <f t="shared" si="81"/>
        <v>0</v>
      </c>
      <c r="V218" s="3">
        <v>0</v>
      </c>
    </row>
    <row r="219" spans="21:22" hidden="1">
      <c r="U219" s="93">
        <f t="shared" si="81"/>
        <v>0</v>
      </c>
      <c r="V219" s="3">
        <v>0</v>
      </c>
    </row>
    <row r="220" spans="21:22" hidden="1">
      <c r="U220" s="93">
        <f t="shared" si="81"/>
        <v>0</v>
      </c>
      <c r="V220" s="3">
        <v>0</v>
      </c>
    </row>
    <row r="221" spans="21:22" hidden="1">
      <c r="U221" s="93">
        <f t="shared" si="81"/>
        <v>0</v>
      </c>
      <c r="V221" s="3">
        <v>0</v>
      </c>
    </row>
    <row r="222" spans="21:22" hidden="1">
      <c r="U222" s="93">
        <f t="shared" si="81"/>
        <v>0</v>
      </c>
      <c r="V222" s="3">
        <v>0</v>
      </c>
    </row>
    <row r="223" spans="21:22" hidden="1">
      <c r="U223" s="93">
        <f t="shared" si="81"/>
        <v>0</v>
      </c>
      <c r="V223" s="3">
        <v>0</v>
      </c>
    </row>
    <row r="224" spans="21:22" hidden="1">
      <c r="U224" s="93">
        <f t="shared" si="81"/>
        <v>0</v>
      </c>
      <c r="V224" s="3">
        <v>0</v>
      </c>
    </row>
    <row r="225" spans="21:22" hidden="1">
      <c r="U225" s="93">
        <f t="shared" si="81"/>
        <v>0</v>
      </c>
      <c r="V225" s="3">
        <v>0</v>
      </c>
    </row>
    <row r="226" spans="21:22" hidden="1">
      <c r="U226" s="93">
        <f t="shared" si="81"/>
        <v>0</v>
      </c>
      <c r="V226" s="3">
        <v>0</v>
      </c>
    </row>
    <row r="227" spans="21:22" hidden="1">
      <c r="U227" s="93">
        <f t="shared" si="81"/>
        <v>0</v>
      </c>
      <c r="V227" s="3">
        <v>0</v>
      </c>
    </row>
    <row r="228" spans="21:22" hidden="1">
      <c r="U228" s="93">
        <f t="shared" si="81"/>
        <v>0</v>
      </c>
      <c r="V228" s="3">
        <v>0</v>
      </c>
    </row>
    <row r="229" spans="21:22" hidden="1">
      <c r="U229" s="93">
        <f t="shared" si="81"/>
        <v>0</v>
      </c>
      <c r="V229" s="3">
        <v>0</v>
      </c>
    </row>
    <row r="230" spans="21:22" hidden="1">
      <c r="U230" s="93">
        <f t="shared" si="81"/>
        <v>0</v>
      </c>
      <c r="V230" s="3">
        <v>0</v>
      </c>
    </row>
    <row r="231" spans="21:22" hidden="1">
      <c r="U231" s="93">
        <f t="shared" si="81"/>
        <v>0</v>
      </c>
      <c r="V231" s="3">
        <v>0</v>
      </c>
    </row>
    <row r="232" spans="21:22" hidden="1">
      <c r="U232" s="93">
        <f t="shared" si="81"/>
        <v>0</v>
      </c>
      <c r="V232" s="3">
        <v>0</v>
      </c>
    </row>
    <row r="233" spans="21:22" hidden="1">
      <c r="U233" s="93">
        <f t="shared" si="81"/>
        <v>0</v>
      </c>
      <c r="V233" s="3">
        <v>0</v>
      </c>
    </row>
    <row r="234" spans="21:22" hidden="1">
      <c r="U234" s="93">
        <f t="shared" si="81"/>
        <v>0</v>
      </c>
      <c r="V234" s="3">
        <v>0</v>
      </c>
    </row>
    <row r="235" spans="21:22" hidden="1">
      <c r="U235" s="93">
        <f t="shared" si="81"/>
        <v>0</v>
      </c>
      <c r="V235" s="3">
        <v>0</v>
      </c>
    </row>
    <row r="236" spans="21:22" hidden="1">
      <c r="U236" s="93">
        <f t="shared" si="81"/>
        <v>0</v>
      </c>
      <c r="V236" s="3">
        <v>0</v>
      </c>
    </row>
    <row r="237" spans="21:22" hidden="1">
      <c r="U237" s="93">
        <f t="shared" si="81"/>
        <v>0</v>
      </c>
      <c r="V237" s="3">
        <v>0</v>
      </c>
    </row>
    <row r="238" spans="21:22" hidden="1">
      <c r="U238" s="93">
        <f t="shared" si="81"/>
        <v>0</v>
      </c>
      <c r="V238" s="3">
        <v>0</v>
      </c>
    </row>
    <row r="239" spans="21:22" hidden="1">
      <c r="U239" s="93">
        <f t="shared" si="81"/>
        <v>0</v>
      </c>
      <c r="V239" s="3">
        <v>0</v>
      </c>
    </row>
    <row r="240" spans="21:22" hidden="1">
      <c r="U240" s="93">
        <f t="shared" si="81"/>
        <v>0</v>
      </c>
      <c r="V240" s="3">
        <v>0</v>
      </c>
    </row>
    <row r="241" spans="21:22" hidden="1">
      <c r="U241" s="93">
        <f t="shared" si="81"/>
        <v>0</v>
      </c>
      <c r="V241" s="3">
        <v>0</v>
      </c>
    </row>
    <row r="242" spans="21:22" hidden="1">
      <c r="U242" s="93">
        <f t="shared" si="81"/>
        <v>0</v>
      </c>
      <c r="V242" s="3">
        <v>0</v>
      </c>
    </row>
    <row r="243" spans="21:22" hidden="1">
      <c r="U243" s="93">
        <f t="shared" si="81"/>
        <v>0</v>
      </c>
      <c r="V243" s="3">
        <v>0</v>
      </c>
    </row>
    <row r="244" spans="21:22" hidden="1">
      <c r="U244" s="93">
        <f t="shared" si="81"/>
        <v>0</v>
      </c>
      <c r="V244" s="3">
        <v>0</v>
      </c>
    </row>
    <row r="245" spans="21:22" hidden="1">
      <c r="U245" s="93">
        <f t="shared" si="81"/>
        <v>0</v>
      </c>
      <c r="V245" s="3">
        <v>0</v>
      </c>
    </row>
    <row r="246" spans="21:22" hidden="1">
      <c r="U246" s="93">
        <f t="shared" si="81"/>
        <v>0</v>
      </c>
      <c r="V246" s="3">
        <v>0</v>
      </c>
    </row>
    <row r="247" spans="21:22" hidden="1">
      <c r="U247" s="93">
        <f t="shared" si="81"/>
        <v>0</v>
      </c>
      <c r="V247" s="3">
        <v>0</v>
      </c>
    </row>
    <row r="248" spans="21:22" hidden="1">
      <c r="U248" s="93">
        <f t="shared" ref="U248:U311" si="82">IF(NOT(ISBLANK(C248)), 1, 0)</f>
        <v>0</v>
      </c>
      <c r="V248" s="3">
        <v>0</v>
      </c>
    </row>
    <row r="249" spans="21:22" hidden="1">
      <c r="U249" s="93">
        <f t="shared" si="82"/>
        <v>0</v>
      </c>
      <c r="V249" s="3">
        <v>0</v>
      </c>
    </row>
    <row r="250" spans="21:22" hidden="1">
      <c r="U250" s="93">
        <f t="shared" si="82"/>
        <v>0</v>
      </c>
      <c r="V250" s="3">
        <v>0</v>
      </c>
    </row>
    <row r="251" spans="21:22" hidden="1">
      <c r="U251" s="93">
        <f t="shared" si="82"/>
        <v>0</v>
      </c>
      <c r="V251" s="3">
        <v>0</v>
      </c>
    </row>
    <row r="252" spans="21:22" hidden="1">
      <c r="U252" s="93">
        <f t="shared" si="82"/>
        <v>0</v>
      </c>
      <c r="V252" s="3">
        <v>0</v>
      </c>
    </row>
    <row r="253" spans="21:22" hidden="1">
      <c r="U253" s="93">
        <f t="shared" si="82"/>
        <v>0</v>
      </c>
      <c r="V253" s="3">
        <v>0</v>
      </c>
    </row>
    <row r="254" spans="21:22" hidden="1">
      <c r="U254" s="93">
        <f t="shared" si="82"/>
        <v>0</v>
      </c>
      <c r="V254" s="3">
        <v>0</v>
      </c>
    </row>
    <row r="255" spans="21:22" hidden="1">
      <c r="U255" s="93">
        <f t="shared" si="82"/>
        <v>0</v>
      </c>
      <c r="V255" s="3">
        <v>0</v>
      </c>
    </row>
    <row r="256" spans="21:22" hidden="1">
      <c r="U256" s="93">
        <f t="shared" si="82"/>
        <v>0</v>
      </c>
      <c r="V256" s="3">
        <v>0</v>
      </c>
    </row>
    <row r="257" spans="21:22" hidden="1">
      <c r="U257" s="93">
        <f t="shared" si="82"/>
        <v>0</v>
      </c>
      <c r="V257" s="3">
        <v>0</v>
      </c>
    </row>
    <row r="258" spans="21:22" hidden="1">
      <c r="U258" s="93">
        <f t="shared" si="82"/>
        <v>0</v>
      </c>
      <c r="V258" s="3">
        <v>0</v>
      </c>
    </row>
    <row r="259" spans="21:22" hidden="1">
      <c r="U259" s="93">
        <f t="shared" si="82"/>
        <v>0</v>
      </c>
      <c r="V259" s="3">
        <v>0</v>
      </c>
    </row>
    <row r="260" spans="21:22" hidden="1">
      <c r="U260" s="93">
        <f t="shared" si="82"/>
        <v>0</v>
      </c>
      <c r="V260" s="3">
        <v>0</v>
      </c>
    </row>
    <row r="261" spans="21:22" hidden="1">
      <c r="U261" s="93">
        <f t="shared" si="82"/>
        <v>0</v>
      </c>
      <c r="V261" s="3">
        <v>0</v>
      </c>
    </row>
    <row r="262" spans="21:22" hidden="1">
      <c r="U262" s="93">
        <f t="shared" si="82"/>
        <v>0</v>
      </c>
      <c r="V262" s="3">
        <v>0</v>
      </c>
    </row>
    <row r="263" spans="21:22" hidden="1">
      <c r="U263" s="93">
        <f t="shared" si="82"/>
        <v>0</v>
      </c>
      <c r="V263" s="3">
        <v>0</v>
      </c>
    </row>
    <row r="264" spans="21:22" hidden="1">
      <c r="U264" s="93">
        <f t="shared" si="82"/>
        <v>0</v>
      </c>
      <c r="V264" s="3">
        <v>0</v>
      </c>
    </row>
    <row r="265" spans="21:22" hidden="1">
      <c r="U265" s="93">
        <f t="shared" si="82"/>
        <v>0</v>
      </c>
      <c r="V265" s="3">
        <v>0</v>
      </c>
    </row>
    <row r="266" spans="21:22" hidden="1">
      <c r="U266" s="93">
        <f t="shared" si="82"/>
        <v>0</v>
      </c>
      <c r="V266" s="3">
        <v>0</v>
      </c>
    </row>
    <row r="267" spans="21:22" hidden="1">
      <c r="U267" s="93">
        <f t="shared" si="82"/>
        <v>0</v>
      </c>
      <c r="V267" s="3">
        <v>0</v>
      </c>
    </row>
    <row r="268" spans="21:22" hidden="1">
      <c r="U268" s="93">
        <f t="shared" si="82"/>
        <v>0</v>
      </c>
      <c r="V268" s="3">
        <v>0</v>
      </c>
    </row>
    <row r="269" spans="21:22" hidden="1">
      <c r="U269" s="93">
        <f t="shared" si="82"/>
        <v>0</v>
      </c>
      <c r="V269" s="3">
        <v>0</v>
      </c>
    </row>
    <row r="270" spans="21:22" hidden="1">
      <c r="U270" s="93">
        <f t="shared" si="82"/>
        <v>0</v>
      </c>
      <c r="V270" s="3">
        <v>0</v>
      </c>
    </row>
    <row r="271" spans="21:22" hidden="1">
      <c r="U271" s="93">
        <f t="shared" si="82"/>
        <v>0</v>
      </c>
      <c r="V271" s="3">
        <v>0</v>
      </c>
    </row>
    <row r="272" spans="21:22" hidden="1">
      <c r="U272" s="93">
        <f t="shared" si="82"/>
        <v>0</v>
      </c>
      <c r="V272" s="3">
        <v>0</v>
      </c>
    </row>
    <row r="273" spans="21:22" hidden="1">
      <c r="U273" s="93">
        <f t="shared" si="82"/>
        <v>0</v>
      </c>
      <c r="V273" s="3">
        <v>0</v>
      </c>
    </row>
    <row r="274" spans="21:22" hidden="1">
      <c r="U274" s="93">
        <f t="shared" si="82"/>
        <v>0</v>
      </c>
      <c r="V274" s="3">
        <v>0</v>
      </c>
    </row>
    <row r="275" spans="21:22" hidden="1">
      <c r="U275" s="93">
        <f t="shared" si="82"/>
        <v>0</v>
      </c>
      <c r="V275" s="3">
        <v>0</v>
      </c>
    </row>
    <row r="276" spans="21:22" hidden="1">
      <c r="U276" s="93">
        <f t="shared" si="82"/>
        <v>0</v>
      </c>
      <c r="V276" s="3">
        <v>0</v>
      </c>
    </row>
    <row r="277" spans="21:22" hidden="1">
      <c r="U277" s="93">
        <f t="shared" si="82"/>
        <v>0</v>
      </c>
      <c r="V277" s="3">
        <v>0</v>
      </c>
    </row>
    <row r="278" spans="21:22" hidden="1">
      <c r="U278" s="93">
        <f t="shared" si="82"/>
        <v>0</v>
      </c>
      <c r="V278" s="3">
        <v>0</v>
      </c>
    </row>
    <row r="279" spans="21:22" hidden="1">
      <c r="U279" s="93">
        <f t="shared" si="82"/>
        <v>0</v>
      </c>
      <c r="V279" s="3">
        <v>0</v>
      </c>
    </row>
    <row r="280" spans="21:22" hidden="1">
      <c r="U280" s="93">
        <f t="shared" si="82"/>
        <v>0</v>
      </c>
      <c r="V280" s="3">
        <v>0</v>
      </c>
    </row>
    <row r="281" spans="21:22" hidden="1">
      <c r="U281" s="93">
        <f t="shared" si="82"/>
        <v>0</v>
      </c>
      <c r="V281" s="3">
        <v>0</v>
      </c>
    </row>
    <row r="282" spans="21:22" hidden="1">
      <c r="U282" s="93">
        <f t="shared" si="82"/>
        <v>0</v>
      </c>
      <c r="V282" s="3">
        <v>0</v>
      </c>
    </row>
    <row r="283" spans="21:22" hidden="1">
      <c r="U283" s="93">
        <f t="shared" si="82"/>
        <v>0</v>
      </c>
      <c r="V283" s="3">
        <v>0</v>
      </c>
    </row>
    <row r="284" spans="21:22" hidden="1">
      <c r="U284" s="93">
        <f t="shared" si="82"/>
        <v>0</v>
      </c>
      <c r="V284" s="3">
        <v>0</v>
      </c>
    </row>
    <row r="285" spans="21:22" hidden="1">
      <c r="U285" s="93">
        <f t="shared" si="82"/>
        <v>0</v>
      </c>
      <c r="V285" s="3">
        <v>0</v>
      </c>
    </row>
    <row r="286" spans="21:22" hidden="1">
      <c r="U286" s="93">
        <f t="shared" si="82"/>
        <v>0</v>
      </c>
      <c r="V286" s="3">
        <v>0</v>
      </c>
    </row>
    <row r="287" spans="21:22" hidden="1">
      <c r="U287" s="93">
        <f t="shared" si="82"/>
        <v>0</v>
      </c>
      <c r="V287" s="3">
        <v>0</v>
      </c>
    </row>
    <row r="288" spans="21:22" hidden="1">
      <c r="U288" s="93">
        <f t="shared" si="82"/>
        <v>0</v>
      </c>
      <c r="V288" s="3">
        <v>0</v>
      </c>
    </row>
    <row r="289" spans="21:22" hidden="1">
      <c r="U289" s="93">
        <f t="shared" si="82"/>
        <v>0</v>
      </c>
      <c r="V289" s="3">
        <v>0</v>
      </c>
    </row>
    <row r="290" spans="21:22" hidden="1">
      <c r="U290" s="93">
        <f t="shared" si="82"/>
        <v>0</v>
      </c>
      <c r="V290" s="3">
        <v>0</v>
      </c>
    </row>
    <row r="291" spans="21:22" hidden="1">
      <c r="U291" s="93">
        <f t="shared" si="82"/>
        <v>0</v>
      </c>
      <c r="V291" s="3">
        <v>0</v>
      </c>
    </row>
    <row r="292" spans="21:22" hidden="1">
      <c r="U292" s="93">
        <f t="shared" si="82"/>
        <v>0</v>
      </c>
      <c r="V292" s="3">
        <v>0</v>
      </c>
    </row>
    <row r="293" spans="21:22" hidden="1">
      <c r="U293" s="93">
        <f t="shared" si="82"/>
        <v>0</v>
      </c>
      <c r="V293" s="3">
        <v>0</v>
      </c>
    </row>
    <row r="294" spans="21:22" hidden="1">
      <c r="U294" s="93">
        <f t="shared" si="82"/>
        <v>0</v>
      </c>
      <c r="V294" s="3">
        <v>0</v>
      </c>
    </row>
    <row r="295" spans="21:22" hidden="1">
      <c r="U295" s="93">
        <f t="shared" si="82"/>
        <v>0</v>
      </c>
      <c r="V295" s="3">
        <v>0</v>
      </c>
    </row>
    <row r="296" spans="21:22" hidden="1">
      <c r="U296" s="93">
        <f t="shared" si="82"/>
        <v>0</v>
      </c>
      <c r="V296" s="3">
        <v>0</v>
      </c>
    </row>
    <row r="297" spans="21:22" hidden="1">
      <c r="U297" s="93">
        <f t="shared" si="82"/>
        <v>0</v>
      </c>
      <c r="V297" s="3">
        <v>0</v>
      </c>
    </row>
    <row r="298" spans="21:22" hidden="1">
      <c r="U298" s="93">
        <f t="shared" si="82"/>
        <v>0</v>
      </c>
      <c r="V298" s="3">
        <v>0</v>
      </c>
    </row>
    <row r="299" spans="21:22" hidden="1">
      <c r="U299" s="93">
        <f t="shared" si="82"/>
        <v>0</v>
      </c>
      <c r="V299" s="3">
        <v>0</v>
      </c>
    </row>
    <row r="300" spans="21:22" hidden="1">
      <c r="U300" s="93">
        <f t="shared" si="82"/>
        <v>0</v>
      </c>
      <c r="V300" s="3">
        <v>0</v>
      </c>
    </row>
    <row r="301" spans="21:22" hidden="1">
      <c r="U301" s="93">
        <f t="shared" si="82"/>
        <v>0</v>
      </c>
      <c r="V301" s="3">
        <v>0</v>
      </c>
    </row>
    <row r="302" spans="21:22" hidden="1">
      <c r="U302" s="93">
        <f t="shared" si="82"/>
        <v>0</v>
      </c>
      <c r="V302" s="3">
        <v>0</v>
      </c>
    </row>
    <row r="303" spans="21:22" hidden="1">
      <c r="U303" s="93">
        <f t="shared" si="82"/>
        <v>0</v>
      </c>
      <c r="V303" s="3">
        <v>0</v>
      </c>
    </row>
    <row r="304" spans="21:22" hidden="1">
      <c r="U304" s="93">
        <f t="shared" si="82"/>
        <v>0</v>
      </c>
      <c r="V304" s="3">
        <v>0</v>
      </c>
    </row>
    <row r="305" spans="21:22" hidden="1">
      <c r="U305" s="93">
        <f t="shared" si="82"/>
        <v>0</v>
      </c>
      <c r="V305" s="3">
        <v>0</v>
      </c>
    </row>
    <row r="306" spans="21:22" hidden="1">
      <c r="U306" s="93">
        <f t="shared" si="82"/>
        <v>0</v>
      </c>
      <c r="V306" s="3">
        <v>0</v>
      </c>
    </row>
    <row r="307" spans="21:22" hidden="1">
      <c r="U307" s="93">
        <f t="shared" si="82"/>
        <v>0</v>
      </c>
      <c r="V307" s="3">
        <v>0</v>
      </c>
    </row>
    <row r="308" spans="21:22" hidden="1">
      <c r="U308" s="93">
        <f t="shared" si="82"/>
        <v>0</v>
      </c>
      <c r="V308" s="3">
        <v>0</v>
      </c>
    </row>
    <row r="309" spans="21:22" hidden="1">
      <c r="U309" s="93">
        <f t="shared" si="82"/>
        <v>0</v>
      </c>
      <c r="V309" s="3">
        <v>0</v>
      </c>
    </row>
    <row r="310" spans="21:22" hidden="1">
      <c r="U310" s="93">
        <f t="shared" si="82"/>
        <v>0</v>
      </c>
      <c r="V310" s="3">
        <v>0</v>
      </c>
    </row>
    <row r="311" spans="21:22" hidden="1">
      <c r="U311" s="93">
        <f t="shared" si="82"/>
        <v>0</v>
      </c>
      <c r="V311" s="3">
        <v>0</v>
      </c>
    </row>
    <row r="312" spans="21:22" hidden="1">
      <c r="U312" s="93">
        <f t="shared" ref="U312:U375" si="83">IF(NOT(ISBLANK(C312)), 1, 0)</f>
        <v>0</v>
      </c>
      <c r="V312" s="3">
        <v>0</v>
      </c>
    </row>
    <row r="313" spans="21:22" hidden="1">
      <c r="U313" s="93">
        <f t="shared" si="83"/>
        <v>0</v>
      </c>
      <c r="V313" s="3">
        <v>0</v>
      </c>
    </row>
    <row r="314" spans="21:22" hidden="1">
      <c r="U314" s="93">
        <f t="shared" si="83"/>
        <v>0</v>
      </c>
      <c r="V314" s="3">
        <v>0</v>
      </c>
    </row>
    <row r="315" spans="21:22" hidden="1">
      <c r="U315" s="93">
        <f t="shared" si="83"/>
        <v>0</v>
      </c>
      <c r="V315" s="3">
        <v>0</v>
      </c>
    </row>
    <row r="316" spans="21:22" hidden="1">
      <c r="U316" s="93">
        <f t="shared" si="83"/>
        <v>0</v>
      </c>
      <c r="V316" s="3">
        <v>0</v>
      </c>
    </row>
    <row r="317" spans="21:22" hidden="1">
      <c r="U317" s="93">
        <f t="shared" si="83"/>
        <v>0</v>
      </c>
      <c r="V317" s="3">
        <v>0</v>
      </c>
    </row>
    <row r="318" spans="21:22" hidden="1">
      <c r="U318" s="93">
        <f t="shared" si="83"/>
        <v>0</v>
      </c>
      <c r="V318" s="3">
        <v>0</v>
      </c>
    </row>
    <row r="319" spans="21:22" hidden="1">
      <c r="U319" s="93">
        <f t="shared" si="83"/>
        <v>0</v>
      </c>
      <c r="V319" s="3">
        <v>0</v>
      </c>
    </row>
    <row r="320" spans="21:22" hidden="1">
      <c r="U320" s="93">
        <f t="shared" si="83"/>
        <v>0</v>
      </c>
      <c r="V320" s="3">
        <v>0</v>
      </c>
    </row>
    <row r="321" spans="21:22" hidden="1">
      <c r="U321" s="93">
        <f t="shared" si="83"/>
        <v>0</v>
      </c>
      <c r="V321" s="3">
        <v>0</v>
      </c>
    </row>
    <row r="322" spans="21:22" hidden="1">
      <c r="U322" s="93">
        <f t="shared" si="83"/>
        <v>0</v>
      </c>
      <c r="V322" s="3">
        <v>0</v>
      </c>
    </row>
    <row r="323" spans="21:22" hidden="1">
      <c r="U323" s="93">
        <f t="shared" si="83"/>
        <v>0</v>
      </c>
      <c r="V323" s="3">
        <v>0</v>
      </c>
    </row>
    <row r="324" spans="21:22" hidden="1">
      <c r="U324" s="93">
        <f t="shared" si="83"/>
        <v>0</v>
      </c>
      <c r="V324" s="3">
        <v>0</v>
      </c>
    </row>
    <row r="325" spans="21:22" hidden="1">
      <c r="U325" s="93">
        <f t="shared" si="83"/>
        <v>0</v>
      </c>
      <c r="V325" s="3">
        <v>0</v>
      </c>
    </row>
    <row r="326" spans="21:22" hidden="1">
      <c r="U326" s="93">
        <f t="shared" si="83"/>
        <v>0</v>
      </c>
      <c r="V326" s="3">
        <v>0</v>
      </c>
    </row>
    <row r="327" spans="21:22" hidden="1">
      <c r="U327" s="93">
        <f t="shared" si="83"/>
        <v>0</v>
      </c>
      <c r="V327" s="3">
        <v>0</v>
      </c>
    </row>
    <row r="328" spans="21:22" hidden="1">
      <c r="U328" s="93">
        <f t="shared" si="83"/>
        <v>0</v>
      </c>
      <c r="V328" s="3">
        <v>0</v>
      </c>
    </row>
    <row r="329" spans="21:22" hidden="1">
      <c r="U329" s="93">
        <f t="shared" si="83"/>
        <v>0</v>
      </c>
      <c r="V329" s="3">
        <v>0</v>
      </c>
    </row>
    <row r="330" spans="21:22" hidden="1">
      <c r="U330" s="93">
        <f t="shared" si="83"/>
        <v>0</v>
      </c>
      <c r="V330" s="3">
        <v>0</v>
      </c>
    </row>
    <row r="331" spans="21:22" hidden="1">
      <c r="U331" s="93">
        <f t="shared" si="83"/>
        <v>0</v>
      </c>
      <c r="V331" s="3">
        <v>0</v>
      </c>
    </row>
    <row r="332" spans="21:22" hidden="1">
      <c r="U332" s="93">
        <f t="shared" si="83"/>
        <v>0</v>
      </c>
      <c r="V332" s="3">
        <v>0</v>
      </c>
    </row>
    <row r="333" spans="21:22" hidden="1">
      <c r="U333" s="93">
        <f t="shared" si="83"/>
        <v>0</v>
      </c>
      <c r="V333" s="3">
        <v>0</v>
      </c>
    </row>
    <row r="334" spans="21:22" hidden="1">
      <c r="U334" s="93">
        <f t="shared" si="83"/>
        <v>0</v>
      </c>
      <c r="V334" s="3">
        <v>0</v>
      </c>
    </row>
    <row r="335" spans="21:22" hidden="1">
      <c r="U335" s="93">
        <f t="shared" si="83"/>
        <v>0</v>
      </c>
      <c r="V335" s="3">
        <v>0</v>
      </c>
    </row>
    <row r="336" spans="21:22" hidden="1">
      <c r="U336" s="93">
        <f t="shared" si="83"/>
        <v>0</v>
      </c>
      <c r="V336" s="3">
        <v>0</v>
      </c>
    </row>
    <row r="337" spans="21:22" hidden="1">
      <c r="U337" s="93">
        <f t="shared" si="83"/>
        <v>0</v>
      </c>
      <c r="V337" s="3">
        <v>0</v>
      </c>
    </row>
    <row r="338" spans="21:22" hidden="1">
      <c r="U338" s="93">
        <f t="shared" si="83"/>
        <v>0</v>
      </c>
      <c r="V338" s="3">
        <v>0</v>
      </c>
    </row>
    <row r="339" spans="21:22" hidden="1">
      <c r="U339" s="93">
        <f t="shared" si="83"/>
        <v>0</v>
      </c>
      <c r="V339" s="3">
        <v>0</v>
      </c>
    </row>
    <row r="340" spans="21:22" hidden="1">
      <c r="U340" s="93">
        <f t="shared" si="83"/>
        <v>0</v>
      </c>
      <c r="V340" s="3">
        <v>0</v>
      </c>
    </row>
    <row r="341" spans="21:22" hidden="1">
      <c r="U341" s="93">
        <f t="shared" si="83"/>
        <v>0</v>
      </c>
      <c r="V341" s="3">
        <v>0</v>
      </c>
    </row>
    <row r="342" spans="21:22" hidden="1">
      <c r="U342" s="93">
        <f t="shared" si="83"/>
        <v>0</v>
      </c>
      <c r="V342" s="3">
        <v>0</v>
      </c>
    </row>
    <row r="343" spans="21:22" hidden="1">
      <c r="U343" s="93">
        <f t="shared" si="83"/>
        <v>0</v>
      </c>
      <c r="V343" s="3">
        <v>0</v>
      </c>
    </row>
    <row r="344" spans="21:22" hidden="1">
      <c r="U344" s="93">
        <f t="shared" si="83"/>
        <v>0</v>
      </c>
      <c r="V344" s="3">
        <v>0</v>
      </c>
    </row>
    <row r="345" spans="21:22" hidden="1">
      <c r="U345" s="93">
        <f t="shared" si="83"/>
        <v>0</v>
      </c>
      <c r="V345" s="3">
        <v>0</v>
      </c>
    </row>
    <row r="346" spans="21:22" hidden="1">
      <c r="U346" s="93">
        <f t="shared" si="83"/>
        <v>0</v>
      </c>
      <c r="V346" s="3">
        <v>0</v>
      </c>
    </row>
    <row r="347" spans="21:22" hidden="1">
      <c r="U347" s="93">
        <f t="shared" si="83"/>
        <v>0</v>
      </c>
      <c r="V347" s="3">
        <v>0</v>
      </c>
    </row>
    <row r="348" spans="21:22" hidden="1">
      <c r="U348" s="93">
        <f t="shared" si="83"/>
        <v>0</v>
      </c>
      <c r="V348" s="3">
        <v>0</v>
      </c>
    </row>
    <row r="349" spans="21:22" hidden="1">
      <c r="U349" s="93">
        <f t="shared" si="83"/>
        <v>0</v>
      </c>
      <c r="V349" s="3">
        <v>0</v>
      </c>
    </row>
    <row r="350" spans="21:22" hidden="1">
      <c r="U350" s="93">
        <f t="shared" si="83"/>
        <v>0</v>
      </c>
      <c r="V350" s="3">
        <v>0</v>
      </c>
    </row>
    <row r="351" spans="21:22" hidden="1">
      <c r="U351" s="93">
        <f t="shared" si="83"/>
        <v>0</v>
      </c>
      <c r="V351" s="3">
        <v>0</v>
      </c>
    </row>
    <row r="352" spans="21:22" hidden="1">
      <c r="U352" s="93">
        <f t="shared" si="83"/>
        <v>0</v>
      </c>
      <c r="V352" s="3">
        <v>0</v>
      </c>
    </row>
    <row r="353" spans="21:22" hidden="1">
      <c r="U353" s="93">
        <f t="shared" si="83"/>
        <v>0</v>
      </c>
      <c r="V353" s="3">
        <v>0</v>
      </c>
    </row>
    <row r="354" spans="21:22" hidden="1">
      <c r="U354" s="93">
        <f t="shared" si="83"/>
        <v>0</v>
      </c>
      <c r="V354" s="3">
        <v>0</v>
      </c>
    </row>
    <row r="355" spans="21:22" hidden="1">
      <c r="U355" s="93">
        <f t="shared" si="83"/>
        <v>0</v>
      </c>
      <c r="V355" s="3">
        <v>0</v>
      </c>
    </row>
    <row r="356" spans="21:22" hidden="1">
      <c r="U356" s="93">
        <f t="shared" si="83"/>
        <v>0</v>
      </c>
      <c r="V356" s="3">
        <v>0</v>
      </c>
    </row>
    <row r="357" spans="21:22" hidden="1">
      <c r="U357" s="93">
        <f t="shared" si="83"/>
        <v>0</v>
      </c>
      <c r="V357" s="3">
        <v>0</v>
      </c>
    </row>
    <row r="358" spans="21:22" hidden="1">
      <c r="U358" s="93">
        <f t="shared" si="83"/>
        <v>0</v>
      </c>
      <c r="V358" s="3">
        <v>0</v>
      </c>
    </row>
    <row r="359" spans="21:22" hidden="1">
      <c r="U359" s="93">
        <f t="shared" si="83"/>
        <v>0</v>
      </c>
      <c r="V359" s="3">
        <v>0</v>
      </c>
    </row>
    <row r="360" spans="21:22" hidden="1">
      <c r="U360" s="93">
        <f t="shared" si="83"/>
        <v>0</v>
      </c>
      <c r="V360" s="3">
        <v>0</v>
      </c>
    </row>
    <row r="361" spans="21:22" hidden="1">
      <c r="U361" s="93">
        <f t="shared" si="83"/>
        <v>0</v>
      </c>
      <c r="V361" s="3">
        <v>0</v>
      </c>
    </row>
    <row r="362" spans="21:22" hidden="1">
      <c r="U362" s="93">
        <f t="shared" si="83"/>
        <v>0</v>
      </c>
      <c r="V362" s="3">
        <v>0</v>
      </c>
    </row>
    <row r="363" spans="21:22" hidden="1">
      <c r="U363" s="93">
        <f t="shared" si="83"/>
        <v>0</v>
      </c>
      <c r="V363" s="3">
        <v>0</v>
      </c>
    </row>
    <row r="364" spans="21:22" hidden="1">
      <c r="U364" s="93">
        <f t="shared" si="83"/>
        <v>0</v>
      </c>
      <c r="V364" s="3">
        <v>0</v>
      </c>
    </row>
    <row r="365" spans="21:22" hidden="1">
      <c r="U365" s="93">
        <f t="shared" si="83"/>
        <v>0</v>
      </c>
      <c r="V365" s="3">
        <v>0</v>
      </c>
    </row>
    <row r="366" spans="21:22" hidden="1">
      <c r="U366" s="93">
        <f t="shared" si="83"/>
        <v>0</v>
      </c>
      <c r="V366" s="3">
        <v>0</v>
      </c>
    </row>
    <row r="367" spans="21:22" hidden="1">
      <c r="U367" s="93">
        <f t="shared" si="83"/>
        <v>0</v>
      </c>
      <c r="V367" s="3">
        <v>0</v>
      </c>
    </row>
    <row r="368" spans="21:22" hidden="1">
      <c r="U368" s="93">
        <f t="shared" si="83"/>
        <v>0</v>
      </c>
      <c r="V368" s="3">
        <v>0</v>
      </c>
    </row>
    <row r="369" spans="21:22" hidden="1">
      <c r="U369" s="93">
        <f t="shared" si="83"/>
        <v>0</v>
      </c>
      <c r="V369" s="3">
        <v>0</v>
      </c>
    </row>
    <row r="370" spans="21:22" hidden="1">
      <c r="U370" s="93">
        <f t="shared" si="83"/>
        <v>0</v>
      </c>
      <c r="V370" s="3">
        <v>0</v>
      </c>
    </row>
    <row r="371" spans="21:22" hidden="1">
      <c r="U371" s="93">
        <f t="shared" si="83"/>
        <v>0</v>
      </c>
      <c r="V371" s="3">
        <v>0</v>
      </c>
    </row>
    <row r="372" spans="21:22" hidden="1">
      <c r="U372" s="93">
        <f t="shared" si="83"/>
        <v>0</v>
      </c>
      <c r="V372" s="3">
        <v>0</v>
      </c>
    </row>
    <row r="373" spans="21:22" hidden="1">
      <c r="U373" s="93">
        <f t="shared" si="83"/>
        <v>0</v>
      </c>
      <c r="V373" s="3">
        <v>0</v>
      </c>
    </row>
    <row r="374" spans="21:22" hidden="1">
      <c r="U374" s="93">
        <f t="shared" si="83"/>
        <v>0</v>
      </c>
      <c r="V374" s="3">
        <v>0</v>
      </c>
    </row>
    <row r="375" spans="21:22" hidden="1">
      <c r="U375" s="93">
        <f t="shared" si="83"/>
        <v>0</v>
      </c>
      <c r="V375" s="3">
        <v>0</v>
      </c>
    </row>
    <row r="376" spans="21:22" hidden="1">
      <c r="U376" s="93">
        <f t="shared" ref="U376:U439" si="84">IF(NOT(ISBLANK(C376)), 1, 0)</f>
        <v>0</v>
      </c>
      <c r="V376" s="3">
        <v>0</v>
      </c>
    </row>
    <row r="377" spans="21:22" hidden="1">
      <c r="U377" s="93">
        <f t="shared" si="84"/>
        <v>0</v>
      </c>
      <c r="V377" s="3">
        <v>0</v>
      </c>
    </row>
    <row r="378" spans="21:22" hidden="1">
      <c r="U378" s="93">
        <f t="shared" si="84"/>
        <v>0</v>
      </c>
      <c r="V378" s="3">
        <v>0</v>
      </c>
    </row>
    <row r="379" spans="21:22" hidden="1">
      <c r="U379" s="93">
        <f t="shared" si="84"/>
        <v>0</v>
      </c>
      <c r="V379" s="3">
        <v>0</v>
      </c>
    </row>
    <row r="380" spans="21:22" hidden="1">
      <c r="U380" s="93">
        <f t="shared" si="84"/>
        <v>0</v>
      </c>
      <c r="V380" s="3">
        <v>0</v>
      </c>
    </row>
    <row r="381" spans="21:22" hidden="1">
      <c r="U381" s="93">
        <f t="shared" si="84"/>
        <v>0</v>
      </c>
      <c r="V381" s="3">
        <v>0</v>
      </c>
    </row>
    <row r="382" spans="21:22" hidden="1">
      <c r="U382" s="93">
        <f t="shared" si="84"/>
        <v>0</v>
      </c>
      <c r="V382" s="3">
        <v>0</v>
      </c>
    </row>
    <row r="383" spans="21:22" hidden="1">
      <c r="U383" s="93">
        <f t="shared" si="84"/>
        <v>0</v>
      </c>
      <c r="V383" s="3">
        <v>0</v>
      </c>
    </row>
    <row r="384" spans="21:22" hidden="1">
      <c r="U384" s="93">
        <f t="shared" si="84"/>
        <v>0</v>
      </c>
      <c r="V384" s="3">
        <v>0</v>
      </c>
    </row>
    <row r="385" spans="21:22" hidden="1">
      <c r="U385" s="93">
        <f t="shared" si="84"/>
        <v>0</v>
      </c>
      <c r="V385" s="3">
        <v>0</v>
      </c>
    </row>
    <row r="386" spans="21:22" hidden="1">
      <c r="U386" s="93">
        <f t="shared" si="84"/>
        <v>0</v>
      </c>
      <c r="V386" s="3">
        <v>0</v>
      </c>
    </row>
    <row r="387" spans="21:22" hidden="1">
      <c r="U387" s="93">
        <f t="shared" si="84"/>
        <v>0</v>
      </c>
      <c r="V387" s="3">
        <v>0</v>
      </c>
    </row>
    <row r="388" spans="21:22" hidden="1">
      <c r="U388" s="93">
        <f t="shared" si="84"/>
        <v>0</v>
      </c>
      <c r="V388" s="3">
        <v>0</v>
      </c>
    </row>
    <row r="389" spans="21:22" hidden="1">
      <c r="U389" s="93">
        <f t="shared" si="84"/>
        <v>0</v>
      </c>
      <c r="V389" s="3">
        <v>0</v>
      </c>
    </row>
    <row r="390" spans="21:22" hidden="1">
      <c r="U390" s="93">
        <f t="shared" si="84"/>
        <v>0</v>
      </c>
      <c r="V390" s="3">
        <v>0</v>
      </c>
    </row>
    <row r="391" spans="21:22" hidden="1">
      <c r="U391" s="93">
        <f t="shared" si="84"/>
        <v>0</v>
      </c>
      <c r="V391" s="3">
        <v>0</v>
      </c>
    </row>
    <row r="392" spans="21:22" hidden="1">
      <c r="U392" s="93">
        <f t="shared" si="84"/>
        <v>0</v>
      </c>
      <c r="V392" s="3">
        <v>0</v>
      </c>
    </row>
    <row r="393" spans="21:22" hidden="1">
      <c r="U393" s="93">
        <f t="shared" si="84"/>
        <v>0</v>
      </c>
      <c r="V393" s="3">
        <v>0</v>
      </c>
    </row>
    <row r="394" spans="21:22" hidden="1">
      <c r="U394" s="93">
        <f t="shared" si="84"/>
        <v>0</v>
      </c>
      <c r="V394" s="3">
        <v>0</v>
      </c>
    </row>
    <row r="395" spans="21:22" hidden="1">
      <c r="U395" s="93">
        <f t="shared" si="84"/>
        <v>0</v>
      </c>
      <c r="V395" s="3">
        <v>0</v>
      </c>
    </row>
    <row r="396" spans="21:22" hidden="1">
      <c r="U396" s="93">
        <f t="shared" si="84"/>
        <v>0</v>
      </c>
      <c r="V396" s="3">
        <v>0</v>
      </c>
    </row>
    <row r="397" spans="21:22" hidden="1">
      <c r="U397" s="93">
        <f t="shared" si="84"/>
        <v>0</v>
      </c>
      <c r="V397" s="3">
        <v>0</v>
      </c>
    </row>
    <row r="398" spans="21:22" hidden="1">
      <c r="U398" s="93">
        <f t="shared" si="84"/>
        <v>0</v>
      </c>
      <c r="V398" s="3">
        <v>0</v>
      </c>
    </row>
    <row r="399" spans="21:22" hidden="1">
      <c r="U399" s="93">
        <f t="shared" si="84"/>
        <v>0</v>
      </c>
      <c r="V399" s="3">
        <v>0</v>
      </c>
    </row>
    <row r="400" spans="21:22" hidden="1">
      <c r="U400" s="93">
        <f t="shared" si="84"/>
        <v>0</v>
      </c>
      <c r="V400" s="3">
        <v>0</v>
      </c>
    </row>
    <row r="401" spans="21:22" hidden="1">
      <c r="U401" s="93">
        <f t="shared" si="84"/>
        <v>0</v>
      </c>
      <c r="V401" s="3">
        <v>0</v>
      </c>
    </row>
    <row r="402" spans="21:22" hidden="1">
      <c r="U402" s="93">
        <f t="shared" si="84"/>
        <v>0</v>
      </c>
      <c r="V402" s="3">
        <v>0</v>
      </c>
    </row>
    <row r="403" spans="21:22" hidden="1">
      <c r="U403" s="93">
        <f t="shared" si="84"/>
        <v>0</v>
      </c>
      <c r="V403" s="3">
        <v>0</v>
      </c>
    </row>
    <row r="404" spans="21:22" hidden="1">
      <c r="U404" s="93">
        <f t="shared" si="84"/>
        <v>0</v>
      </c>
      <c r="V404" s="3">
        <v>0</v>
      </c>
    </row>
    <row r="405" spans="21:22" hidden="1">
      <c r="U405" s="93">
        <f t="shared" si="84"/>
        <v>0</v>
      </c>
      <c r="V405" s="3">
        <v>0</v>
      </c>
    </row>
    <row r="406" spans="21:22" hidden="1">
      <c r="U406" s="93">
        <f t="shared" si="84"/>
        <v>0</v>
      </c>
      <c r="V406" s="3">
        <v>0</v>
      </c>
    </row>
    <row r="407" spans="21:22" hidden="1">
      <c r="U407" s="93">
        <f t="shared" si="84"/>
        <v>0</v>
      </c>
      <c r="V407" s="3">
        <v>0</v>
      </c>
    </row>
    <row r="408" spans="21:22" hidden="1">
      <c r="U408" s="93">
        <f t="shared" si="84"/>
        <v>0</v>
      </c>
      <c r="V408" s="3">
        <v>0</v>
      </c>
    </row>
    <row r="409" spans="21:22" hidden="1">
      <c r="U409" s="93">
        <f t="shared" si="84"/>
        <v>0</v>
      </c>
      <c r="V409" s="3">
        <v>0</v>
      </c>
    </row>
    <row r="410" spans="21:22" hidden="1">
      <c r="U410" s="93">
        <f t="shared" si="84"/>
        <v>0</v>
      </c>
      <c r="V410" s="3">
        <v>0</v>
      </c>
    </row>
    <row r="411" spans="21:22" hidden="1">
      <c r="U411" s="93">
        <f t="shared" si="84"/>
        <v>0</v>
      </c>
      <c r="V411" s="3">
        <v>0</v>
      </c>
    </row>
    <row r="412" spans="21:22" hidden="1">
      <c r="U412" s="93">
        <f t="shared" si="84"/>
        <v>0</v>
      </c>
      <c r="V412" s="3">
        <v>0</v>
      </c>
    </row>
    <row r="413" spans="21:22" hidden="1">
      <c r="U413" s="93">
        <f t="shared" si="84"/>
        <v>0</v>
      </c>
      <c r="V413" s="3">
        <v>0</v>
      </c>
    </row>
    <row r="414" spans="21:22" ht="7.5" hidden="1" customHeight="1">
      <c r="U414" s="93">
        <f t="shared" si="84"/>
        <v>0</v>
      </c>
      <c r="V414" s="3">
        <v>0</v>
      </c>
    </row>
    <row r="415" spans="21:22" ht="13.5" hidden="1" customHeight="1">
      <c r="U415" s="93">
        <f t="shared" si="84"/>
        <v>0</v>
      </c>
      <c r="V415" s="3">
        <v>0</v>
      </c>
    </row>
    <row r="416" spans="21:22" hidden="1">
      <c r="U416" s="93">
        <f t="shared" si="84"/>
        <v>0</v>
      </c>
      <c r="V416" s="3">
        <v>0</v>
      </c>
    </row>
    <row r="417" spans="21:22" hidden="1">
      <c r="U417" s="93">
        <f t="shared" si="84"/>
        <v>0</v>
      </c>
      <c r="V417" s="3">
        <v>0</v>
      </c>
    </row>
    <row r="418" spans="21:22" hidden="1">
      <c r="U418" s="93">
        <f t="shared" si="84"/>
        <v>0</v>
      </c>
      <c r="V418" s="3">
        <v>0</v>
      </c>
    </row>
    <row r="419" spans="21:22" hidden="1">
      <c r="U419" s="93">
        <f t="shared" si="84"/>
        <v>0</v>
      </c>
      <c r="V419" s="3">
        <v>0</v>
      </c>
    </row>
    <row r="420" spans="21:22" hidden="1">
      <c r="U420" s="93">
        <f t="shared" si="84"/>
        <v>0</v>
      </c>
      <c r="V420" s="3">
        <v>0</v>
      </c>
    </row>
    <row r="421" spans="21:22" hidden="1">
      <c r="U421" s="93">
        <f t="shared" si="84"/>
        <v>0</v>
      </c>
      <c r="V421" s="3">
        <v>0</v>
      </c>
    </row>
    <row r="422" spans="21:22" hidden="1">
      <c r="U422" s="93">
        <f t="shared" si="84"/>
        <v>0</v>
      </c>
      <c r="V422" s="3">
        <v>0</v>
      </c>
    </row>
    <row r="423" spans="21:22" hidden="1">
      <c r="U423" s="93">
        <f t="shared" si="84"/>
        <v>0</v>
      </c>
      <c r="V423" s="3">
        <v>0</v>
      </c>
    </row>
    <row r="424" spans="21:22" hidden="1">
      <c r="U424" s="93">
        <f t="shared" si="84"/>
        <v>0</v>
      </c>
      <c r="V424" s="3">
        <v>0</v>
      </c>
    </row>
    <row r="425" spans="21:22" hidden="1">
      <c r="U425" s="93">
        <f t="shared" si="84"/>
        <v>0</v>
      </c>
      <c r="V425" s="3">
        <v>0</v>
      </c>
    </row>
    <row r="426" spans="21:22" hidden="1">
      <c r="U426" s="93">
        <f t="shared" si="84"/>
        <v>0</v>
      </c>
      <c r="V426" s="3">
        <v>0</v>
      </c>
    </row>
    <row r="427" spans="21:22" hidden="1">
      <c r="U427" s="93">
        <f t="shared" si="84"/>
        <v>0</v>
      </c>
      <c r="V427" s="3">
        <v>0</v>
      </c>
    </row>
    <row r="428" spans="21:22" hidden="1">
      <c r="U428" s="93">
        <f t="shared" si="84"/>
        <v>0</v>
      </c>
      <c r="V428" s="3">
        <v>0</v>
      </c>
    </row>
    <row r="429" spans="21:22" hidden="1">
      <c r="U429" s="93">
        <f t="shared" si="84"/>
        <v>0</v>
      </c>
      <c r="V429" s="3">
        <v>0</v>
      </c>
    </row>
    <row r="430" spans="21:22" hidden="1">
      <c r="U430" s="93">
        <f t="shared" si="84"/>
        <v>0</v>
      </c>
      <c r="V430" s="3">
        <v>0</v>
      </c>
    </row>
    <row r="431" spans="21:22" hidden="1">
      <c r="U431" s="93">
        <f t="shared" si="84"/>
        <v>0</v>
      </c>
      <c r="V431" s="3">
        <v>0</v>
      </c>
    </row>
    <row r="432" spans="21:22" hidden="1">
      <c r="U432" s="93">
        <f t="shared" si="84"/>
        <v>0</v>
      </c>
      <c r="V432" s="3">
        <v>0</v>
      </c>
    </row>
    <row r="433" spans="21:22" hidden="1">
      <c r="U433" s="93">
        <f t="shared" si="84"/>
        <v>0</v>
      </c>
      <c r="V433" s="3">
        <v>0</v>
      </c>
    </row>
    <row r="434" spans="21:22" hidden="1">
      <c r="U434" s="93">
        <f t="shared" si="84"/>
        <v>0</v>
      </c>
      <c r="V434" s="3">
        <v>0</v>
      </c>
    </row>
    <row r="435" spans="21:22" hidden="1">
      <c r="U435" s="93">
        <f t="shared" si="84"/>
        <v>0</v>
      </c>
      <c r="V435" s="3">
        <v>0</v>
      </c>
    </row>
    <row r="436" spans="21:22" hidden="1">
      <c r="U436" s="93">
        <f t="shared" si="84"/>
        <v>0</v>
      </c>
      <c r="V436" s="3">
        <v>0</v>
      </c>
    </row>
    <row r="437" spans="21:22" hidden="1">
      <c r="U437" s="93">
        <f t="shared" si="84"/>
        <v>0</v>
      </c>
      <c r="V437" s="3">
        <v>0</v>
      </c>
    </row>
    <row r="438" spans="21:22" hidden="1">
      <c r="U438" s="93">
        <f t="shared" si="84"/>
        <v>0</v>
      </c>
      <c r="V438" s="3">
        <v>0</v>
      </c>
    </row>
    <row r="439" spans="21:22" hidden="1">
      <c r="U439" s="93">
        <f t="shared" si="84"/>
        <v>0</v>
      </c>
      <c r="V439" s="3">
        <v>0</v>
      </c>
    </row>
    <row r="440" spans="21:22" hidden="1">
      <c r="U440" s="93">
        <f t="shared" ref="U440:U453" si="85">IF(NOT(ISBLANK(C440)), 1, 0)</f>
        <v>0</v>
      </c>
      <c r="V440" s="3">
        <v>0</v>
      </c>
    </row>
    <row r="441" spans="21:22" hidden="1">
      <c r="U441" s="93">
        <f t="shared" si="85"/>
        <v>0</v>
      </c>
      <c r="V441" s="3">
        <v>0</v>
      </c>
    </row>
    <row r="442" spans="21:22" hidden="1">
      <c r="U442" s="93">
        <f t="shared" si="85"/>
        <v>0</v>
      </c>
      <c r="V442" s="3">
        <v>0</v>
      </c>
    </row>
    <row r="443" spans="21:22" hidden="1">
      <c r="U443" s="93">
        <f t="shared" si="85"/>
        <v>0</v>
      </c>
      <c r="V443" s="3">
        <v>0</v>
      </c>
    </row>
    <row r="444" spans="21:22" hidden="1">
      <c r="U444" s="93">
        <f t="shared" si="85"/>
        <v>0</v>
      </c>
      <c r="V444" s="3">
        <v>0</v>
      </c>
    </row>
    <row r="445" spans="21:22" hidden="1">
      <c r="U445" s="93">
        <f t="shared" si="85"/>
        <v>0</v>
      </c>
      <c r="V445" s="3">
        <v>0</v>
      </c>
    </row>
    <row r="446" spans="21:22" hidden="1">
      <c r="U446" s="93">
        <f t="shared" si="85"/>
        <v>0</v>
      </c>
      <c r="V446" s="3">
        <v>0</v>
      </c>
    </row>
    <row r="447" spans="21:22" hidden="1">
      <c r="U447" s="93">
        <f t="shared" si="85"/>
        <v>0</v>
      </c>
      <c r="V447" s="3">
        <v>0</v>
      </c>
    </row>
    <row r="448" spans="21:22" hidden="1">
      <c r="U448" s="93">
        <f t="shared" si="85"/>
        <v>0</v>
      </c>
      <c r="V448" s="3">
        <v>0</v>
      </c>
    </row>
    <row r="449" spans="21:22" hidden="1">
      <c r="U449" s="93">
        <f t="shared" si="85"/>
        <v>0</v>
      </c>
      <c r="V449" s="3">
        <v>0</v>
      </c>
    </row>
    <row r="450" spans="21:22" hidden="1">
      <c r="U450" s="93">
        <f t="shared" si="85"/>
        <v>0</v>
      </c>
      <c r="V450" s="3">
        <v>0</v>
      </c>
    </row>
    <row r="451" spans="21:22" hidden="1">
      <c r="U451" s="93">
        <f t="shared" si="85"/>
        <v>0</v>
      </c>
      <c r="V451" s="3">
        <v>0</v>
      </c>
    </row>
    <row r="452" spans="21:22" hidden="1">
      <c r="U452" s="93">
        <f t="shared" si="85"/>
        <v>0</v>
      </c>
      <c r="V452" s="3">
        <v>0</v>
      </c>
    </row>
    <row r="453" spans="21:22" hidden="1">
      <c r="U453" s="93">
        <f t="shared" si="85"/>
        <v>0</v>
      </c>
      <c r="V453" s="3">
        <v>0</v>
      </c>
    </row>
  </sheetData>
  <conditionalFormatting sqref="G96:G98 H97:S98 Q87:Q88 G88:S93 L178">
    <cfRule type="cellIs" dxfId="49" priority="116" stopIfTrue="1" operator="equal">
      <formula>#REF!</formula>
    </cfRule>
  </conditionalFormatting>
  <conditionalFormatting sqref="G5:K5 L70:S73 G73:S74 L81:S82 G85:S85 G87:P87 G97:S98 G102:S102">
    <cfRule type="cellIs" dxfId="48" priority="24" stopIfTrue="1" operator="equal">
      <formula>#REF!</formula>
    </cfRule>
  </conditionalFormatting>
  <conditionalFormatting sqref="G80:K82 R87:S87">
    <cfRule type="cellIs" dxfId="47" priority="111" stopIfTrue="1" operator="equal">
      <formula>#REF!</formula>
    </cfRule>
  </conditionalFormatting>
  <conditionalFormatting sqref="G155:S155">
    <cfRule type="cellIs" dxfId="46" priority="30" stopIfTrue="1" operator="equal">
      <formula>#REF!</formula>
    </cfRule>
  </conditionalFormatting>
  <conditionalFormatting sqref="K7">
    <cfRule type="cellIs" dxfId="45" priority="23" stopIfTrue="1" operator="equal">
      <formula>#REF!</formula>
    </cfRule>
  </conditionalFormatting>
  <conditionalFormatting sqref="L5 L7 L60 L112 L177">
    <cfRule type="cellIs" dxfId="44" priority="117" stopIfTrue="1" operator="equal">
      <formula>#REF!</formula>
    </cfRule>
  </conditionalFormatting>
  <conditionalFormatting sqref="L63:S67">
    <cfRule type="cellIs" dxfId="43" priority="10" stopIfTrue="1" operator="equal">
      <formula>#REF!</formula>
    </cfRule>
  </conditionalFormatting>
  <conditionalFormatting sqref="L78:S78 L95:S95">
    <cfRule type="cellIs" dxfId="42" priority="88" stopIfTrue="1" operator="equal">
      <formula>#REF!</formula>
    </cfRule>
  </conditionalFormatting>
  <conditionalFormatting sqref="U2:V2">
    <cfRule type="cellIs" dxfId="41" priority="115" operator="equal">
      <formula>"Check"</formula>
    </cfRule>
  </conditionalFormatting>
  <pageMargins left="0.74803149606299213" right="0.74803149606299213" top="0.98425196850393704" bottom="0.98425196850393704" header="0.51181102362204722" footer="0.51181102362204722"/>
  <pageSetup orientation="portrait" r:id="rId1"/>
  <headerFooter alignWithMargins="0">
    <oddFooter>&amp;LIB-Competition Preliminary Case &amp;RPage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86654A"/>
  </sheetPr>
  <dimension ref="A1:IY197"/>
  <sheetViews>
    <sheetView showGridLines="0" zoomScale="150" zoomScaleSheetLayoutView="55" workbookViewId="0">
      <pane xSplit="5" ySplit="7" topLeftCell="F89" activePane="bottomRight" state="frozen"/>
      <selection pane="topRight" activeCell="F21" sqref="F21"/>
      <selection pane="bottomLeft" activeCell="F21" sqref="F21"/>
      <selection pane="bottomRight" activeCell="K121" sqref="K121"/>
    </sheetView>
  </sheetViews>
  <sheetFormatPr defaultColWidth="0" defaultRowHeight="13.2" zeroHeight="1"/>
  <cols>
    <col min="1" max="2" width="2.44140625" style="3" customWidth="1"/>
    <col min="3" max="3" width="36.44140625" style="3" customWidth="1"/>
    <col min="4" max="4" width="4.44140625" style="3" customWidth="1"/>
    <col min="5" max="5" width="8.44140625" style="3" customWidth="1"/>
    <col min="6" max="7" width="6.44140625" style="3" customWidth="1"/>
    <col min="8" max="18" width="7" style="3" customWidth="1"/>
    <col min="19" max="19" width="6.33203125" style="3" customWidth="1"/>
    <col min="20" max="20" width="3.44140625" style="2" customWidth="1"/>
    <col min="21" max="22" width="4.44140625" style="2" customWidth="1"/>
    <col min="23" max="23" width="3.44140625" style="2" customWidth="1"/>
    <col min="24" max="99" width="5.44140625" style="2" hidden="1" customWidth="1"/>
    <col min="100" max="258" width="5.44140625" style="3" hidden="1" customWidth="1"/>
    <col min="259" max="259" width="0" style="3" hidden="1" customWidth="1"/>
    <col min="260" max="16384" width="9.33203125" style="3" hidden="1"/>
  </cols>
  <sheetData>
    <row r="1" spans="1:258" s="26" customFormat="1">
      <c r="A1" s="36"/>
      <c r="B1" s="36" t="str">
        <f>'DCF - Assumptions (old)'!$F$8&amp;" | Discounted Cash Flows - Capital Structure"</f>
        <v>Bumble INC | Discounted Cash Flows - Capital Structure</v>
      </c>
      <c r="C1" s="35"/>
      <c r="U1" s="34" t="str">
        <f>IF(U5=V5,"OK","Check")</f>
        <v>OK</v>
      </c>
      <c r="V1" s="34" t="str">
        <f>IF(U6=V6,"OK","Check")</f>
        <v>OK</v>
      </c>
    </row>
    <row r="2" spans="1:258" ht="2.25" customHeight="1">
      <c r="A2" s="33"/>
      <c r="B2" s="33"/>
      <c r="C2" s="32"/>
      <c r="D2" s="32"/>
      <c r="E2" s="32"/>
      <c r="F2" s="32"/>
      <c r="G2" s="32"/>
      <c r="H2" s="32"/>
      <c r="I2" s="32"/>
      <c r="J2" s="32"/>
      <c r="K2" s="32"/>
      <c r="L2" s="32"/>
      <c r="M2" s="32"/>
      <c r="N2" s="32"/>
      <c r="O2" s="32"/>
      <c r="P2" s="32"/>
      <c r="Q2" s="32"/>
      <c r="R2" s="32"/>
      <c r="S2" s="32"/>
      <c r="T2" s="31"/>
      <c r="U2" s="30"/>
      <c r="V2" s="30"/>
      <c r="W2" s="30"/>
    </row>
    <row r="3" spans="1:258" s="28" customFormat="1" ht="3" customHeight="1">
      <c r="A3" s="29"/>
      <c r="B3" s="29"/>
      <c r="T3" s="27"/>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row>
    <row r="4" spans="1:258" ht="11.25" customHeight="1">
      <c r="A4" s="115"/>
      <c r="B4" s="115"/>
      <c r="T4" s="133"/>
    </row>
    <row r="5" spans="1:258">
      <c r="C5" s="1147" t="s">
        <v>1279</v>
      </c>
      <c r="D5" s="1148"/>
      <c r="E5" s="1148"/>
      <c r="F5" s="1148"/>
      <c r="G5" s="1148"/>
      <c r="H5" s="1148"/>
      <c r="I5" s="1148"/>
      <c r="J5" s="1148"/>
      <c r="K5" s="1148"/>
      <c r="L5" s="1148"/>
      <c r="M5" s="1148"/>
      <c r="N5" s="1148"/>
      <c r="O5" s="1148"/>
      <c r="P5" s="1148"/>
      <c r="Q5" s="1148"/>
      <c r="R5" s="1148"/>
      <c r="S5" s="1148"/>
      <c r="U5" s="93">
        <f>ROWS(C5:C179)</f>
        <v>175</v>
      </c>
      <c r="V5" s="24">
        <v>175</v>
      </c>
    </row>
    <row r="6" spans="1:258" s="2" customFormat="1" ht="13.5" customHeight="1">
      <c r="A6" s="3"/>
      <c r="B6" s="3"/>
      <c r="C6" s="3"/>
      <c r="D6" s="3"/>
      <c r="E6" s="3"/>
      <c r="F6" s="3"/>
      <c r="G6" s="3"/>
      <c r="H6" s="3"/>
      <c r="I6" s="3"/>
      <c r="J6" s="3"/>
      <c r="K6" s="3"/>
      <c r="L6" s="1089" t="str">
        <f>'DCF - Assumptions (old)'!$L$6</f>
        <v>Projected Fiscal Years Ending June 31</v>
      </c>
      <c r="M6" s="956"/>
      <c r="N6" s="956"/>
      <c r="O6" s="956"/>
      <c r="P6" s="956"/>
      <c r="Q6" s="956"/>
      <c r="R6" s="956"/>
      <c r="S6" s="956"/>
      <c r="U6" s="93">
        <f>SUM(U8:U179)</f>
        <v>129</v>
      </c>
      <c r="V6" s="24">
        <v>129</v>
      </c>
    </row>
    <row r="7" spans="1:258" s="2" customFormat="1" ht="13.5" customHeight="1" thickBot="1">
      <c r="A7" s="3"/>
      <c r="B7" s="3"/>
      <c r="C7" s="142"/>
      <c r="D7" s="85" t="str">
        <f>'DCF - Assumptions (old)'!D7</f>
        <v>Unit</v>
      </c>
      <c r="E7" s="85" t="str">
        <f>'DCF - Assumptions (old)'!E7</f>
        <v>Type</v>
      </c>
      <c r="F7" s="57"/>
      <c r="G7" s="85">
        <f>'DCF - Financials'!G8</f>
        <v>2019</v>
      </c>
      <c r="H7" s="85">
        <f>'DCF - Financials'!H8</f>
        <v>2020</v>
      </c>
      <c r="I7" s="85">
        <f>'DCF - Financials'!I8</f>
        <v>2021</v>
      </c>
      <c r="J7" s="85">
        <f>'DCF - Financials'!J8</f>
        <v>2022</v>
      </c>
      <c r="K7" s="85">
        <f>'DCF - Financials'!K8</f>
        <v>2023</v>
      </c>
      <c r="L7" s="85">
        <f>'DCF - Financials'!L8</f>
        <v>2024</v>
      </c>
      <c r="M7" s="85">
        <f>'DCF - Financials'!M8</f>
        <v>2025</v>
      </c>
      <c r="N7" s="85">
        <f>'DCF - Financials'!N8</f>
        <v>2026</v>
      </c>
      <c r="O7" s="85">
        <f>'DCF - Financials'!O8</f>
        <v>2027</v>
      </c>
      <c r="P7" s="85">
        <f>'DCF - Financials'!P8</f>
        <v>2028</v>
      </c>
      <c r="Q7" s="85">
        <f>'DCF - Financials'!Q8</f>
        <v>2029</v>
      </c>
      <c r="R7" s="85">
        <f>'DCF - Financials'!R8</f>
        <v>2030</v>
      </c>
      <c r="S7" s="85">
        <f>'DCF - Financials'!S8</f>
        <v>2031</v>
      </c>
      <c r="T7" s="23"/>
      <c r="U7" s="87"/>
      <c r="V7" s="24"/>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row>
    <row r="8" spans="1:258" ht="13.5" customHeight="1">
      <c r="A8" s="54"/>
      <c r="B8" s="54"/>
      <c r="C8" s="1180" t="s">
        <v>1280</v>
      </c>
      <c r="D8" s="1181"/>
      <c r="E8" s="1181"/>
      <c r="H8" s="82"/>
      <c r="I8" s="82"/>
      <c r="J8" s="82"/>
      <c r="K8" s="82"/>
      <c r="L8" s="95"/>
      <c r="M8" s="95"/>
      <c r="N8" s="95"/>
      <c r="O8" s="95"/>
      <c r="P8" s="95"/>
      <c r="Q8" s="95"/>
      <c r="R8" s="95"/>
      <c r="S8" s="95"/>
      <c r="U8" s="93">
        <v>1</v>
      </c>
      <c r="V8" s="24">
        <v>1</v>
      </c>
    </row>
    <row r="9" spans="1:258" ht="13.5" customHeight="1">
      <c r="A9" s="54"/>
      <c r="B9" s="54"/>
      <c r="C9" s="113"/>
      <c r="H9" s="82"/>
      <c r="I9" s="82"/>
      <c r="J9" s="82"/>
      <c r="K9" s="82"/>
      <c r="L9" s="95"/>
      <c r="M9" s="95"/>
      <c r="N9" s="95"/>
      <c r="O9" s="95"/>
      <c r="P9" s="95"/>
      <c r="Q9" s="95"/>
      <c r="R9" s="95"/>
      <c r="S9" s="95"/>
      <c r="U9" s="93">
        <v>0</v>
      </c>
      <c r="V9" s="24">
        <v>0</v>
      </c>
    </row>
    <row r="10" spans="1:258" s="1169" customFormat="1" ht="13.5" customHeight="1">
      <c r="A10" s="54"/>
      <c r="B10" s="54"/>
      <c r="C10" s="113" t="s">
        <v>1281</v>
      </c>
      <c r="D10" s="3"/>
      <c r="E10" s="3"/>
      <c r="F10" s="2"/>
      <c r="G10" s="95"/>
      <c r="H10" s="95"/>
      <c r="I10" s="95"/>
      <c r="J10" s="95"/>
      <c r="K10" s="95"/>
      <c r="L10"/>
      <c r="M10"/>
      <c r="N10"/>
      <c r="O10"/>
      <c r="P10"/>
      <c r="Q10"/>
      <c r="R10"/>
      <c r="S10"/>
      <c r="T10" s="2"/>
      <c r="U10" s="93">
        <v>1</v>
      </c>
      <c r="V10" s="24">
        <v>1</v>
      </c>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row>
    <row r="11" spans="1:258" ht="13.5" customHeight="1">
      <c r="A11" s="54"/>
      <c r="B11" s="54"/>
      <c r="C11" s="81" t="s">
        <v>1282</v>
      </c>
      <c r="D11" s="3" t="s">
        <v>1057</v>
      </c>
      <c r="E11" s="3" t="s">
        <v>1027</v>
      </c>
      <c r="G11" s="6"/>
      <c r="H11" s="95">
        <f t="shared" ref="H11:S11" si="0">SUM(H27)</f>
        <v>0</v>
      </c>
      <c r="I11" s="95">
        <f>SUM(I27)</f>
        <v>820.87599999999998</v>
      </c>
      <c r="J11" s="95">
        <f t="shared" si="0"/>
        <v>620.351</v>
      </c>
      <c r="K11" s="95">
        <f t="shared" si="0"/>
        <v>619.22299999999996</v>
      </c>
      <c r="L11" s="95">
        <f t="shared" si="0"/>
        <v>615.17600000000004</v>
      </c>
      <c r="M11" s="95">
        <f>SUM(M27)</f>
        <v>1163.3860434252665</v>
      </c>
      <c r="N11" s="95">
        <f t="shared" si="0"/>
        <v>1235.318507748244</v>
      </c>
      <c r="O11" s="95">
        <f t="shared" si="0"/>
        <v>1267.9271307653059</v>
      </c>
      <c r="P11" s="95">
        <f t="shared" si="0"/>
        <v>1306.9872707355048</v>
      </c>
      <c r="Q11" s="95">
        <f t="shared" si="0"/>
        <v>1355.2805553396706</v>
      </c>
      <c r="R11" s="95">
        <f t="shared" si="0"/>
        <v>1412.2513217923679</v>
      </c>
      <c r="S11" s="95">
        <f t="shared" si="0"/>
        <v>1462.6178719664003</v>
      </c>
      <c r="U11" s="93">
        <v>1</v>
      </c>
      <c r="V11" s="24">
        <v>1</v>
      </c>
    </row>
    <row r="12" spans="1:258" ht="13.5" customHeight="1">
      <c r="A12" s="54"/>
      <c r="B12" s="54"/>
      <c r="C12" s="101" t="s">
        <v>1283</v>
      </c>
      <c r="D12" s="32" t="s">
        <v>1057</v>
      </c>
      <c r="E12" s="32" t="s">
        <v>1027</v>
      </c>
      <c r="F12" s="32"/>
      <c r="G12" s="77"/>
      <c r="H12" s="100">
        <f>H28+H31+H30</f>
        <v>820.87599999999998</v>
      </c>
      <c r="I12" s="100">
        <f t="shared" ref="I12:S12" si="1">I28+I31+I30</f>
        <v>0</v>
      </c>
      <c r="J12" s="100">
        <f t="shared" si="1"/>
        <v>0</v>
      </c>
      <c r="K12" s="100">
        <f t="shared" si="1"/>
        <v>0</v>
      </c>
      <c r="L12" s="100">
        <f t="shared" si="1"/>
        <v>548.21004342526646</v>
      </c>
      <c r="M12" s="100">
        <f>M28+M31+M30</f>
        <v>71.932464322977467</v>
      </c>
      <c r="N12" s="100">
        <f t="shared" si="1"/>
        <v>32.608623017061973</v>
      </c>
      <c r="O12" s="100">
        <f t="shared" si="1"/>
        <v>39.060139970198861</v>
      </c>
      <c r="P12" s="100">
        <f t="shared" si="1"/>
        <v>48.293284604165819</v>
      </c>
      <c r="Q12" s="100">
        <f t="shared" si="1"/>
        <v>56.970766452697262</v>
      </c>
      <c r="R12" s="100">
        <f t="shared" si="1"/>
        <v>50.366550174032454</v>
      </c>
      <c r="S12" s="100">
        <f t="shared" si="1"/>
        <v>54.084952729149336</v>
      </c>
      <c r="U12" s="93">
        <v>1</v>
      </c>
      <c r="V12" s="24">
        <v>1</v>
      </c>
    </row>
    <row r="13" spans="1:258" ht="13.5" customHeight="1">
      <c r="A13" s="54"/>
      <c r="B13" s="54"/>
      <c r="C13" s="1100" t="s">
        <v>1284</v>
      </c>
      <c r="D13" s="1091" t="s">
        <v>1057</v>
      </c>
      <c r="E13" s="1091" t="s">
        <v>1027</v>
      </c>
      <c r="F13" s="1091"/>
      <c r="G13" s="6"/>
      <c r="H13" s="1103">
        <f t="shared" ref="H13:S13" si="2">H29+H32</f>
        <v>0</v>
      </c>
      <c r="I13" s="1103">
        <f t="shared" si="2"/>
        <v>-200.52499999999998</v>
      </c>
      <c r="J13" s="1103">
        <f t="shared" si="2"/>
        <v>-1.1280000000000427</v>
      </c>
      <c r="K13" s="1103">
        <f t="shared" si="2"/>
        <v>-4.0469999999999118</v>
      </c>
      <c r="L13" s="1103">
        <f t="shared" si="2"/>
        <v>0</v>
      </c>
      <c r="M13" s="1103">
        <f t="shared" si="2"/>
        <v>0</v>
      </c>
      <c r="N13" s="1103">
        <f t="shared" si="2"/>
        <v>0</v>
      </c>
      <c r="O13" s="1103">
        <f t="shared" si="2"/>
        <v>0</v>
      </c>
      <c r="P13" s="1103">
        <f t="shared" si="2"/>
        <v>0</v>
      </c>
      <c r="Q13" s="1103">
        <f t="shared" si="2"/>
        <v>0</v>
      </c>
      <c r="R13" s="1103">
        <f t="shared" si="2"/>
        <v>0</v>
      </c>
      <c r="S13" s="1103">
        <f t="shared" si="2"/>
        <v>0</v>
      </c>
      <c r="U13" s="93">
        <v>1</v>
      </c>
      <c r="V13" s="24">
        <v>1</v>
      </c>
    </row>
    <row r="14" spans="1:258" ht="13.5" customHeight="1">
      <c r="B14" s="20"/>
      <c r="C14" s="101" t="s">
        <v>1285</v>
      </c>
      <c r="D14" s="32" t="s">
        <v>1057</v>
      </c>
      <c r="E14" s="32" t="s">
        <v>1027</v>
      </c>
      <c r="F14" s="32"/>
      <c r="G14" s="552"/>
      <c r="H14" s="77"/>
      <c r="I14" s="77"/>
      <c r="J14" s="77"/>
      <c r="K14" s="77"/>
      <c r="L14" s="95"/>
      <c r="M14" s="95"/>
      <c r="N14" s="95"/>
      <c r="O14" s="95"/>
      <c r="P14" s="95"/>
      <c r="Q14" s="95"/>
      <c r="R14" s="95"/>
      <c r="S14" s="95"/>
      <c r="T14" s="94"/>
      <c r="U14" s="93">
        <v>1</v>
      </c>
      <c r="V14" s="24">
        <v>1</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row>
    <row r="15" spans="1:258" s="2" customFormat="1" ht="13.5" customHeight="1">
      <c r="A15" s="54"/>
      <c r="B15" s="54"/>
      <c r="C15" s="81" t="s">
        <v>1286</v>
      </c>
      <c r="D15" s="3" t="s">
        <v>1057</v>
      </c>
      <c r="E15" s="3" t="s">
        <v>1027</v>
      </c>
      <c r="G15" s="95"/>
      <c r="H15" s="95">
        <f t="shared" ref="H15:S15" si="3">SUM(H11:H14)</f>
        <v>820.87599999999998</v>
      </c>
      <c r="I15" s="95">
        <f>SUM(I11:I14)</f>
        <v>620.351</v>
      </c>
      <c r="J15" s="95">
        <f t="shared" si="3"/>
        <v>619.22299999999996</v>
      </c>
      <c r="K15" s="95">
        <f t="shared" si="3"/>
        <v>615.17600000000004</v>
      </c>
      <c r="L15" s="103">
        <f t="shared" si="3"/>
        <v>1163.3860434252665</v>
      </c>
      <c r="M15" s="103">
        <f>SUM(M11:M14)</f>
        <v>1235.318507748244</v>
      </c>
      <c r="N15" s="103">
        <f t="shared" si="3"/>
        <v>1267.9271307653059</v>
      </c>
      <c r="O15" s="103">
        <f t="shared" si="3"/>
        <v>1306.9872707355048</v>
      </c>
      <c r="P15" s="103">
        <f t="shared" si="3"/>
        <v>1355.2805553396706</v>
      </c>
      <c r="Q15" s="103">
        <f t="shared" si="3"/>
        <v>1412.2513217923679</v>
      </c>
      <c r="R15" s="103">
        <f t="shared" si="3"/>
        <v>1462.6178719664003</v>
      </c>
      <c r="S15" s="103">
        <f t="shared" si="3"/>
        <v>1516.7028246955497</v>
      </c>
      <c r="U15" s="93">
        <v>1</v>
      </c>
      <c r="V15" s="24">
        <v>1</v>
      </c>
    </row>
    <row r="16" spans="1:258" s="2" customFormat="1" ht="13.5" hidden="1" customHeight="1">
      <c r="A16" s="54"/>
      <c r="B16" s="54"/>
      <c r="C16" s="861"/>
      <c r="D16" s="3"/>
      <c r="E16" s="3"/>
      <c r="G16" s="95"/>
      <c r="H16" s="95"/>
      <c r="I16" s="95"/>
      <c r="J16" s="95"/>
      <c r="K16" s="95"/>
      <c r="L16"/>
      <c r="M16"/>
      <c r="N16"/>
      <c r="O16"/>
      <c r="P16"/>
      <c r="Q16"/>
      <c r="R16"/>
      <c r="S16"/>
      <c r="U16" s="93">
        <v>0</v>
      </c>
      <c r="V16" s="24">
        <v>0</v>
      </c>
    </row>
    <row r="17" spans="1:99" ht="13.5" hidden="1" customHeight="1">
      <c r="A17" s="54"/>
      <c r="B17" s="54"/>
      <c r="C17" s="113" t="s">
        <v>1287</v>
      </c>
      <c r="U17" s="93">
        <v>1</v>
      </c>
      <c r="V17" s="24">
        <v>1</v>
      </c>
    </row>
    <row r="18" spans="1:99" ht="13.5" hidden="1" customHeight="1">
      <c r="A18" s="54"/>
      <c r="B18" s="54"/>
      <c r="C18" s="1100" t="s">
        <v>1288</v>
      </c>
      <c r="D18" s="1091" t="s">
        <v>1057</v>
      </c>
      <c r="E18" s="1091" t="s">
        <v>1027</v>
      </c>
      <c r="F18" s="1091"/>
      <c r="G18" s="1103"/>
      <c r="H18" s="1103">
        <f>G22</f>
        <v>0</v>
      </c>
      <c r="I18" s="1103">
        <f t="shared" ref="I18:S18" si="4">H22</f>
        <v>0</v>
      </c>
      <c r="J18" s="1103">
        <f t="shared" si="4"/>
        <v>0</v>
      </c>
      <c r="K18" s="1103">
        <f t="shared" si="4"/>
        <v>0</v>
      </c>
      <c r="L18" s="1104">
        <f>K22</f>
        <v>0</v>
      </c>
      <c r="M18" s="1104">
        <f t="shared" si="4"/>
        <v>0</v>
      </c>
      <c r="N18" s="1104">
        <f t="shared" si="4"/>
        <v>0</v>
      </c>
      <c r="O18" s="1104">
        <f t="shared" si="4"/>
        <v>0</v>
      </c>
      <c r="P18" s="1104">
        <f t="shared" si="4"/>
        <v>0</v>
      </c>
      <c r="Q18" s="1104">
        <f t="shared" si="4"/>
        <v>0</v>
      </c>
      <c r="R18" s="1104">
        <f t="shared" si="4"/>
        <v>0</v>
      </c>
      <c r="S18" s="1104">
        <f t="shared" si="4"/>
        <v>0</v>
      </c>
      <c r="U18" s="93">
        <v>1</v>
      </c>
      <c r="V18" s="24">
        <v>1</v>
      </c>
    </row>
    <row r="19" spans="1:99" ht="13.5" hidden="1" customHeight="1">
      <c r="A19" s="54"/>
      <c r="B19" s="54"/>
      <c r="C19" s="101" t="s">
        <v>1289</v>
      </c>
      <c r="D19" s="32" t="s">
        <v>1057</v>
      </c>
      <c r="E19" s="32" t="s">
        <v>1290</v>
      </c>
      <c r="F19" s="32"/>
      <c r="G19" s="100"/>
      <c r="H19" s="100"/>
      <c r="I19" s="100"/>
      <c r="J19" s="100"/>
      <c r="K19" s="100"/>
      <c r="L19" s="883">
        <v>0</v>
      </c>
      <c r="M19" s="883">
        <v>0</v>
      </c>
      <c r="N19" s="883">
        <v>0</v>
      </c>
      <c r="O19" s="883">
        <v>0</v>
      </c>
      <c r="P19" s="883">
        <v>0</v>
      </c>
      <c r="Q19" s="883">
        <v>0</v>
      </c>
      <c r="R19" s="883">
        <v>0</v>
      </c>
      <c r="S19" s="883">
        <v>0</v>
      </c>
      <c r="U19" s="93">
        <v>1</v>
      </c>
      <c r="V19" s="24">
        <v>1</v>
      </c>
    </row>
    <row r="20" spans="1:99" ht="13.5" hidden="1" customHeight="1">
      <c r="A20" s="54"/>
      <c r="B20" s="54"/>
      <c r="C20" s="81" t="s">
        <v>1291</v>
      </c>
      <c r="D20" s="3" t="s">
        <v>1057</v>
      </c>
      <c r="E20" s="3" t="s">
        <v>1290</v>
      </c>
      <c r="G20" s="95"/>
      <c r="H20" s="95"/>
      <c r="I20" s="95"/>
      <c r="J20" s="95"/>
      <c r="K20" s="95"/>
      <c r="L20" s="883">
        <v>0</v>
      </c>
      <c r="M20" s="883">
        <v>0</v>
      </c>
      <c r="N20" s="883">
        <v>0</v>
      </c>
      <c r="O20" s="883">
        <v>0</v>
      </c>
      <c r="P20" s="883">
        <v>0</v>
      </c>
      <c r="Q20" s="883">
        <v>0</v>
      </c>
      <c r="R20" s="883">
        <v>0</v>
      </c>
      <c r="S20" s="883">
        <v>0</v>
      </c>
      <c r="U20" s="93">
        <v>1</v>
      </c>
      <c r="V20" s="24">
        <v>1</v>
      </c>
    </row>
    <row r="21" spans="1:99" ht="13.5" hidden="1" customHeight="1">
      <c r="B21" s="20"/>
      <c r="C21" s="101" t="s">
        <v>1285</v>
      </c>
      <c r="D21" s="32" t="s">
        <v>1057</v>
      </c>
      <c r="E21" s="32" t="s">
        <v>1027</v>
      </c>
      <c r="F21" s="32"/>
      <c r="G21" s="77"/>
      <c r="H21" s="77">
        <f>H22-SUM(H18:H20)</f>
        <v>0</v>
      </c>
      <c r="I21" s="77">
        <f>I22-SUM(I18:I20)</f>
        <v>0</v>
      </c>
      <c r="J21" s="77">
        <f>J22-SUM(J18:J20)</f>
        <v>0</v>
      </c>
      <c r="K21" s="77">
        <f>K22-SUM(K18:K20)</f>
        <v>0</v>
      </c>
      <c r="L21" s="99">
        <v>0</v>
      </c>
      <c r="M21" s="99">
        <v>0</v>
      </c>
      <c r="N21" s="99">
        <v>0</v>
      </c>
      <c r="O21" s="99">
        <v>0</v>
      </c>
      <c r="P21" s="99">
        <v>0</v>
      </c>
      <c r="Q21" s="99">
        <v>0</v>
      </c>
      <c r="R21" s="99">
        <v>0</v>
      </c>
      <c r="S21" s="99">
        <v>0</v>
      </c>
      <c r="T21" s="94"/>
      <c r="U21" s="93">
        <v>1</v>
      </c>
      <c r="V21" s="24">
        <v>1</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r="22" spans="1:99" s="32" customFormat="1" ht="13.5" hidden="1" customHeight="1">
      <c r="A22" s="54"/>
      <c r="B22" s="54"/>
      <c r="C22" s="81" t="s">
        <v>1292</v>
      </c>
      <c r="D22" s="3" t="s">
        <v>1057</v>
      </c>
      <c r="E22" s="3" t="s">
        <v>1027</v>
      </c>
      <c r="F22" s="3"/>
      <c r="G22" s="95"/>
      <c r="H22" s="883">
        <v>0</v>
      </c>
      <c r="I22" s="883">
        <v>0</v>
      </c>
      <c r="J22" s="883">
        <v>0</v>
      </c>
      <c r="K22" s="883">
        <v>0</v>
      </c>
      <c r="L22" s="103">
        <f t="shared" ref="L22:S22" si="5">SUM(L18:L21)</f>
        <v>0</v>
      </c>
      <c r="M22" s="103">
        <f t="shared" si="5"/>
        <v>0</v>
      </c>
      <c r="N22" s="103">
        <f t="shared" si="5"/>
        <v>0</v>
      </c>
      <c r="O22" s="103">
        <f t="shared" si="5"/>
        <v>0</v>
      </c>
      <c r="P22" s="103">
        <f t="shared" si="5"/>
        <v>0</v>
      </c>
      <c r="Q22" s="103">
        <f t="shared" si="5"/>
        <v>0</v>
      </c>
      <c r="R22" s="103">
        <f t="shared" si="5"/>
        <v>0</v>
      </c>
      <c r="S22" s="103">
        <f t="shared" si="5"/>
        <v>0</v>
      </c>
      <c r="T22" s="2"/>
      <c r="U22" s="93">
        <v>1</v>
      </c>
      <c r="V22" s="24">
        <v>1</v>
      </c>
      <c r="W22" s="2"/>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row>
    <row r="23" spans="1:99" ht="13.5" hidden="1" customHeight="1">
      <c r="A23" s="54"/>
      <c r="B23" s="54"/>
      <c r="C23" s="81"/>
      <c r="G23" s="883"/>
      <c r="H23" s="878"/>
      <c r="I23" s="878"/>
      <c r="J23" s="878"/>
      <c r="K23" s="878"/>
      <c r="L23" s="95"/>
      <c r="M23" s="95"/>
      <c r="N23" s="95"/>
      <c r="O23" s="95"/>
      <c r="P23" s="95"/>
      <c r="Q23" s="95"/>
      <c r="R23" s="95"/>
      <c r="S23" s="95"/>
      <c r="U23" s="93">
        <v>0</v>
      </c>
      <c r="V23" s="24">
        <v>0</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row>
    <row r="24" spans="1:99" ht="13.5" hidden="1" customHeight="1">
      <c r="A24" s="54"/>
      <c r="B24" s="54"/>
      <c r="C24" s="81" t="s">
        <v>1293</v>
      </c>
      <c r="G24" s="157"/>
      <c r="H24" s="870"/>
      <c r="I24" s="870"/>
      <c r="J24" s="870"/>
      <c r="K24" s="871"/>
      <c r="L24" s="157"/>
      <c r="M24" s="157"/>
      <c r="N24" s="157"/>
      <c r="O24" s="157"/>
      <c r="P24" s="157"/>
      <c r="Q24" s="157"/>
      <c r="R24" s="157"/>
      <c r="S24" s="157"/>
      <c r="U24" s="93">
        <v>1</v>
      </c>
      <c r="V24" s="24">
        <v>1</v>
      </c>
    </row>
    <row r="25" spans="1:99" s="1167" customFormat="1" ht="13.5" customHeight="1">
      <c r="A25" s="3"/>
      <c r="B25" s="3"/>
      <c r="C25" s="81"/>
      <c r="D25" s="3"/>
      <c r="E25" s="3"/>
      <c r="F25" s="3"/>
      <c r="G25" s="95"/>
      <c r="H25" s="871"/>
      <c r="I25" s="871"/>
      <c r="J25" s="871"/>
      <c r="K25" s="871"/>
      <c r="L25" s="95"/>
      <c r="M25" s="95"/>
      <c r="N25" s="95"/>
      <c r="O25" s="95"/>
      <c r="P25" s="95"/>
      <c r="Q25" s="95"/>
      <c r="R25" s="95"/>
      <c r="S25" s="95"/>
      <c r="T25" s="2"/>
      <c r="U25" s="93">
        <v>0</v>
      </c>
      <c r="V25" s="24">
        <v>0</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r="26" spans="1:99" ht="13.5" customHeight="1">
      <c r="A26" s="54"/>
      <c r="B26" s="54"/>
      <c r="C26" s="113" t="s">
        <v>1294</v>
      </c>
      <c r="F26" s="856"/>
      <c r="U26" s="93">
        <v>1</v>
      </c>
      <c r="V26" s="24">
        <v>1</v>
      </c>
    </row>
    <row r="27" spans="1:99" ht="13.5" customHeight="1">
      <c r="A27" s="54"/>
      <c r="B27" s="54"/>
      <c r="C27" s="1100" t="s">
        <v>1295</v>
      </c>
      <c r="D27" s="1091" t="s">
        <v>1057</v>
      </c>
      <c r="E27" s="1091" t="s">
        <v>1027</v>
      </c>
      <c r="F27" s="1091"/>
      <c r="G27" s="1101"/>
      <c r="H27" s="1102">
        <f>G33</f>
        <v>0</v>
      </c>
      <c r="I27" s="1102">
        <f t="shared" ref="I27:S27" si="6">H33</f>
        <v>820.87599999999998</v>
      </c>
      <c r="J27" s="1102">
        <f t="shared" si="6"/>
        <v>620.351</v>
      </c>
      <c r="K27" s="1102">
        <f>J33</f>
        <v>619.22299999999996</v>
      </c>
      <c r="L27" s="1102">
        <f>K33</f>
        <v>615.17600000000004</v>
      </c>
      <c r="M27" s="1102">
        <f>L33</f>
        <v>1163.3860434252665</v>
      </c>
      <c r="N27" s="1102">
        <f t="shared" si="6"/>
        <v>1235.318507748244</v>
      </c>
      <c r="O27" s="1102">
        <f t="shared" si="6"/>
        <v>1267.9271307653059</v>
      </c>
      <c r="P27" s="1102">
        <f t="shared" si="6"/>
        <v>1306.9872707355048</v>
      </c>
      <c r="Q27" s="1102">
        <f t="shared" si="6"/>
        <v>1355.2805553396706</v>
      </c>
      <c r="R27" s="1102">
        <f t="shared" si="6"/>
        <v>1412.2513217923679</v>
      </c>
      <c r="S27" s="1102">
        <f t="shared" si="6"/>
        <v>1462.6178719664003</v>
      </c>
      <c r="U27" s="93">
        <v>1</v>
      </c>
      <c r="V27" s="24">
        <v>1</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row>
    <row r="28" spans="1:99" ht="13.5" customHeight="1">
      <c r="A28" s="54"/>
      <c r="B28" s="54"/>
      <c r="C28" s="81" t="s">
        <v>1296</v>
      </c>
      <c r="D28" s="3" t="s">
        <v>1057</v>
      </c>
      <c r="E28" s="3" t="s">
        <v>1027</v>
      </c>
      <c r="G28" s="148"/>
      <c r="H28" s="879">
        <f>MAX(H33-H27,0)</f>
        <v>820.87599999999998</v>
      </c>
      <c r="I28" s="879">
        <f t="shared" ref="I28" si="7">MAX(I33-I27,0)</f>
        <v>0</v>
      </c>
      <c r="J28" s="879">
        <f t="shared" ref="J28" si="8">MAX(J33-J27,0)</f>
        <v>0</v>
      </c>
      <c r="K28" s="879">
        <f t="shared" ref="K28" si="9">MAX(K33-K27,0)</f>
        <v>0</v>
      </c>
      <c r="L28" s="883">
        <v>0</v>
      </c>
      <c r="M28" s="883">
        <v>0</v>
      </c>
      <c r="N28" s="883">
        <v>0</v>
      </c>
      <c r="O28" s="883">
        <v>0</v>
      </c>
      <c r="P28" s="883">
        <v>0</v>
      </c>
      <c r="Q28" s="883">
        <v>0</v>
      </c>
      <c r="R28" s="883">
        <v>0</v>
      </c>
      <c r="S28" s="883">
        <v>0</v>
      </c>
      <c r="U28" s="93">
        <v>1</v>
      </c>
      <c r="V28" s="24">
        <v>1</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row>
    <row r="29" spans="1:99" ht="13.5" customHeight="1">
      <c r="A29" s="54"/>
      <c r="B29" s="54"/>
      <c r="C29" s="81" t="s">
        <v>1297</v>
      </c>
      <c r="D29" s="170" t="s">
        <v>1057</v>
      </c>
      <c r="E29" s="170" t="s">
        <v>1027</v>
      </c>
      <c r="G29" s="880"/>
      <c r="H29" s="879">
        <f>MIN(H33-H27,0)</f>
        <v>0</v>
      </c>
      <c r="I29" s="879">
        <f t="shared" ref="I29" si="10">MIN(I33-I27,0)</f>
        <v>-200.52499999999998</v>
      </c>
      <c r="J29" s="879">
        <f t="shared" ref="J29" si="11">MIN(J33-J27,0)</f>
        <v>-1.1280000000000427</v>
      </c>
      <c r="K29" s="879">
        <f t="shared" ref="K29" si="12">MIN(K33-K27,0)</f>
        <v>-4.0469999999999118</v>
      </c>
      <c r="L29" s="883">
        <v>0</v>
      </c>
      <c r="M29" s="883">
        <v>0</v>
      </c>
      <c r="N29" s="883">
        <v>0</v>
      </c>
      <c r="O29" s="883">
        <v>0</v>
      </c>
      <c r="P29" s="883">
        <v>0</v>
      </c>
      <c r="Q29" s="883">
        <v>0</v>
      </c>
      <c r="R29" s="883">
        <v>0</v>
      </c>
      <c r="S29" s="883">
        <v>0</v>
      </c>
      <c r="U29" s="93">
        <v>1</v>
      </c>
      <c r="V29" s="24">
        <v>1</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row>
    <row r="30" spans="1:99" s="23" customFormat="1" ht="13.5" customHeight="1">
      <c r="A30" s="54"/>
      <c r="B30" s="54"/>
      <c r="C30" s="896" t="s">
        <v>1298</v>
      </c>
      <c r="D30" s="32" t="s">
        <v>1057</v>
      </c>
      <c r="E30" s="32" t="s">
        <v>1027</v>
      </c>
      <c r="F30" s="78"/>
      <c r="G30" s="897">
        <v>0</v>
      </c>
      <c r="H30" s="897">
        <v>0</v>
      </c>
      <c r="I30" s="897">
        <v>0</v>
      </c>
      <c r="J30" s="897">
        <v>0</v>
      </c>
      <c r="K30" s="897">
        <v>0</v>
      </c>
      <c r="L30" s="587">
        <f>L154</f>
        <v>0</v>
      </c>
      <c r="M30" s="587">
        <f t="shared" ref="M30:S30" si="13">M154</f>
        <v>0</v>
      </c>
      <c r="N30" s="587">
        <f t="shared" si="13"/>
        <v>0</v>
      </c>
      <c r="O30" s="587">
        <f t="shared" si="13"/>
        <v>0</v>
      </c>
      <c r="P30" s="587">
        <f t="shared" si="13"/>
        <v>0</v>
      </c>
      <c r="Q30" s="587">
        <f t="shared" si="13"/>
        <v>0</v>
      </c>
      <c r="R30" s="587">
        <f t="shared" si="13"/>
        <v>0</v>
      </c>
      <c r="S30" s="587">
        <f t="shared" si="13"/>
        <v>0</v>
      </c>
      <c r="T30" s="41"/>
      <c r="U30" s="93">
        <v>1</v>
      </c>
      <c r="V30" s="24">
        <v>1</v>
      </c>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row>
    <row r="31" spans="1:99" ht="13.5" customHeight="1">
      <c r="A31" s="54"/>
      <c r="B31" s="54"/>
      <c r="C31" s="81" t="s">
        <v>1299</v>
      </c>
      <c r="D31" s="3" t="s">
        <v>1057</v>
      </c>
      <c r="E31" s="3" t="s">
        <v>1027</v>
      </c>
      <c r="G31" s="95"/>
      <c r="H31" s="95">
        <v>0</v>
      </c>
      <c r="I31" s="95">
        <v>0</v>
      </c>
      <c r="J31" s="95">
        <v>0</v>
      </c>
      <c r="K31" s="95">
        <v>0</v>
      </c>
      <c r="L31" s="910">
        <f t="shared" ref="L31" si="14">L130</f>
        <v>548.21004342526646</v>
      </c>
      <c r="M31" s="103">
        <f t="shared" ref="M31:S31" si="15">M130</f>
        <v>71.932464322977467</v>
      </c>
      <c r="N31" s="103">
        <f t="shared" si="15"/>
        <v>32.608623017061973</v>
      </c>
      <c r="O31" s="103">
        <f t="shared" si="15"/>
        <v>39.060139970198861</v>
      </c>
      <c r="P31" s="103">
        <f t="shared" si="15"/>
        <v>48.293284604165819</v>
      </c>
      <c r="Q31" s="103">
        <f t="shared" si="15"/>
        <v>56.970766452697262</v>
      </c>
      <c r="R31" s="103">
        <f t="shared" si="15"/>
        <v>50.366550174032454</v>
      </c>
      <c r="S31" s="103">
        <f t="shared" si="15"/>
        <v>54.084952729149336</v>
      </c>
      <c r="U31" s="93">
        <v>1</v>
      </c>
      <c r="V31" s="24">
        <v>1</v>
      </c>
    </row>
    <row r="32" spans="1:99" ht="13.5" customHeight="1">
      <c r="A32" s="54"/>
      <c r="B32" s="54"/>
      <c r="C32" s="81" t="s">
        <v>1300</v>
      </c>
      <c r="D32" s="170" t="s">
        <v>1057</v>
      </c>
      <c r="E32" s="170" t="s">
        <v>1027</v>
      </c>
      <c r="G32" s="880"/>
      <c r="H32" s="879">
        <v>0</v>
      </c>
      <c r="I32" s="879">
        <v>0</v>
      </c>
      <c r="J32" s="879">
        <v>0</v>
      </c>
      <c r="K32" s="879">
        <v>0</v>
      </c>
      <c r="L32" s="910">
        <f t="shared" ref="L32:S32" si="16">-MIN(L153,-MIN(L92+L118-SUM(L27:L30),0))</f>
        <v>0</v>
      </c>
      <c r="M32" s="910">
        <f t="shared" si="16"/>
        <v>0</v>
      </c>
      <c r="N32" s="910">
        <f t="shared" si="16"/>
        <v>0</v>
      </c>
      <c r="O32" s="910">
        <f t="shared" si="16"/>
        <v>0</v>
      </c>
      <c r="P32" s="910">
        <f t="shared" si="16"/>
        <v>0</v>
      </c>
      <c r="Q32" s="910">
        <f t="shared" si="16"/>
        <v>0</v>
      </c>
      <c r="R32" s="910">
        <f t="shared" si="16"/>
        <v>0</v>
      </c>
      <c r="S32" s="910">
        <f t="shared" si="16"/>
        <v>0</v>
      </c>
      <c r="U32" s="93">
        <v>1</v>
      </c>
      <c r="V32" s="24">
        <v>1</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row>
    <row r="33" spans="1:99" ht="13.5" customHeight="1">
      <c r="A33" s="54"/>
      <c r="B33" s="54"/>
      <c r="C33" s="101" t="s">
        <v>1301</v>
      </c>
      <c r="D33" s="32" t="s">
        <v>1057</v>
      </c>
      <c r="E33" s="32" t="s">
        <v>1027</v>
      </c>
      <c r="F33" s="32"/>
      <c r="G33" s="882">
        <v>0</v>
      </c>
      <c r="H33" s="882">
        <v>820.87599999999998</v>
      </c>
      <c r="I33" s="882">
        <v>620.351</v>
      </c>
      <c r="J33" s="882">
        <v>619.22299999999996</v>
      </c>
      <c r="K33" s="882">
        <v>615.17600000000004</v>
      </c>
      <c r="L33" s="99">
        <f>SUM(L27:L32)</f>
        <v>1163.3860434252665</v>
      </c>
      <c r="M33" s="99">
        <f t="shared" ref="M33:S33" si="17">SUM(M27:M32)</f>
        <v>1235.318507748244</v>
      </c>
      <c r="N33" s="99">
        <f t="shared" si="17"/>
        <v>1267.9271307653059</v>
      </c>
      <c r="O33" s="99">
        <f t="shared" si="17"/>
        <v>1306.9872707355048</v>
      </c>
      <c r="P33" s="99">
        <f t="shared" si="17"/>
        <v>1355.2805553396706</v>
      </c>
      <c r="Q33" s="99">
        <f t="shared" si="17"/>
        <v>1412.2513217923679</v>
      </c>
      <c r="R33" s="99">
        <f t="shared" si="17"/>
        <v>1462.6178719664003</v>
      </c>
      <c r="S33" s="99">
        <f t="shared" si="17"/>
        <v>1516.7028246955497</v>
      </c>
      <c r="U33" s="93">
        <v>1</v>
      </c>
      <c r="V33" s="24">
        <v>1</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row>
    <row r="34" spans="1:99" ht="13.5" customHeight="1">
      <c r="A34" s="54"/>
      <c r="B34" s="54"/>
      <c r="C34" s="81"/>
      <c r="G34" s="95"/>
      <c r="H34" s="871"/>
      <c r="I34" s="871"/>
      <c r="J34" s="871"/>
      <c r="K34" s="871"/>
      <c r="L34" s="157"/>
      <c r="M34"/>
      <c r="N34"/>
      <c r="O34"/>
      <c r="P34"/>
      <c r="Q34"/>
      <c r="R34"/>
      <c r="S34"/>
      <c r="U34" s="93">
        <v>0</v>
      </c>
      <c r="V34" s="24">
        <v>0</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row>
    <row r="35" spans="1:99" ht="13.5" customHeight="1">
      <c r="A35" s="54"/>
      <c r="B35" s="54"/>
      <c r="C35" s="81" t="s">
        <v>1302</v>
      </c>
      <c r="D35" s="3" t="s">
        <v>1058</v>
      </c>
      <c r="E35" s="3" t="s">
        <v>1027</v>
      </c>
      <c r="G35" s="872"/>
      <c r="H35" s="1155">
        <v>0</v>
      </c>
      <c r="I35" s="75">
        <f>-I36/SUM(I27)</f>
        <v>2.9936311939927591E-2</v>
      </c>
      <c r="J35" s="75">
        <f>-J36/SUM(J27)</f>
        <v>3.8789330556410803E-2</v>
      </c>
      <c r="K35" s="75">
        <f>-K36/SUM(K27)</f>
        <v>3.4775840044701183E-2</v>
      </c>
      <c r="L35" s="96">
        <f>AVERAGE(H35:K35)</f>
        <v>2.5875370635259895E-2</v>
      </c>
      <c r="M35" s="96">
        <f t="shared" ref="M35:S35" si="18">AVERAGE(I35:L35)</f>
        <v>3.2344213294074872E-2</v>
      </c>
      <c r="N35" s="96">
        <f t="shared" si="18"/>
        <v>3.2946188632611687E-2</v>
      </c>
      <c r="O35" s="96">
        <f t="shared" si="18"/>
        <v>3.1485403151661914E-2</v>
      </c>
      <c r="P35" s="96">
        <f t="shared" si="18"/>
        <v>3.0662793928402092E-2</v>
      </c>
      <c r="Q35" s="96">
        <f t="shared" si="18"/>
        <v>3.185964975168764E-2</v>
      </c>
      <c r="R35" s="96">
        <f t="shared" si="18"/>
        <v>3.1738508866090837E-2</v>
      </c>
      <c r="S35" s="96">
        <f t="shared" si="18"/>
        <v>3.1436588924460621E-2</v>
      </c>
      <c r="U35" s="93">
        <v>1</v>
      </c>
      <c r="V35" s="24">
        <v>1</v>
      </c>
    </row>
    <row r="36" spans="1:99" ht="15" customHeight="1">
      <c r="A36" s="54"/>
      <c r="B36" s="54"/>
      <c r="C36" s="81" t="s">
        <v>1303</v>
      </c>
      <c r="D36" s="3" t="s">
        <v>1057</v>
      </c>
      <c r="E36" s="3" t="s">
        <v>1027</v>
      </c>
      <c r="G36" s="885"/>
      <c r="H36" s="878">
        <v>0</v>
      </c>
      <c r="I36" s="881">
        <v>-24.574000000000002</v>
      </c>
      <c r="J36" s="881">
        <v>-24.062999999999999</v>
      </c>
      <c r="K36" s="878">
        <v>-21.533999999999999</v>
      </c>
      <c r="L36" s="103">
        <f>-L35*SUM(L27)</f>
        <v>-15.917907005916643</v>
      </c>
      <c r="M36" s="103">
        <f t="shared" ref="M36:S36" si="19">-M35*SUM(M27)</f>
        <v>-37.628806331896669</v>
      </c>
      <c r="N36" s="103">
        <f t="shared" si="19"/>
        <v>-40.699036577630025</v>
      </c>
      <c r="O36" s="103">
        <f t="shared" si="19"/>
        <v>-39.921196879075609</v>
      </c>
      <c r="P36" s="103">
        <f t="shared" si="19"/>
        <v>-40.075881349607457</v>
      </c>
      <c r="Q36" s="103">
        <f t="shared" si="19"/>
        <v>-43.178763808394621</v>
      </c>
      <c r="R36" s="103">
        <f t="shared" si="19"/>
        <v>-44.822751097855573</v>
      </c>
      <c r="S36" s="103">
        <f t="shared" si="19"/>
        <v>-45.979716794577101</v>
      </c>
      <c r="U36" s="93">
        <v>1</v>
      </c>
      <c r="V36" s="24">
        <v>1</v>
      </c>
    </row>
    <row r="37" spans="1:99" s="1167" customFormat="1">
      <c r="A37" s="3"/>
      <c r="B37" s="3"/>
      <c r="C37" s="54" t="s">
        <v>1304</v>
      </c>
      <c r="D37" s="3"/>
      <c r="E37" s="3"/>
      <c r="F37" s="3"/>
      <c r="G37" s="3"/>
      <c r="H37" s="3"/>
      <c r="I37" s="3"/>
      <c r="J37" s="3"/>
      <c r="K37" s="3"/>
      <c r="L37" s="3"/>
      <c r="M37" s="3"/>
      <c r="N37" s="3"/>
      <c r="O37" s="3"/>
      <c r="P37" s="3"/>
      <c r="Q37" s="3"/>
      <c r="R37" s="3"/>
      <c r="S37" s="3"/>
      <c r="T37" s="2"/>
      <c r="U37" s="93">
        <v>1</v>
      </c>
      <c r="V37" s="24">
        <v>1</v>
      </c>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r="38" spans="1:99" ht="13.5" hidden="1" customHeight="1">
      <c r="A38" s="54"/>
      <c r="B38" s="54"/>
      <c r="C38" s="81"/>
      <c r="G38" s="885"/>
      <c r="H38" s="878"/>
      <c r="I38" s="881"/>
      <c r="J38" s="881"/>
      <c r="K38" s="878"/>
      <c r="L38" s="157" t="s">
        <v>1305</v>
      </c>
      <c r="M38" s="157"/>
      <c r="N38" s="157"/>
      <c r="O38" s="157"/>
      <c r="P38" s="157"/>
      <c r="Q38" s="157"/>
      <c r="R38" s="157"/>
      <c r="S38" s="157"/>
      <c r="U38" s="93">
        <v>0</v>
      </c>
      <c r="V38" s="24">
        <v>0</v>
      </c>
    </row>
    <row r="39" spans="1:99" ht="13.5" hidden="1" customHeight="1">
      <c r="A39" s="54"/>
      <c r="B39" s="54"/>
      <c r="C39" s="81"/>
      <c r="G39" s="885"/>
      <c r="H39" s="878"/>
      <c r="I39" s="881"/>
      <c r="J39" s="881"/>
      <c r="K39" s="878"/>
      <c r="L39" s="157" t="s">
        <v>1306</v>
      </c>
      <c r="M39" s="157"/>
      <c r="N39" s="157"/>
      <c r="O39" s="157"/>
      <c r="P39" s="157"/>
      <c r="Q39" s="157"/>
      <c r="R39" s="157"/>
      <c r="S39" s="157"/>
      <c r="U39" s="93">
        <v>0</v>
      </c>
      <c r="V39" s="24">
        <v>0</v>
      </c>
    </row>
    <row r="40" spans="1:99" ht="13.5" hidden="1" customHeight="1">
      <c r="A40" s="54"/>
      <c r="B40" s="54"/>
      <c r="C40" s="81"/>
      <c r="G40" s="885"/>
      <c r="H40" s="878"/>
      <c r="I40" s="881"/>
      <c r="J40" s="881"/>
      <c r="K40" s="878"/>
      <c r="L40" s="157" t="s">
        <v>1307</v>
      </c>
      <c r="M40" s="157"/>
      <c r="N40" s="157"/>
      <c r="O40" s="157"/>
      <c r="P40" s="157"/>
      <c r="Q40" s="157"/>
      <c r="R40" s="157"/>
      <c r="S40" s="157"/>
      <c r="U40" s="93">
        <v>0</v>
      </c>
      <c r="V40" s="24">
        <v>0</v>
      </c>
    </row>
    <row r="41" spans="1:99" ht="13.5" hidden="1" customHeight="1">
      <c r="A41" s="54"/>
      <c r="B41" s="54"/>
      <c r="C41" s="81"/>
      <c r="G41" s="885"/>
      <c r="H41" s="878"/>
      <c r="I41" s="881"/>
      <c r="J41" s="881"/>
      <c r="K41" s="878"/>
      <c r="L41" s="157" t="s">
        <v>1308</v>
      </c>
      <c r="M41" s="157"/>
      <c r="N41" s="157"/>
      <c r="O41" s="157"/>
      <c r="P41" s="157"/>
      <c r="Q41" s="157"/>
      <c r="R41" s="157"/>
      <c r="S41" s="157"/>
      <c r="U41" s="93">
        <v>0</v>
      </c>
      <c r="V41" s="24">
        <v>0</v>
      </c>
    </row>
    <row r="42" spans="1:99" ht="13.5" hidden="1" customHeight="1">
      <c r="A42" s="54"/>
      <c r="B42" s="54"/>
      <c r="C42" s="81"/>
      <c r="G42" s="885"/>
      <c r="H42" s="878"/>
      <c r="I42" s="881"/>
      <c r="J42" s="881"/>
      <c r="K42" s="878"/>
      <c r="L42" s="157" t="s">
        <v>1309</v>
      </c>
      <c r="M42" s="157"/>
      <c r="N42" s="157"/>
      <c r="O42" s="157"/>
      <c r="P42" s="157"/>
      <c r="Q42" s="157"/>
      <c r="R42" s="157"/>
      <c r="S42" s="157"/>
      <c r="U42" s="93">
        <v>0</v>
      </c>
      <c r="V42" s="24">
        <v>0</v>
      </c>
    </row>
    <row r="43" spans="1:99" ht="13.5" hidden="1" customHeight="1">
      <c r="A43" s="54"/>
      <c r="B43" s="54"/>
      <c r="C43" s="81"/>
      <c r="G43" s="885"/>
      <c r="H43" s="878"/>
      <c r="I43" s="881"/>
      <c r="J43" s="881"/>
      <c r="K43" s="878"/>
      <c r="L43" s="157" t="s">
        <v>1310</v>
      </c>
      <c r="M43" s="157"/>
      <c r="N43" s="157"/>
      <c r="O43" s="157"/>
      <c r="P43" s="157"/>
      <c r="Q43" s="157"/>
      <c r="R43" s="157"/>
      <c r="S43" s="157"/>
      <c r="U43" s="93">
        <v>0</v>
      </c>
      <c r="V43" s="24">
        <v>0</v>
      </c>
    </row>
    <row r="44" spans="1:99" ht="13.5" hidden="1" customHeight="1">
      <c r="A44" s="54"/>
      <c r="B44" s="54"/>
      <c r="C44" s="81"/>
      <c r="G44" s="885"/>
      <c r="H44" s="878"/>
      <c r="I44" s="881"/>
      <c r="J44" s="881"/>
      <c r="K44" s="878"/>
      <c r="L44" s="157" t="s">
        <v>1311</v>
      </c>
      <c r="M44" s="157"/>
      <c r="N44" s="157"/>
      <c r="O44" s="157"/>
      <c r="P44" s="157"/>
      <c r="Q44" s="157"/>
      <c r="R44" s="157"/>
      <c r="S44" s="157"/>
      <c r="U44" s="93">
        <v>0</v>
      </c>
      <c r="V44" s="24">
        <v>0</v>
      </c>
    </row>
    <row r="45" spans="1:99" ht="13.5" hidden="1" customHeight="1">
      <c r="A45" s="54"/>
      <c r="B45" s="54"/>
      <c r="C45" s="81"/>
      <c r="G45" s="885"/>
      <c r="H45" s="878"/>
      <c r="I45" s="881"/>
      <c r="J45" s="881"/>
      <c r="K45" s="878"/>
      <c r="L45" s="157" t="s">
        <v>1312</v>
      </c>
      <c r="M45" s="157"/>
      <c r="N45" s="157"/>
      <c r="O45" s="157"/>
      <c r="P45" s="157"/>
      <c r="Q45" s="157"/>
      <c r="R45" s="157"/>
      <c r="S45" s="157"/>
      <c r="U45" s="93">
        <v>0</v>
      </c>
      <c r="V45" s="24">
        <v>0</v>
      </c>
    </row>
    <row r="46" spans="1:99" ht="13.5" hidden="1" customHeight="1">
      <c r="A46" s="54"/>
      <c r="B46" s="54"/>
      <c r="C46" s="81"/>
      <c r="G46" s="885"/>
      <c r="H46" s="878"/>
      <c r="I46" s="881"/>
      <c r="J46" s="881"/>
      <c r="K46" s="878"/>
      <c r="L46" s="157" t="s">
        <v>1313</v>
      </c>
      <c r="M46" s="157"/>
      <c r="N46" s="157"/>
      <c r="O46" s="157"/>
      <c r="P46" s="157"/>
      <c r="Q46" s="157"/>
      <c r="R46" s="157"/>
      <c r="S46" s="157"/>
      <c r="U46" s="93">
        <v>0</v>
      </c>
      <c r="V46" s="24">
        <v>0</v>
      </c>
    </row>
    <row r="47" spans="1:99" ht="13.5" hidden="1" customHeight="1">
      <c r="A47" s="54"/>
      <c r="B47" s="54"/>
      <c r="C47" s="81"/>
      <c r="G47" s="157"/>
      <c r="H47" s="870"/>
      <c r="I47" s="870"/>
      <c r="J47" s="870"/>
      <c r="K47" s="871"/>
      <c r="L47" s="157" t="s">
        <v>1314</v>
      </c>
      <c r="M47" s="157"/>
      <c r="N47" s="157"/>
      <c r="O47" s="157"/>
      <c r="P47" s="157"/>
      <c r="Q47" s="157"/>
      <c r="R47" s="157"/>
      <c r="S47" s="157"/>
      <c r="U47" s="93">
        <v>0</v>
      </c>
      <c r="V47" s="24">
        <v>0</v>
      </c>
    </row>
    <row r="48" spans="1:99" ht="13.5" hidden="1" customHeight="1">
      <c r="A48" s="54"/>
      <c r="B48" s="54"/>
      <c r="C48" s="81"/>
      <c r="G48" s="157"/>
      <c r="H48" s="870"/>
      <c r="I48" s="870"/>
      <c r="J48" s="870"/>
      <c r="K48" s="871"/>
      <c r="L48" s="157"/>
      <c r="M48" s="157"/>
      <c r="N48" s="157"/>
      <c r="O48" s="157"/>
      <c r="P48" s="157"/>
      <c r="Q48" s="157"/>
      <c r="R48" s="157"/>
      <c r="S48" s="157"/>
      <c r="U48" s="93">
        <v>0</v>
      </c>
      <c r="V48" s="24">
        <v>0</v>
      </c>
    </row>
    <row r="49" spans="1:99" ht="13.5" hidden="1" customHeight="1">
      <c r="A49" s="54"/>
      <c r="B49" s="54"/>
      <c r="C49" s="113" t="s">
        <v>1315</v>
      </c>
      <c r="G49" s="157"/>
      <c r="H49" s="870"/>
      <c r="I49" s="870"/>
      <c r="J49" s="870"/>
      <c r="K49" s="871"/>
      <c r="M49" s="157"/>
      <c r="N49" s="157"/>
      <c r="O49" s="157"/>
      <c r="P49" s="157"/>
      <c r="Q49" s="157"/>
      <c r="R49" s="157"/>
      <c r="S49" s="157"/>
      <c r="U49" s="93">
        <v>1</v>
      </c>
      <c r="V49" s="24">
        <v>1</v>
      </c>
    </row>
    <row r="50" spans="1:99" ht="13.5" hidden="1" customHeight="1">
      <c r="A50" s="54"/>
      <c r="B50" s="54"/>
      <c r="C50" s="1100" t="s">
        <v>1316</v>
      </c>
      <c r="D50" s="1091" t="s">
        <v>1057</v>
      </c>
      <c r="E50" s="1091" t="s">
        <v>1027</v>
      </c>
      <c r="F50" s="1091"/>
      <c r="G50" s="1101"/>
      <c r="H50" s="1102">
        <f>G53</f>
        <v>9.7970000000000006</v>
      </c>
      <c r="I50" s="1102">
        <f t="shared" ref="I50:K50" si="20">H53</f>
        <v>5.8310000000000004</v>
      </c>
      <c r="J50" s="1102">
        <f t="shared" si="20"/>
        <v>21.710999999999999</v>
      </c>
      <c r="K50" s="1105">
        <f t="shared" si="20"/>
        <v>13.75</v>
      </c>
      <c r="L50" s="1104">
        <f t="shared" ref="L50:S50" si="21">K53</f>
        <v>13.273</v>
      </c>
      <c r="M50" s="1104">
        <f t="shared" si="21"/>
        <v>13.273</v>
      </c>
      <c r="N50" s="1104">
        <f t="shared" si="21"/>
        <v>13.273</v>
      </c>
      <c r="O50" s="1104">
        <f t="shared" si="21"/>
        <v>13.273</v>
      </c>
      <c r="P50" s="1104">
        <f t="shared" si="21"/>
        <v>13.273</v>
      </c>
      <c r="Q50" s="1104">
        <f t="shared" si="21"/>
        <v>13.273</v>
      </c>
      <c r="R50" s="1104">
        <f t="shared" si="21"/>
        <v>13.273</v>
      </c>
      <c r="S50" s="1104">
        <f t="shared" si="21"/>
        <v>13.273</v>
      </c>
      <c r="U50" s="93">
        <v>1</v>
      </c>
      <c r="V50" s="24">
        <v>1</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row>
    <row r="51" spans="1:99" ht="13.5" hidden="1" customHeight="1">
      <c r="A51" s="54"/>
      <c r="B51" s="54"/>
      <c r="C51" s="81" t="s">
        <v>1317</v>
      </c>
      <c r="G51" s="148"/>
      <c r="H51" s="879">
        <f>MAX(H53-H50,0)</f>
        <v>0</v>
      </c>
      <c r="I51" s="879">
        <f t="shared" ref="I51:K51" si="22">MAX(I53-I50,0)</f>
        <v>15.879999999999999</v>
      </c>
      <c r="J51" s="879">
        <f t="shared" si="22"/>
        <v>0</v>
      </c>
      <c r="K51" s="879">
        <f t="shared" si="22"/>
        <v>0</v>
      </c>
      <c r="L51" s="103">
        <f t="shared" ref="L51:S51" si="23">IF($F$53=0,MAX(L53-L50,0),0)</f>
        <v>0</v>
      </c>
      <c r="M51" s="103">
        <f t="shared" si="23"/>
        <v>0</v>
      </c>
      <c r="N51" s="103">
        <f t="shared" si="23"/>
        <v>0</v>
      </c>
      <c r="O51" s="103">
        <f t="shared" si="23"/>
        <v>0</v>
      </c>
      <c r="P51" s="103">
        <f t="shared" si="23"/>
        <v>0</v>
      </c>
      <c r="Q51" s="103">
        <f t="shared" si="23"/>
        <v>0</v>
      </c>
      <c r="R51" s="103">
        <f t="shared" si="23"/>
        <v>0</v>
      </c>
      <c r="S51" s="103">
        <f t="shared" si="23"/>
        <v>0</v>
      </c>
      <c r="U51" s="93">
        <v>1</v>
      </c>
      <c r="V51" s="24">
        <v>1</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row>
    <row r="52" spans="1:99" ht="13.5" hidden="1" customHeight="1">
      <c r="A52" s="54"/>
      <c r="B52" s="54"/>
      <c r="C52" s="81" t="s">
        <v>1318</v>
      </c>
      <c r="D52" s="170" t="s">
        <v>1057</v>
      </c>
      <c r="E52" s="170" t="s">
        <v>1027</v>
      </c>
      <c r="G52" s="880"/>
      <c r="H52" s="879">
        <f>MIN(H53-H50,0)</f>
        <v>-3.9660000000000002</v>
      </c>
      <c r="I52" s="879">
        <f t="shared" ref="I52:K52" si="24">MIN(I53-I50,0)</f>
        <v>0</v>
      </c>
      <c r="J52" s="879">
        <f t="shared" si="24"/>
        <v>-7.9609999999999985</v>
      </c>
      <c r="K52" s="879">
        <f t="shared" si="24"/>
        <v>-0.47700000000000031</v>
      </c>
      <c r="L52" s="103">
        <f t="shared" ref="L52:S52" si="25">MIN(L53-L50,0)</f>
        <v>0</v>
      </c>
      <c r="M52" s="103">
        <f t="shared" si="25"/>
        <v>0</v>
      </c>
      <c r="N52" s="103">
        <f t="shared" si="25"/>
        <v>0</v>
      </c>
      <c r="O52" s="103">
        <f t="shared" si="25"/>
        <v>0</v>
      </c>
      <c r="P52" s="103">
        <f t="shared" si="25"/>
        <v>0</v>
      </c>
      <c r="Q52" s="103">
        <f t="shared" si="25"/>
        <v>0</v>
      </c>
      <c r="R52" s="103">
        <f t="shared" si="25"/>
        <v>0</v>
      </c>
      <c r="S52" s="103">
        <f t="shared" si="25"/>
        <v>0</v>
      </c>
      <c r="U52" s="93">
        <v>1</v>
      </c>
      <c r="V52" s="24">
        <v>1</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row>
    <row r="53" spans="1:99" ht="13.5" hidden="1" customHeight="1">
      <c r="A53" s="54"/>
      <c r="B53" s="54"/>
      <c r="C53" s="101" t="s">
        <v>1319</v>
      </c>
      <c r="D53" s="32" t="s">
        <v>1057</v>
      </c>
      <c r="E53" s="32" t="s">
        <v>1027</v>
      </c>
      <c r="F53" s="1184">
        <v>0</v>
      </c>
      <c r="G53" s="100">
        <f>'DCF - Financials'!G138</f>
        <v>9.7970000000000006</v>
      </c>
      <c r="H53" s="1185">
        <f>'DCF - Financials'!H138</f>
        <v>5.8310000000000004</v>
      </c>
      <c r="I53" s="1185">
        <f>'DCF - Financials'!I138</f>
        <v>21.710999999999999</v>
      </c>
      <c r="J53" s="1185">
        <f>'DCF - Financials'!J138</f>
        <v>13.75</v>
      </c>
      <c r="K53" s="1185">
        <f>'DCF - Financials'!K138</f>
        <v>13.273</v>
      </c>
      <c r="L53" s="1198">
        <f t="shared" ref="L53:S53" si="26">IF($F$53=0,K53,L56*L55)</f>
        <v>13.273</v>
      </c>
      <c r="M53" s="1198">
        <f t="shared" si="26"/>
        <v>13.273</v>
      </c>
      <c r="N53" s="1198">
        <f t="shared" si="26"/>
        <v>13.273</v>
      </c>
      <c r="O53" s="1198">
        <f t="shared" si="26"/>
        <v>13.273</v>
      </c>
      <c r="P53" s="1198">
        <f t="shared" si="26"/>
        <v>13.273</v>
      </c>
      <c r="Q53" s="1198">
        <f t="shared" si="26"/>
        <v>13.273</v>
      </c>
      <c r="R53" s="1198">
        <f t="shared" si="26"/>
        <v>13.273</v>
      </c>
      <c r="S53" s="1198">
        <f t="shared" si="26"/>
        <v>13.273</v>
      </c>
      <c r="U53" s="93">
        <v>1</v>
      </c>
      <c r="V53" s="24">
        <v>1</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row>
    <row r="54" spans="1:99" ht="13.5" hidden="1" customHeight="1">
      <c r="A54" s="54"/>
      <c r="B54" s="54"/>
      <c r="C54" s="81"/>
      <c r="G54" s="95"/>
      <c r="H54" s="871"/>
      <c r="I54" s="871"/>
      <c r="J54" s="871"/>
      <c r="K54" s="871"/>
      <c r="L54"/>
      <c r="M54"/>
      <c r="N54"/>
      <c r="O54"/>
      <c r="P54"/>
      <c r="Q54"/>
      <c r="R54"/>
      <c r="S54"/>
      <c r="U54" s="93">
        <v>0</v>
      </c>
      <c r="V54" s="24">
        <v>0</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row>
    <row r="55" spans="1:99" ht="13.5" hidden="1" customHeight="1">
      <c r="A55" s="54"/>
      <c r="B55" s="54"/>
      <c r="C55" s="81" t="s">
        <v>1320</v>
      </c>
      <c r="G55" s="157"/>
      <c r="H55" s="870"/>
      <c r="I55" s="870"/>
      <c r="J55" s="870"/>
      <c r="K55" s="871"/>
      <c r="L55" s="95">
        <f>'DCF - Financials'!L122</f>
        <v>20.102582524921324</v>
      </c>
      <c r="M55" s="95">
        <f>'DCF - Financials'!M122</f>
        <v>8.2020668090873876</v>
      </c>
      <c r="N55" s="95">
        <f>'DCF - Financials'!N122</f>
        <v>-1.7873070952006138</v>
      </c>
      <c r="O55" s="95">
        <f>'DCF - Financials'!O122</f>
        <v>-16.111051777441403</v>
      </c>
      <c r="P55" s="95">
        <f>'DCF - Financials'!P122</f>
        <v>-35.563590412426393</v>
      </c>
      <c r="Q55" s="95">
        <f>'DCF - Financials'!Q122</f>
        <v>-59.340183271617086</v>
      </c>
      <c r="R55" s="95">
        <f>'DCF - Financials'!R122</f>
        <v>-87.941999051332033</v>
      </c>
      <c r="S55" s="95">
        <f>'DCF - Financials'!S122</f>
        <v>-125.70848371716897</v>
      </c>
      <c r="U55" s="93">
        <v>1</v>
      </c>
      <c r="V55" s="24">
        <v>1</v>
      </c>
    </row>
    <row r="56" spans="1:99" ht="13.5" hidden="1" customHeight="1">
      <c r="B56" s="20"/>
      <c r="C56" s="81" t="s">
        <v>1321</v>
      </c>
      <c r="D56" s="3" t="s">
        <v>1058</v>
      </c>
      <c r="E56" s="3" t="s">
        <v>1096</v>
      </c>
      <c r="G56" s="104">
        <f>G53/'DCF - Financials'!G122</f>
        <v>0.32307743041815062</v>
      </c>
      <c r="H56" s="104">
        <f>H53/'DCF - Financials'!H122</f>
        <v>0.20428110986547085</v>
      </c>
      <c r="I56" s="104">
        <f>I53/'DCF - Financials'!I122</f>
        <v>0.52905914175012791</v>
      </c>
      <c r="J56" s="104">
        <f>J53/'DCF - Financials'!J122</f>
        <v>0.43122373455434987</v>
      </c>
      <c r="K56" s="104">
        <f>K53/'DCF - Financials'!K122</f>
        <v>0.47595653888908807</v>
      </c>
      <c r="L56" s="96"/>
      <c r="M56" s="96"/>
      <c r="N56" s="96"/>
      <c r="O56" s="96"/>
      <c r="P56" s="96"/>
      <c r="Q56" s="96"/>
      <c r="R56" s="96"/>
      <c r="S56" s="96"/>
      <c r="T56" s="94"/>
      <c r="U56" s="93">
        <v>1</v>
      </c>
      <c r="V56" s="24">
        <v>1</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row>
    <row r="57" spans="1:99" ht="13.5" hidden="1" customHeight="1">
      <c r="B57" s="20"/>
      <c r="C57" s="81"/>
      <c r="G57" s="104"/>
      <c r="H57" s="104"/>
      <c r="I57" s="104"/>
      <c r="J57" s="104"/>
      <c r="K57" s="104"/>
      <c r="L57" s="123"/>
      <c r="M57" s="123"/>
      <c r="N57" s="123"/>
      <c r="O57" s="123"/>
      <c r="P57" s="123"/>
      <c r="Q57" s="123"/>
      <c r="R57" s="123"/>
      <c r="S57" s="123"/>
      <c r="T57" s="94"/>
      <c r="U57" s="93">
        <v>0</v>
      </c>
      <c r="V57" s="24">
        <v>0</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row>
    <row r="58" spans="1:99" ht="13.5" hidden="1" customHeight="1">
      <c r="A58" s="54"/>
      <c r="B58" s="54"/>
      <c r="C58" s="81" t="s">
        <v>1302</v>
      </c>
      <c r="D58" s="3" t="s">
        <v>1058</v>
      </c>
      <c r="E58" s="3" t="s">
        <v>1027</v>
      </c>
      <c r="G58" s="1155">
        <v>0</v>
      </c>
      <c r="H58" s="1155">
        <v>0</v>
      </c>
      <c r="I58" s="1155">
        <v>0</v>
      </c>
      <c r="J58" s="1155">
        <v>0</v>
      </c>
      <c r="K58" s="1155">
        <v>0</v>
      </c>
      <c r="L58" s="96"/>
      <c r="M58" s="96"/>
      <c r="N58" s="96"/>
      <c r="O58" s="96"/>
      <c r="P58" s="96"/>
      <c r="Q58" s="96"/>
      <c r="R58" s="96"/>
      <c r="S58" s="96"/>
      <c r="U58" s="93">
        <v>1</v>
      </c>
      <c r="V58" s="24">
        <v>1</v>
      </c>
    </row>
    <row r="59" spans="1:99" ht="13.5" hidden="1" customHeight="1">
      <c r="A59" s="54"/>
      <c r="B59" s="54"/>
      <c r="C59" s="81" t="s">
        <v>1322</v>
      </c>
      <c r="D59" s="3" t="s">
        <v>1057</v>
      </c>
      <c r="E59" s="3" t="s">
        <v>1027</v>
      </c>
      <c r="G59" s="885"/>
      <c r="H59" s="1086">
        <f>H50*H58</f>
        <v>0</v>
      </c>
      <c r="I59" s="1086">
        <f>I50*I58</f>
        <v>0</v>
      </c>
      <c r="J59" s="1086">
        <f>J50*J58</f>
        <v>0</v>
      </c>
      <c r="K59" s="1086">
        <f>K50*K58</f>
        <v>0</v>
      </c>
      <c r="L59" s="151">
        <f t="shared" ref="L59:S59" si="27">-SUM(L50)*L58</f>
        <v>0</v>
      </c>
      <c r="M59" s="151">
        <f t="shared" si="27"/>
        <v>0</v>
      </c>
      <c r="N59" s="151">
        <f t="shared" si="27"/>
        <v>0</v>
      </c>
      <c r="O59" s="151">
        <f t="shared" si="27"/>
        <v>0</v>
      </c>
      <c r="P59" s="151">
        <f t="shared" si="27"/>
        <v>0</v>
      </c>
      <c r="Q59" s="151">
        <f t="shared" si="27"/>
        <v>0</v>
      </c>
      <c r="R59" s="151">
        <f t="shared" si="27"/>
        <v>0</v>
      </c>
      <c r="S59" s="151">
        <f t="shared" si="27"/>
        <v>0</v>
      </c>
      <c r="U59" s="93">
        <v>1</v>
      </c>
      <c r="V59" s="24">
        <v>1</v>
      </c>
    </row>
    <row r="60" spans="1:99" ht="13.5" hidden="1" customHeight="1">
      <c r="A60"/>
      <c r="B60" s="54"/>
      <c r="C60" s="81"/>
      <c r="G60" s="157"/>
      <c r="H60" s="870"/>
      <c r="I60" s="870"/>
      <c r="J60" s="870"/>
      <c r="K60"/>
      <c r="L60"/>
      <c r="M60"/>
      <c r="N60"/>
      <c r="O60"/>
      <c r="P60"/>
      <c r="Q60"/>
      <c r="R60"/>
      <c r="S60"/>
      <c r="T60"/>
      <c r="U60" s="93">
        <v>0</v>
      </c>
      <c r="V60" s="24">
        <v>0</v>
      </c>
    </row>
    <row r="61" spans="1:99" s="2" customFormat="1" ht="13.5" hidden="1" customHeight="1">
      <c r="A61" s="54"/>
      <c r="B61" s="54"/>
      <c r="C61" s="81" t="s">
        <v>1323</v>
      </c>
      <c r="D61" s="3" t="s">
        <v>1057</v>
      </c>
      <c r="E61" s="3" t="s">
        <v>1027</v>
      </c>
      <c r="G61" s="95"/>
      <c r="H61" s="95">
        <f t="shared" ref="H61:S61" si="28">H36</f>
        <v>0</v>
      </c>
      <c r="I61" s="95">
        <f t="shared" si="28"/>
        <v>-24.574000000000002</v>
      </c>
      <c r="J61" s="95">
        <f t="shared" si="28"/>
        <v>-24.062999999999999</v>
      </c>
      <c r="K61" s="95">
        <f t="shared" si="28"/>
        <v>-21.533999999999999</v>
      </c>
      <c r="L61" s="103">
        <f t="shared" si="28"/>
        <v>-15.917907005916643</v>
      </c>
      <c r="M61" s="103">
        <f t="shared" si="28"/>
        <v>-37.628806331896669</v>
      </c>
      <c r="N61" s="103">
        <f t="shared" si="28"/>
        <v>-40.699036577630025</v>
      </c>
      <c r="O61" s="103">
        <f t="shared" si="28"/>
        <v>-39.921196879075609</v>
      </c>
      <c r="P61" s="103">
        <f t="shared" si="28"/>
        <v>-40.075881349607457</v>
      </c>
      <c r="Q61" s="103">
        <f t="shared" si="28"/>
        <v>-43.178763808394621</v>
      </c>
      <c r="R61" s="103">
        <f t="shared" si="28"/>
        <v>-44.822751097855573</v>
      </c>
      <c r="S61" s="103">
        <f t="shared" si="28"/>
        <v>-45.979716794577101</v>
      </c>
      <c r="U61" s="93">
        <v>1</v>
      </c>
      <c r="V61" s="24">
        <v>1</v>
      </c>
    </row>
    <row r="62" spans="1:99" s="2" customFormat="1" ht="13.5" hidden="1" customHeight="1">
      <c r="A62" s="54"/>
      <c r="B62" s="54"/>
      <c r="C62" s="81" t="s">
        <v>1324</v>
      </c>
      <c r="D62" s="3" t="s">
        <v>1057</v>
      </c>
      <c r="E62" s="3" t="s">
        <v>1027</v>
      </c>
      <c r="G62" s="95"/>
      <c r="H62" s="1088"/>
      <c r="I62" s="1088"/>
      <c r="J62" s="1088"/>
      <c r="K62" s="1088"/>
      <c r="L62" s="103"/>
      <c r="M62" s="103"/>
      <c r="N62" s="103"/>
      <c r="O62" s="103"/>
      <c r="P62" s="103"/>
      <c r="Q62" s="103"/>
      <c r="R62" s="103"/>
      <c r="S62" s="103"/>
      <c r="U62" s="93">
        <v>1</v>
      </c>
      <c r="V62" s="24">
        <v>1</v>
      </c>
    </row>
    <row r="63" spans="1:99" s="2" customFormat="1" ht="13.5" customHeight="1">
      <c r="A63" s="54"/>
      <c r="B63" s="54"/>
      <c r="C63" s="81"/>
      <c r="D63" s="3"/>
      <c r="E63" s="3"/>
      <c r="G63" s="95"/>
      <c r="H63" s="1088"/>
      <c r="I63" s="1088"/>
      <c r="J63" s="1088"/>
      <c r="K63" s="1088"/>
      <c r="L63" s="95"/>
      <c r="M63" s="95"/>
      <c r="N63" s="95"/>
      <c r="O63" s="95"/>
      <c r="P63" s="95"/>
      <c r="Q63" s="95"/>
      <c r="R63" s="95"/>
      <c r="S63" s="95"/>
      <c r="U63" s="93">
        <v>0</v>
      </c>
      <c r="V63" s="24">
        <v>0</v>
      </c>
    </row>
    <row r="64" spans="1:99" ht="13.5" customHeight="1">
      <c r="A64" s="54"/>
      <c r="B64" s="54"/>
      <c r="C64" s="146" t="s">
        <v>1325</v>
      </c>
      <c r="D64" s="32" t="s">
        <v>1057</v>
      </c>
      <c r="E64" s="32" t="s">
        <v>1027</v>
      </c>
      <c r="F64" s="32"/>
      <c r="G64" s="100"/>
      <c r="H64" s="145">
        <f t="shared" ref="H64:S64" si="29">H36</f>
        <v>0</v>
      </c>
      <c r="I64" s="145">
        <f t="shared" si="29"/>
        <v>-24.574000000000002</v>
      </c>
      <c r="J64" s="145">
        <f t="shared" si="29"/>
        <v>-24.062999999999999</v>
      </c>
      <c r="K64" s="145">
        <f t="shared" si="29"/>
        <v>-21.533999999999999</v>
      </c>
      <c r="L64" s="144">
        <f t="shared" si="29"/>
        <v>-15.917907005916643</v>
      </c>
      <c r="M64" s="144">
        <f t="shared" si="29"/>
        <v>-37.628806331896669</v>
      </c>
      <c r="N64" s="144">
        <f t="shared" si="29"/>
        <v>-40.699036577630025</v>
      </c>
      <c r="O64" s="144">
        <f t="shared" si="29"/>
        <v>-39.921196879075609</v>
      </c>
      <c r="P64" s="144">
        <f t="shared" si="29"/>
        <v>-40.075881349607457</v>
      </c>
      <c r="Q64" s="144">
        <f t="shared" si="29"/>
        <v>-43.178763808394621</v>
      </c>
      <c r="R64" s="144">
        <f t="shared" si="29"/>
        <v>-44.822751097855573</v>
      </c>
      <c r="S64" s="144">
        <f t="shared" si="29"/>
        <v>-45.979716794577101</v>
      </c>
      <c r="U64" s="93">
        <v>1</v>
      </c>
      <c r="V64" s="24">
        <v>1</v>
      </c>
    </row>
    <row r="65" spans="1:258" s="2" customFormat="1" ht="13.5" customHeight="1">
      <c r="A65" s="54"/>
      <c r="B65" s="54"/>
      <c r="C65" s="861"/>
      <c r="D65" s="3"/>
      <c r="E65" s="3"/>
      <c r="G65" s="95"/>
      <c r="H65" s="95"/>
      <c r="I65" s="95"/>
      <c r="J65" s="95"/>
      <c r="K65" s="95"/>
      <c r="L65" s="95"/>
      <c r="M65" s="95"/>
      <c r="N65" s="95"/>
      <c r="O65" s="95"/>
      <c r="P65" s="95"/>
      <c r="Q65" s="95"/>
      <c r="R65" s="95"/>
      <c r="S65" s="95"/>
      <c r="U65" s="93">
        <v>0</v>
      </c>
      <c r="V65" s="24">
        <v>0</v>
      </c>
    </row>
    <row r="66" spans="1:258" ht="13.5" customHeight="1">
      <c r="C66" s="81" t="s">
        <v>1326</v>
      </c>
      <c r="L66" s="169"/>
      <c r="M66" s="169"/>
      <c r="N66" s="169"/>
      <c r="O66" s="169"/>
      <c r="P66" s="169"/>
      <c r="Q66" s="169"/>
      <c r="R66" s="169"/>
      <c r="S66" s="169"/>
      <c r="U66" s="93">
        <v>1</v>
      </c>
      <c r="V66" s="24">
        <v>1</v>
      </c>
    </row>
    <row r="67" spans="1:258" ht="13.5" customHeight="1">
      <c r="C67" s="81" t="s">
        <v>1327</v>
      </c>
      <c r="L67" s="169"/>
      <c r="M67" s="169"/>
      <c r="N67" s="169"/>
      <c r="O67" s="169"/>
      <c r="P67" s="169"/>
      <c r="Q67" s="169"/>
      <c r="R67" s="169"/>
      <c r="S67" s="169"/>
      <c r="U67" s="93">
        <v>1</v>
      </c>
      <c r="V67" s="24">
        <v>1</v>
      </c>
    </row>
    <row r="68" spans="1:258" ht="13.5" customHeight="1">
      <c r="C68" s="81"/>
      <c r="L68" s="169"/>
      <c r="M68" s="169"/>
      <c r="N68" s="169"/>
      <c r="O68" s="169"/>
      <c r="P68" s="169"/>
      <c r="Q68" s="169"/>
      <c r="R68" s="169"/>
      <c r="S68" s="169"/>
      <c r="U68" s="93">
        <v>0</v>
      </c>
      <c r="V68" s="24">
        <v>0</v>
      </c>
    </row>
    <row r="69" spans="1:258" s="2" customFormat="1" ht="13.5" customHeight="1">
      <c r="A69" s="3"/>
      <c r="B69" s="3"/>
      <c r="C69" s="1180" t="s">
        <v>1328</v>
      </c>
      <c r="D69" s="1179"/>
      <c r="E69" s="1179"/>
      <c r="F69" s="3"/>
      <c r="G69" s="23"/>
      <c r="H69" s="23"/>
      <c r="I69" s="23"/>
      <c r="J69" s="23"/>
      <c r="K69" s="23"/>
      <c r="L69" s="23"/>
      <c r="M69" s="23"/>
      <c r="N69" s="23"/>
      <c r="O69" s="23"/>
      <c r="P69" s="23"/>
      <c r="Q69" s="23"/>
      <c r="R69" s="23"/>
      <c r="S69" s="23"/>
      <c r="T69" s="23"/>
      <c r="U69" s="93">
        <v>1</v>
      </c>
      <c r="V69" s="24">
        <v>1</v>
      </c>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c r="EK69" s="23"/>
      <c r="EL69" s="23"/>
      <c r="EM69" s="23"/>
      <c r="EN69" s="23"/>
      <c r="EO69" s="23"/>
      <c r="EP69" s="23"/>
      <c r="EQ69" s="23"/>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23"/>
      <c r="FX69" s="23"/>
      <c r="FY69" s="23"/>
      <c r="FZ69" s="23"/>
      <c r="GA69" s="23"/>
      <c r="GB69" s="23"/>
      <c r="GC69" s="23"/>
      <c r="GD69" s="23"/>
      <c r="GE69" s="23"/>
      <c r="GF69" s="23"/>
      <c r="GG69" s="23"/>
      <c r="GH69" s="23"/>
      <c r="GI69" s="23"/>
      <c r="GJ69" s="23"/>
      <c r="GK69" s="23"/>
      <c r="GL69" s="23"/>
      <c r="GM69" s="23"/>
      <c r="GN69" s="23"/>
      <c r="GO69" s="23"/>
      <c r="GP69" s="23"/>
      <c r="GQ69" s="23"/>
      <c r="GR69" s="23"/>
      <c r="GS69" s="23"/>
      <c r="GT69" s="23"/>
      <c r="GU69" s="23"/>
      <c r="GV69" s="23"/>
      <c r="GW69" s="23"/>
      <c r="GX69" s="23"/>
      <c r="GY69" s="23"/>
      <c r="GZ69" s="23"/>
      <c r="HA69" s="23"/>
      <c r="HB69" s="23"/>
      <c r="HC69" s="23"/>
      <c r="HD69" s="23"/>
      <c r="HE69" s="23"/>
      <c r="HF69" s="23"/>
      <c r="HG69" s="23"/>
      <c r="HH69" s="23"/>
      <c r="HI69" s="23"/>
      <c r="HJ69" s="23"/>
      <c r="HK69" s="23"/>
      <c r="HL69" s="23"/>
      <c r="HM69" s="23"/>
      <c r="HN69" s="23"/>
      <c r="HO69" s="23"/>
      <c r="HP69" s="23"/>
      <c r="HQ69" s="23"/>
      <c r="HR69" s="23"/>
      <c r="HS69" s="23"/>
      <c r="HT69" s="23"/>
      <c r="HU69" s="23"/>
      <c r="HV69" s="23"/>
      <c r="HW69" s="23"/>
      <c r="HX69" s="23"/>
      <c r="HY69" s="23"/>
      <c r="HZ69" s="23"/>
      <c r="IA69" s="23"/>
      <c r="IB69" s="23"/>
      <c r="IC69" s="23"/>
      <c r="ID69" s="23"/>
      <c r="IE69" s="23"/>
      <c r="IF69" s="23"/>
      <c r="IG69" s="23"/>
      <c r="IH69" s="23"/>
      <c r="II69" s="23"/>
      <c r="IJ69" s="23"/>
      <c r="IK69" s="23"/>
      <c r="IL69" s="23"/>
      <c r="IM69" s="23"/>
      <c r="IN69" s="23"/>
      <c r="IO69" s="23"/>
      <c r="IP69" s="23"/>
      <c r="IQ69" s="23"/>
      <c r="IR69" s="23"/>
      <c r="IS69" s="23"/>
      <c r="IT69" s="23"/>
      <c r="IU69" s="23"/>
      <c r="IV69" s="23"/>
      <c r="IW69" s="23"/>
      <c r="IX69" s="23"/>
    </row>
    <row r="70" spans="1:258" s="32" customFormat="1" ht="13.5" customHeight="1">
      <c r="A70" s="54"/>
      <c r="B70" s="54"/>
      <c r="C70" s="146" t="s">
        <v>1329</v>
      </c>
      <c r="D70" s="78"/>
      <c r="E70" s="78"/>
      <c r="F70" s="78"/>
      <c r="G70" s="100">
        <f>'DCF - Financials'!G134</f>
        <v>0</v>
      </c>
      <c r="H70" s="100">
        <f>'DCF - Financials'!H134</f>
        <v>5.3380000000000001</v>
      </c>
      <c r="I70" s="100">
        <f>'DCF - Financials'!I134</f>
        <v>5.75</v>
      </c>
      <c r="J70" s="100">
        <f>'DCF - Financials'!J134</f>
        <v>5.75</v>
      </c>
      <c r="K70" s="100">
        <f>'DCF - Financials'!K134</f>
        <v>5.75</v>
      </c>
      <c r="L70" s="99">
        <f>L85</f>
        <v>5.75</v>
      </c>
      <c r="M70" s="99">
        <f t="shared" ref="M70:S70" si="30">M85</f>
        <v>5.75</v>
      </c>
      <c r="N70" s="99">
        <f t="shared" si="30"/>
        <v>5.75</v>
      </c>
      <c r="O70" s="99">
        <f t="shared" si="30"/>
        <v>5.75</v>
      </c>
      <c r="P70" s="99">
        <f t="shared" si="30"/>
        <v>5.75</v>
      </c>
      <c r="Q70" s="99">
        <f t="shared" si="30"/>
        <v>5.75</v>
      </c>
      <c r="R70" s="99">
        <f t="shared" si="30"/>
        <v>5.75</v>
      </c>
      <c r="S70" s="99">
        <f t="shared" si="30"/>
        <v>5.75</v>
      </c>
      <c r="T70" s="2"/>
      <c r="U70" s="93">
        <v>1</v>
      </c>
      <c r="V70" s="24">
        <v>1</v>
      </c>
      <c r="W70" s="2"/>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row>
    <row r="71" spans="1:258" s="1167" customFormat="1" ht="13.5" customHeight="1">
      <c r="A71" s="3"/>
      <c r="B71" s="3"/>
      <c r="C71" s="113"/>
      <c r="D71" s="23"/>
      <c r="E71" s="23"/>
      <c r="F71" s="23"/>
      <c r="G71" s="155"/>
      <c r="H71" s="155"/>
      <c r="I71" s="155"/>
      <c r="J71" s="155"/>
      <c r="K71" s="155"/>
      <c r="L71" s="155"/>
      <c r="M71" s="155"/>
      <c r="N71" s="155"/>
      <c r="O71" s="155"/>
      <c r="P71" s="155"/>
      <c r="Q71" s="155"/>
      <c r="R71" s="155"/>
      <c r="S71" s="155"/>
      <c r="T71" s="2"/>
      <c r="U71" s="93">
        <v>0</v>
      </c>
      <c r="V71" s="24">
        <v>0</v>
      </c>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row>
    <row r="72" spans="1:258" ht="13.5" hidden="1" customHeight="1">
      <c r="A72" s="54"/>
      <c r="B72" s="54"/>
      <c r="C72" s="113" t="s">
        <v>1330</v>
      </c>
      <c r="U72" s="93">
        <v>1</v>
      </c>
      <c r="V72" s="24">
        <v>1</v>
      </c>
    </row>
    <row r="73" spans="1:258" ht="13.5" hidden="1" customHeight="1">
      <c r="A73" s="54"/>
      <c r="B73" s="54"/>
      <c r="C73" s="1100" t="s">
        <v>1331</v>
      </c>
      <c r="D73" s="1091" t="s">
        <v>1057</v>
      </c>
      <c r="E73" s="1091" t="s">
        <v>1027</v>
      </c>
      <c r="F73" s="1091"/>
      <c r="G73" s="1101"/>
      <c r="H73" s="1102">
        <f>G76</f>
        <v>0</v>
      </c>
      <c r="I73" s="1102">
        <f t="shared" ref="I73:S73" si="31">H76</f>
        <v>0</v>
      </c>
      <c r="J73" s="1102">
        <f t="shared" si="31"/>
        <v>0</v>
      </c>
      <c r="K73" s="1102">
        <f t="shared" si="31"/>
        <v>0</v>
      </c>
      <c r="L73" s="1102">
        <f t="shared" si="31"/>
        <v>0</v>
      </c>
      <c r="M73" s="1102">
        <f t="shared" si="31"/>
        <v>0</v>
      </c>
      <c r="N73" s="1102">
        <f t="shared" si="31"/>
        <v>0</v>
      </c>
      <c r="O73" s="1102">
        <f t="shared" si="31"/>
        <v>0</v>
      </c>
      <c r="P73" s="1102">
        <f t="shared" si="31"/>
        <v>0</v>
      </c>
      <c r="Q73" s="1102">
        <f t="shared" si="31"/>
        <v>0</v>
      </c>
      <c r="R73" s="1102">
        <f t="shared" si="31"/>
        <v>0</v>
      </c>
      <c r="S73" s="1102">
        <f t="shared" si="31"/>
        <v>0</v>
      </c>
      <c r="U73" s="93">
        <v>1</v>
      </c>
      <c r="V73" s="24">
        <v>1</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row>
    <row r="74" spans="1:258" ht="13.5" hidden="1" customHeight="1">
      <c r="A74" s="54"/>
      <c r="B74" s="54"/>
      <c r="C74" s="81" t="s">
        <v>1296</v>
      </c>
      <c r="D74" s="3" t="s">
        <v>1057</v>
      </c>
      <c r="E74" s="3" t="s">
        <v>1027</v>
      </c>
      <c r="G74" s="148"/>
      <c r="H74" s="879">
        <f>MAX(H76-H73,0)</f>
        <v>0</v>
      </c>
      <c r="I74" s="879">
        <f t="shared" ref="I74" si="32">MAX(I76-I73,0)</f>
        <v>0</v>
      </c>
      <c r="J74" s="879">
        <f t="shared" ref="J74" si="33">MAX(J76-J73,0)</f>
        <v>0</v>
      </c>
      <c r="K74" s="879">
        <f t="shared" ref="K74" si="34">MAX(K76-K73,0)</f>
        <v>0</v>
      </c>
      <c r="L74" s="95">
        <f t="shared" ref="L74" si="35">MAX(L76-L73,0)</f>
        <v>0</v>
      </c>
      <c r="M74" s="95">
        <f t="shared" ref="M74" si="36">MAX(M76-M73,0)</f>
        <v>0</v>
      </c>
      <c r="N74" s="95">
        <f t="shared" ref="N74" si="37">MAX(N76-N73,0)</f>
        <v>0</v>
      </c>
      <c r="O74" s="95">
        <f t="shared" ref="O74" si="38">MAX(O76-O73,0)</f>
        <v>0</v>
      </c>
      <c r="P74" s="95">
        <f t="shared" ref="P74" si="39">MAX(P76-P73,0)</f>
        <v>0</v>
      </c>
      <c r="Q74" s="95">
        <f t="shared" ref="Q74" si="40">MAX(Q76-Q73,0)</f>
        <v>0</v>
      </c>
      <c r="R74" s="95">
        <f t="shared" ref="R74" si="41">MAX(R76-R73,0)</f>
        <v>0</v>
      </c>
      <c r="S74" s="95">
        <f t="shared" ref="S74" si="42">MAX(S76-S73,0)</f>
        <v>0</v>
      </c>
      <c r="U74" s="93">
        <v>1</v>
      </c>
      <c r="V74" s="24">
        <v>1</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row>
    <row r="75" spans="1:258" ht="13.5" hidden="1" customHeight="1">
      <c r="A75" s="54"/>
      <c r="B75" s="54"/>
      <c r="C75" s="81" t="s">
        <v>1297</v>
      </c>
      <c r="D75" s="170" t="s">
        <v>1057</v>
      </c>
      <c r="E75" s="170" t="s">
        <v>1027</v>
      </c>
      <c r="G75" s="880"/>
      <c r="H75" s="879">
        <f>MIN(H76-H73,0)</f>
        <v>0</v>
      </c>
      <c r="I75" s="879">
        <f t="shared" ref="I75" si="43">MIN(I76-I73,0)</f>
        <v>0</v>
      </c>
      <c r="J75" s="879">
        <f t="shared" ref="J75" si="44">MIN(J76-J73,0)</f>
        <v>0</v>
      </c>
      <c r="K75" s="879">
        <f t="shared" ref="K75" si="45">MIN(K76-K73,0)</f>
        <v>0</v>
      </c>
      <c r="L75" s="95">
        <f t="shared" ref="L75:M75" si="46">MIN(L76-L73,0)</f>
        <v>0</v>
      </c>
      <c r="M75" s="95">
        <f t="shared" si="46"/>
        <v>0</v>
      </c>
      <c r="N75" s="95">
        <f t="shared" ref="N75" si="47">MIN(N76-N73,0)</f>
        <v>0</v>
      </c>
      <c r="O75" s="95">
        <f t="shared" ref="O75" si="48">MIN(O76-O73,0)</f>
        <v>0</v>
      </c>
      <c r="P75" s="95">
        <f t="shared" ref="P75" si="49">MIN(P76-P73,0)</f>
        <v>0</v>
      </c>
      <c r="Q75" s="95">
        <f t="shared" ref="Q75" si="50">MIN(Q76-Q73,0)</f>
        <v>0</v>
      </c>
      <c r="R75" s="95">
        <f t="shared" ref="R75" si="51">MIN(R76-R73,0)</f>
        <v>0</v>
      </c>
      <c r="S75" s="95">
        <f t="shared" ref="S75" si="52">MIN(S76-S73,0)</f>
        <v>0</v>
      </c>
      <c r="U75" s="93">
        <v>1</v>
      </c>
      <c r="V75" s="24">
        <v>1</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row>
    <row r="76" spans="1:258" ht="13.5" hidden="1" customHeight="1">
      <c r="A76" s="54"/>
      <c r="B76" s="54"/>
      <c r="C76" s="101" t="s">
        <v>1332</v>
      </c>
      <c r="D76" s="32" t="s">
        <v>1057</v>
      </c>
      <c r="E76" s="32" t="s">
        <v>1027</v>
      </c>
      <c r="F76" s="32"/>
      <c r="G76" s="100">
        <v>0</v>
      </c>
      <c r="H76" s="100">
        <v>0</v>
      </c>
      <c r="I76" s="100">
        <v>0</v>
      </c>
      <c r="J76" s="100">
        <v>0</v>
      </c>
      <c r="K76" s="100">
        <v>0</v>
      </c>
      <c r="L76" s="882">
        <f t="shared" ref="L76:S76" si="53">L78*L79</f>
        <v>0</v>
      </c>
      <c r="M76" s="882">
        <f t="shared" si="53"/>
        <v>0</v>
      </c>
      <c r="N76" s="882">
        <f t="shared" si="53"/>
        <v>0</v>
      </c>
      <c r="O76" s="882">
        <f t="shared" si="53"/>
        <v>0</v>
      </c>
      <c r="P76" s="882">
        <f t="shared" si="53"/>
        <v>0</v>
      </c>
      <c r="Q76" s="882">
        <f t="shared" si="53"/>
        <v>0</v>
      </c>
      <c r="R76" s="882">
        <f t="shared" si="53"/>
        <v>0</v>
      </c>
      <c r="S76" s="882">
        <f t="shared" si="53"/>
        <v>0</v>
      </c>
      <c r="U76" s="93">
        <v>1</v>
      </c>
      <c r="V76" s="24">
        <v>1</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row>
    <row r="77" spans="1:258" ht="13.5" hidden="1" customHeight="1">
      <c r="A77" s="54"/>
      <c r="B77" s="54"/>
      <c r="C77" s="81"/>
      <c r="G77" s="95"/>
      <c r="H77" s="871"/>
      <c r="I77" s="871"/>
      <c r="J77" s="871"/>
      <c r="K77" s="871"/>
      <c r="L77"/>
      <c r="M77"/>
      <c r="N77"/>
      <c r="O77"/>
      <c r="P77"/>
      <c r="Q77"/>
      <c r="R77"/>
      <c r="S77"/>
      <c r="U77" s="93">
        <v>0</v>
      </c>
      <c r="V77" s="24">
        <v>0</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row>
    <row r="78" spans="1:258" ht="13.5" hidden="1" customHeight="1">
      <c r="B78" s="20"/>
      <c r="C78" s="101" t="s">
        <v>1333</v>
      </c>
      <c r="D78" s="32" t="s">
        <v>1058</v>
      </c>
      <c r="E78" s="32" t="s">
        <v>1096</v>
      </c>
      <c r="F78" s="32"/>
      <c r="G78" s="32"/>
      <c r="H78" s="32"/>
      <c r="I78" s="32"/>
      <c r="J78" s="32"/>
      <c r="K78" s="32"/>
      <c r="L78" s="1186">
        <v>0</v>
      </c>
      <c r="M78" s="1186">
        <v>0</v>
      </c>
      <c r="N78" s="1186">
        <v>0</v>
      </c>
      <c r="O78" s="1186">
        <v>0</v>
      </c>
      <c r="P78" s="1186">
        <v>0</v>
      </c>
      <c r="Q78" s="1186">
        <v>0</v>
      </c>
      <c r="R78" s="1186">
        <v>0</v>
      </c>
      <c r="S78" s="1186">
        <v>0</v>
      </c>
      <c r="T78" s="94"/>
      <c r="U78" s="93">
        <v>1</v>
      </c>
      <c r="V78" s="24">
        <v>1</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row>
    <row r="79" spans="1:258" ht="13.5" hidden="1" customHeight="1">
      <c r="B79" s="20"/>
      <c r="C79" s="81" t="s">
        <v>1334</v>
      </c>
      <c r="D79" s="3" t="s">
        <v>1057</v>
      </c>
      <c r="E79" s="3" t="s">
        <v>1027</v>
      </c>
      <c r="G79" s="95">
        <f>'DCF - Financials'!G100</f>
        <v>57.448999999999998</v>
      </c>
      <c r="H79" s="95">
        <f>'DCF - Financials'!H100</f>
        <v>128.029</v>
      </c>
      <c r="I79" s="95">
        <f>'DCF - Financials'!I100</f>
        <v>369.17500000000001</v>
      </c>
      <c r="J79" s="95">
        <f>'DCF - Financials'!J100</f>
        <v>402.55900000000003</v>
      </c>
      <c r="K79" s="95">
        <f>'DCF - Financials'!K100</f>
        <v>355.642</v>
      </c>
      <c r="L79" s="95">
        <f>'DCF - Financials'!L100</f>
        <v>1008.2421958596346</v>
      </c>
      <c r="M79" s="95">
        <f>'DCF - Financials'!M100</f>
        <v>1174.4489210721854</v>
      </c>
      <c r="N79" s="95">
        <f>'DCF - Financials'!N100</f>
        <v>1278.566225969096</v>
      </c>
      <c r="O79" s="95">
        <f>'DCF - Financials'!O100</f>
        <v>1487.5838062344437</v>
      </c>
      <c r="P79" s="95">
        <f>'DCF - Financials'!P100</f>
        <v>1774.7706115104972</v>
      </c>
      <c r="Q79" s="95">
        <f>'DCF - Financials'!Q100</f>
        <v>2145.1499382896568</v>
      </c>
      <c r="R79" s="95">
        <f>'DCF - Financials'!R100</f>
        <v>2581.2262753039131</v>
      </c>
      <c r="S79" s="95">
        <f>'DCF - Financials'!S100</f>
        <v>3137.8532341973582</v>
      </c>
      <c r="T79" s="94"/>
      <c r="U79" s="93">
        <v>1</v>
      </c>
      <c r="V79" s="24">
        <v>1</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row>
    <row r="80" spans="1:258" ht="13.5" hidden="1" customHeight="1">
      <c r="B80" s="20"/>
      <c r="C80" s="81"/>
      <c r="G80" s="95"/>
      <c r="H80" s="95"/>
      <c r="I80" s="95"/>
      <c r="J80" s="95"/>
      <c r="K80" s="95"/>
      <c r="L80" s="95"/>
      <c r="M80" s="95"/>
      <c r="N80" s="95"/>
      <c r="O80" s="95"/>
      <c r="P80" s="95"/>
      <c r="Q80" s="95"/>
      <c r="R80" s="95"/>
      <c r="S80" s="95"/>
      <c r="T80" s="94"/>
      <c r="U80" s="93">
        <v>0</v>
      </c>
      <c r="V80" s="24">
        <v>0</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row>
    <row r="81" spans="1:259" ht="13.5" customHeight="1">
      <c r="B81" s="20"/>
      <c r="C81" s="113" t="s">
        <v>49</v>
      </c>
      <c r="G81" s="104"/>
      <c r="H81" s="104"/>
      <c r="I81" s="104"/>
      <c r="J81" s="104"/>
      <c r="K81" s="104"/>
      <c r="L81" s="123"/>
      <c r="M81" s="123"/>
      <c r="N81" s="123"/>
      <c r="O81" s="123"/>
      <c r="P81" s="123"/>
      <c r="Q81" s="123"/>
      <c r="R81" s="123"/>
      <c r="S81" s="123"/>
      <c r="T81" s="94"/>
      <c r="U81" s="93">
        <v>1</v>
      </c>
      <c r="V81" s="24">
        <v>1</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row>
    <row r="82" spans="1:259" ht="13.5" customHeight="1">
      <c r="B82" s="20"/>
      <c r="C82" s="81" t="s">
        <v>1335</v>
      </c>
      <c r="G82" s="95">
        <f t="shared" ref="G82:S82" si="54">G15</f>
        <v>0</v>
      </c>
      <c r="H82" s="95">
        <f t="shared" si="54"/>
        <v>820.87599999999998</v>
      </c>
      <c r="I82" s="95">
        <f t="shared" si="54"/>
        <v>620.351</v>
      </c>
      <c r="J82" s="95">
        <f t="shared" si="54"/>
        <v>619.22299999999996</v>
      </c>
      <c r="K82" s="95">
        <f t="shared" si="54"/>
        <v>615.17600000000004</v>
      </c>
      <c r="L82" s="95">
        <f t="shared" si="54"/>
        <v>1163.3860434252665</v>
      </c>
      <c r="M82" s="95">
        <f t="shared" si="54"/>
        <v>1235.318507748244</v>
      </c>
      <c r="N82" s="95">
        <f t="shared" si="54"/>
        <v>1267.9271307653059</v>
      </c>
      <c r="O82" s="95">
        <f t="shared" si="54"/>
        <v>1306.9872707355048</v>
      </c>
      <c r="P82" s="95">
        <f t="shared" si="54"/>
        <v>1355.2805553396706</v>
      </c>
      <c r="Q82" s="95">
        <f t="shared" si="54"/>
        <v>1412.2513217923679</v>
      </c>
      <c r="R82" s="95">
        <f t="shared" si="54"/>
        <v>1462.6178719664003</v>
      </c>
      <c r="S82" s="95">
        <f t="shared" si="54"/>
        <v>1516.7028246955497</v>
      </c>
      <c r="T82" s="94"/>
      <c r="U82" s="93">
        <v>1</v>
      </c>
      <c r="V82" s="24">
        <v>1</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row>
    <row r="83" spans="1:259" ht="13.5" customHeight="1">
      <c r="B83" s="20"/>
      <c r="C83" s="101" t="s">
        <v>1336</v>
      </c>
      <c r="D83" s="32"/>
      <c r="E83" s="32"/>
      <c r="F83" s="32"/>
      <c r="G83" s="1182"/>
      <c r="H83" s="1183">
        <f>IFERROR(H85/'DCF - Financials'!G137,0)</f>
        <v>0</v>
      </c>
      <c r="I83" s="1183">
        <f>IFERROR(I85/'DCF - Financials'!H137,0)</f>
        <v>7.0047120393335899E-3</v>
      </c>
      <c r="J83" s="1183">
        <f>IFERROR(J85/'DCF - Financials'!I137,0)</f>
        <v>9.2261135919105442E-3</v>
      </c>
      <c r="K83" s="1183">
        <f>IFERROR(K85/'DCF - Financials'!J137,0)</f>
        <v>9.2858307911689326E-3</v>
      </c>
      <c r="L83" s="1186">
        <v>0</v>
      </c>
      <c r="M83" s="1186">
        <v>0</v>
      </c>
      <c r="N83" s="1186">
        <v>0</v>
      </c>
      <c r="O83" s="1186">
        <v>0</v>
      </c>
      <c r="P83" s="1186">
        <v>0</v>
      </c>
      <c r="Q83" s="1186">
        <v>0</v>
      </c>
      <c r="R83" s="1186">
        <v>0</v>
      </c>
      <c r="S83" s="1186">
        <v>0</v>
      </c>
      <c r="T83" s="94"/>
      <c r="U83" s="93">
        <v>1</v>
      </c>
      <c r="V83" s="24">
        <v>1</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row>
    <row r="84" spans="1:259" ht="13.5" customHeight="1">
      <c r="B84" s="20"/>
      <c r="C84" s="81" t="s">
        <v>1337</v>
      </c>
      <c r="F84" s="292">
        <v>0</v>
      </c>
      <c r="G84" s="104"/>
      <c r="H84" s="95">
        <v>0</v>
      </c>
      <c r="I84" s="95">
        <v>0</v>
      </c>
      <c r="J84" s="95">
        <v>0</v>
      </c>
      <c r="K84" s="95">
        <v>0</v>
      </c>
      <c r="L84" s="1199">
        <v>0</v>
      </c>
      <c r="M84" s="1199">
        <v>0</v>
      </c>
      <c r="N84" s="1199">
        <v>0</v>
      </c>
      <c r="O84" s="1199">
        <v>0</v>
      </c>
      <c r="P84" s="1199">
        <v>0</v>
      </c>
      <c r="Q84" s="1199">
        <v>0</v>
      </c>
      <c r="R84" s="1199">
        <v>0</v>
      </c>
      <c r="S84" s="1199">
        <v>0</v>
      </c>
      <c r="T84" s="94"/>
      <c r="U84" s="93">
        <v>1</v>
      </c>
      <c r="V84" s="24">
        <v>1</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row>
    <row r="85" spans="1:259" s="32" customFormat="1" ht="13.5" customHeight="1">
      <c r="A85" s="54"/>
      <c r="B85" s="54"/>
      <c r="C85" s="101" t="s">
        <v>49</v>
      </c>
      <c r="F85" s="3"/>
      <c r="G85" s="100">
        <f>G70-G76</f>
        <v>0</v>
      </c>
      <c r="H85" s="100">
        <f>H70-H76</f>
        <v>5.3380000000000001</v>
      </c>
      <c r="I85" s="100">
        <f>I70-I76</f>
        <v>5.75</v>
      </c>
      <c r="J85" s="100">
        <f>J70-J76</f>
        <v>5.75</v>
      </c>
      <c r="K85" s="100">
        <f>K70-K76</f>
        <v>5.75</v>
      </c>
      <c r="L85" s="882">
        <f t="shared" ref="L85:S85" si="55">IF($F$84=0,K85,L83*K82+L84)</f>
        <v>5.75</v>
      </c>
      <c r="M85" s="882">
        <f>IF($F$84=0,L85,M83*L82+M84)</f>
        <v>5.75</v>
      </c>
      <c r="N85" s="882">
        <f t="shared" si="55"/>
        <v>5.75</v>
      </c>
      <c r="O85" s="882">
        <f t="shared" si="55"/>
        <v>5.75</v>
      </c>
      <c r="P85" s="882">
        <f t="shared" si="55"/>
        <v>5.75</v>
      </c>
      <c r="Q85" s="882">
        <f t="shared" si="55"/>
        <v>5.75</v>
      </c>
      <c r="R85" s="882">
        <f t="shared" si="55"/>
        <v>5.75</v>
      </c>
      <c r="S85" s="882">
        <f t="shared" si="55"/>
        <v>5.75</v>
      </c>
      <c r="T85" s="2"/>
      <c r="U85" s="93">
        <v>1</v>
      </c>
      <c r="V85" s="24">
        <v>1</v>
      </c>
      <c r="W85" s="2"/>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row>
    <row r="86" spans="1:259" ht="13.5" customHeight="1">
      <c r="A86" s="54"/>
      <c r="B86" s="54"/>
      <c r="C86" s="113"/>
      <c r="D86" s="23"/>
      <c r="E86" s="23"/>
      <c r="F86" s="23"/>
      <c r="G86" s="155"/>
      <c r="H86" s="155"/>
      <c r="I86" s="155"/>
      <c r="J86" s="155"/>
      <c r="K86" s="155"/>
      <c r="L86" s="155"/>
      <c r="M86" s="155"/>
      <c r="N86" s="155"/>
      <c r="O86" s="155"/>
      <c r="P86" s="155"/>
      <c r="Q86" s="155"/>
      <c r="R86" s="155"/>
      <c r="S86" s="155"/>
      <c r="U86" s="93">
        <v>0</v>
      </c>
      <c r="V86" s="24">
        <v>0</v>
      </c>
    </row>
    <row r="87" spans="1:259">
      <c r="C87" s="1147" t="s">
        <v>1338</v>
      </c>
      <c r="D87" s="1148"/>
      <c r="E87" s="1148"/>
      <c r="F87" s="1148"/>
      <c r="G87" s="1148"/>
      <c r="H87" s="1148"/>
      <c r="I87" s="1148"/>
      <c r="J87" s="1148"/>
      <c r="K87" s="1148"/>
      <c r="L87" s="1148"/>
      <c r="M87" s="1148"/>
      <c r="N87" s="1148"/>
      <c r="O87" s="1148"/>
      <c r="P87" s="1148"/>
      <c r="Q87" s="1148"/>
      <c r="R87" s="1148"/>
      <c r="S87" s="1148"/>
      <c r="U87" s="93">
        <v>1</v>
      </c>
      <c r="V87" s="24">
        <v>1</v>
      </c>
    </row>
    <row r="88" spans="1:259" s="2" customFormat="1" ht="13.5" customHeight="1">
      <c r="A88" s="3"/>
      <c r="B88" s="3"/>
      <c r="C88" s="3"/>
      <c r="D88" s="3"/>
      <c r="E88" s="3"/>
      <c r="F88" s="3"/>
      <c r="G88" s="3"/>
      <c r="H88" s="3"/>
      <c r="I88" s="3"/>
      <c r="J88" s="3"/>
      <c r="K88" s="3"/>
      <c r="L88" s="1089" t="str">
        <f>L6</f>
        <v>Projected Fiscal Years Ending June 31</v>
      </c>
      <c r="M88" s="956"/>
      <c r="N88" s="956"/>
      <c r="O88" s="956"/>
      <c r="P88" s="956"/>
      <c r="Q88" s="956"/>
      <c r="R88" s="956"/>
      <c r="S88" s="956"/>
      <c r="U88" s="93">
        <v>0</v>
      </c>
      <c r="V88" s="24">
        <v>0</v>
      </c>
    </row>
    <row r="89" spans="1:259" s="2" customFormat="1" ht="13.5" customHeight="1">
      <c r="A89" s="3"/>
      <c r="B89" s="3"/>
      <c r="C89" s="142"/>
      <c r="D89" s="85" t="str">
        <f>+D$7</f>
        <v>Unit</v>
      </c>
      <c r="E89" s="85" t="str">
        <f>+E$7</f>
        <v>Type</v>
      </c>
      <c r="F89" s="57"/>
      <c r="G89" s="85">
        <f t="shared" ref="G89:S89" si="56">+G$7</f>
        <v>2019</v>
      </c>
      <c r="H89" s="85">
        <f t="shared" si="56"/>
        <v>2020</v>
      </c>
      <c r="I89" s="85">
        <f t="shared" si="56"/>
        <v>2021</v>
      </c>
      <c r="J89" s="85">
        <f t="shared" si="56"/>
        <v>2022</v>
      </c>
      <c r="K89" s="85">
        <f t="shared" si="56"/>
        <v>2023</v>
      </c>
      <c r="L89" s="85">
        <f t="shared" si="56"/>
        <v>2024</v>
      </c>
      <c r="M89" s="85">
        <f t="shared" si="56"/>
        <v>2025</v>
      </c>
      <c r="N89" s="85">
        <f t="shared" si="56"/>
        <v>2026</v>
      </c>
      <c r="O89" s="85">
        <f t="shared" si="56"/>
        <v>2027</v>
      </c>
      <c r="P89" s="85">
        <f t="shared" si="56"/>
        <v>2028</v>
      </c>
      <c r="Q89" s="85">
        <f t="shared" si="56"/>
        <v>2029</v>
      </c>
      <c r="R89" s="85">
        <f t="shared" si="56"/>
        <v>2030</v>
      </c>
      <c r="S89" s="85">
        <f t="shared" si="56"/>
        <v>2031</v>
      </c>
      <c r="T89" s="23"/>
      <c r="U89" s="93">
        <v>0</v>
      </c>
      <c r="V89" s="24">
        <v>0</v>
      </c>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23"/>
      <c r="EI89" s="23"/>
      <c r="EJ89" s="23"/>
      <c r="EK89" s="23"/>
      <c r="EL89" s="23"/>
      <c r="EM89" s="23"/>
      <c r="EN89" s="23"/>
      <c r="EO89" s="23"/>
      <c r="EP89" s="23"/>
      <c r="EQ89" s="23"/>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c r="FW89" s="23"/>
      <c r="FX89" s="23"/>
      <c r="FY89" s="23"/>
      <c r="FZ89" s="23"/>
      <c r="GA89" s="23"/>
      <c r="GB89" s="23"/>
      <c r="GC89" s="23"/>
      <c r="GD89" s="23"/>
      <c r="GE89" s="23"/>
      <c r="GF89" s="23"/>
      <c r="GG89" s="23"/>
      <c r="GH89" s="23"/>
      <c r="GI89" s="23"/>
      <c r="GJ89" s="23"/>
      <c r="GK89" s="23"/>
      <c r="GL89" s="23"/>
      <c r="GM89" s="23"/>
      <c r="GN89" s="23"/>
      <c r="GO89" s="23"/>
      <c r="GP89" s="23"/>
      <c r="GQ89" s="23"/>
      <c r="GR89" s="23"/>
      <c r="GS89" s="23"/>
      <c r="GT89" s="23"/>
      <c r="GU89" s="23"/>
      <c r="GV89" s="23"/>
      <c r="GW89" s="23"/>
      <c r="GX89" s="23"/>
      <c r="GY89" s="23"/>
      <c r="GZ89" s="23"/>
      <c r="HA89" s="23"/>
      <c r="HB89" s="23"/>
      <c r="HC89" s="23"/>
      <c r="HD89" s="23"/>
      <c r="HE89" s="23"/>
      <c r="HF89" s="23"/>
      <c r="HG89" s="23"/>
      <c r="HH89" s="23"/>
      <c r="HI89" s="23"/>
      <c r="HJ89" s="23"/>
      <c r="HK89" s="23"/>
      <c r="HL89" s="23"/>
      <c r="HM89" s="23"/>
      <c r="HN89" s="23"/>
      <c r="HO89" s="23"/>
      <c r="HP89" s="23"/>
      <c r="HQ89" s="23"/>
      <c r="HR89" s="23"/>
      <c r="HS89" s="23"/>
      <c r="HT89" s="23"/>
      <c r="HU89" s="23"/>
      <c r="HV89" s="23"/>
      <c r="HW89" s="23"/>
      <c r="HX89" s="23"/>
      <c r="HY89" s="23"/>
      <c r="HZ89" s="23"/>
      <c r="IA89" s="23"/>
      <c r="IB89" s="23"/>
      <c r="IC89" s="23"/>
      <c r="ID89" s="23"/>
      <c r="IE89" s="23"/>
      <c r="IF89" s="23"/>
      <c r="IG89" s="23"/>
      <c r="IH89" s="23"/>
      <c r="II89" s="23"/>
      <c r="IJ89" s="23"/>
      <c r="IK89" s="23"/>
      <c r="IL89" s="23"/>
      <c r="IM89" s="23"/>
      <c r="IN89" s="23"/>
      <c r="IO89" s="23"/>
      <c r="IP89" s="23"/>
      <c r="IQ89" s="23"/>
      <c r="IR89" s="23"/>
      <c r="IS89" s="23"/>
      <c r="IT89" s="23"/>
      <c r="IU89" s="23"/>
      <c r="IV89" s="23"/>
      <c r="IW89" s="23"/>
      <c r="IX89" s="23"/>
    </row>
    <row r="90" spans="1:259" ht="13.5" customHeight="1">
      <c r="A90" s="54"/>
      <c r="B90" s="54"/>
      <c r="C90" s="113" t="s">
        <v>1339</v>
      </c>
      <c r="K90" s="148"/>
      <c r="L90" s="876"/>
      <c r="M90" s="95"/>
      <c r="N90" s="95"/>
      <c r="O90" s="95"/>
      <c r="P90" s="95"/>
      <c r="Q90" s="95"/>
      <c r="R90" s="95"/>
      <c r="S90" s="95"/>
      <c r="U90" s="93">
        <v>1</v>
      </c>
      <c r="V90" s="24">
        <v>1</v>
      </c>
    </row>
    <row r="91" spans="1:259" s="2" customFormat="1" ht="13.5" customHeight="1">
      <c r="A91" s="54"/>
      <c r="B91" s="54"/>
      <c r="C91" s="81" t="s">
        <v>1340</v>
      </c>
      <c r="D91" s="3" t="s">
        <v>1044</v>
      </c>
      <c r="E91" s="3" t="s">
        <v>1290</v>
      </c>
      <c r="F91" s="3"/>
      <c r="G91" s="158"/>
      <c r="H91" s="957">
        <f t="shared" ref="H91:I91" si="57">H110/H112</f>
        <v>33.367703717973349</v>
      </c>
      <c r="I91" s="957">
        <f t="shared" si="57"/>
        <v>3.6825005864414706</v>
      </c>
      <c r="J91" s="957">
        <f>J110/J112</f>
        <v>3.4120852296886532</v>
      </c>
      <c r="K91" s="957">
        <f>K110/K112</f>
        <v>1.1378877957243834</v>
      </c>
      <c r="L91" s="651">
        <f>MEDIAN(H91:K91)</f>
        <v>3.5472929080650619</v>
      </c>
      <c r="M91" s="652">
        <f>MEDIAN(I91:L91)</f>
        <v>3.4796890688768576</v>
      </c>
      <c r="N91" s="652">
        <f t="shared" ref="N91:S91" si="58">MEDIAN(J91:M91)</f>
        <v>3.4458871492827554</v>
      </c>
      <c r="O91" s="652">
        <f t="shared" si="58"/>
        <v>3.4627881090798063</v>
      </c>
      <c r="P91" s="652">
        <f t="shared" si="58"/>
        <v>3.4712385889783319</v>
      </c>
      <c r="Q91" s="652">
        <f t="shared" si="58"/>
        <v>3.4670133490290693</v>
      </c>
      <c r="R91" s="652">
        <f t="shared" si="58"/>
        <v>3.4649007290544378</v>
      </c>
      <c r="S91" s="652">
        <f t="shared" si="58"/>
        <v>3.4659570390417533</v>
      </c>
      <c r="U91" s="93">
        <v>1</v>
      </c>
      <c r="V91" s="24">
        <v>1</v>
      </c>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row>
    <row r="92" spans="1:259" ht="13.5" customHeight="1">
      <c r="A92" s="54"/>
      <c r="B92" s="54"/>
      <c r="C92" s="81" t="s">
        <v>1341</v>
      </c>
      <c r="D92" s="3" t="s">
        <v>1057</v>
      </c>
      <c r="E92" s="3" t="s">
        <v>1342</v>
      </c>
      <c r="F92" s="23"/>
      <c r="G92" s="102"/>
      <c r="H92" s="134">
        <f>'DCF - Financials'!H116</f>
        <v>128.029</v>
      </c>
      <c r="I92" s="134">
        <f>'DCF - Financials'!I116</f>
        <v>369.17500000000001</v>
      </c>
      <c r="J92" s="134">
        <f>'DCF - Financials'!J116</f>
        <v>402.55900000000003</v>
      </c>
      <c r="K92" s="134">
        <f>'DCF - Financials'!K116</f>
        <v>355.642</v>
      </c>
      <c r="L92" s="653">
        <f>AVERAGE(H92:K92)</f>
        <v>313.85124999999999</v>
      </c>
      <c r="M92" s="1200">
        <f>AVERAGE(I92:L92)</f>
        <v>360.30681249999998</v>
      </c>
      <c r="N92" s="1200">
        <f t="shared" ref="N92:S92" si="59">AVERAGE(J92:M92)</f>
        <v>358.08976562499998</v>
      </c>
      <c r="O92" s="1200">
        <f t="shared" si="59"/>
        <v>346.97245703124997</v>
      </c>
      <c r="P92" s="1200">
        <f t="shared" si="59"/>
        <v>344.80507128906243</v>
      </c>
      <c r="Q92" s="1200">
        <f t="shared" si="59"/>
        <v>352.5435266113281</v>
      </c>
      <c r="R92" s="1200">
        <f t="shared" si="59"/>
        <v>350.60270513916015</v>
      </c>
      <c r="S92" s="1200">
        <f t="shared" si="59"/>
        <v>348.73094001770016</v>
      </c>
      <c r="U92" s="93">
        <v>1</v>
      </c>
      <c r="V92" s="24">
        <v>1</v>
      </c>
    </row>
    <row r="93" spans="1:259" ht="13.5" customHeight="1">
      <c r="A93" s="54"/>
      <c r="B93" s="54"/>
      <c r="C93" s="81" t="s">
        <v>1343</v>
      </c>
      <c r="D93" s="3" t="s">
        <v>1058</v>
      </c>
      <c r="E93" s="3" t="s">
        <v>1020</v>
      </c>
      <c r="H93" s="603">
        <v>0</v>
      </c>
      <c r="I93" s="603">
        <v>0</v>
      </c>
      <c r="J93" s="603">
        <v>0</v>
      </c>
      <c r="K93" s="603">
        <v>0</v>
      </c>
      <c r="L93" s="1106">
        <f>AVERAGE(H93:K93)</f>
        <v>0</v>
      </c>
      <c r="M93" s="1107">
        <f>AVERAGE(I93:L93)</f>
        <v>0</v>
      </c>
      <c r="N93" s="1107">
        <f t="shared" ref="N93:R93" si="60">AVERAGE(J93:M93)</f>
        <v>0</v>
      </c>
      <c r="O93" s="1107">
        <f t="shared" si="60"/>
        <v>0</v>
      </c>
      <c r="P93" s="1107">
        <f t="shared" si="60"/>
        <v>0</v>
      </c>
      <c r="Q93" s="1107">
        <f t="shared" si="60"/>
        <v>0</v>
      </c>
      <c r="R93" s="1107">
        <f t="shared" si="60"/>
        <v>0</v>
      </c>
      <c r="S93" s="1107">
        <f>AVERAGE(O93:R93)</f>
        <v>0</v>
      </c>
      <c r="U93" s="93">
        <v>1</v>
      </c>
      <c r="V93" s="24">
        <v>1</v>
      </c>
    </row>
    <row r="94" spans="1:259" s="2" customFormat="1" ht="13.5" customHeight="1">
      <c r="A94" s="54"/>
      <c r="B94" s="54"/>
      <c r="C94" s="81" t="s">
        <v>1344</v>
      </c>
      <c r="D94" s="3" t="s">
        <v>1057</v>
      </c>
      <c r="E94" s="3" t="s">
        <v>1027</v>
      </c>
      <c r="F94" s="3"/>
      <c r="G94" s="158"/>
      <c r="H94" s="957">
        <f t="shared" ref="H94:K94" si="61">IFERROR(IF(OR(H112&lt;0,H110&lt;0),0,H110/H112),0)</f>
        <v>33.367703717973349</v>
      </c>
      <c r="I94" s="957">
        <f t="shared" si="61"/>
        <v>3.6825005864414706</v>
      </c>
      <c r="J94" s="957">
        <f t="shared" si="61"/>
        <v>3.4120852296886532</v>
      </c>
      <c r="K94" s="957">
        <f t="shared" si="61"/>
        <v>1.1378877957243834</v>
      </c>
      <c r="L94" s="940">
        <f>IFERROR(IF(OR(L112&lt;0,L110&lt;0),0,L110/L112),0)</f>
        <v>0.64781416189036434</v>
      </c>
      <c r="M94" s="941">
        <f t="shared" ref="M94:S94" si="62">IFERROR(IF(OR(M112&lt;0,M110&lt;0),0,M110/M112),0)</f>
        <v>0.24206217646455919</v>
      </c>
      <c r="N94" s="941">
        <f t="shared" si="62"/>
        <v>0</v>
      </c>
      <c r="O94" s="941">
        <f t="shared" si="62"/>
        <v>0</v>
      </c>
      <c r="P94" s="941">
        <f t="shared" si="62"/>
        <v>0</v>
      </c>
      <c r="Q94" s="941">
        <f t="shared" si="62"/>
        <v>0</v>
      </c>
      <c r="R94" s="941">
        <f t="shared" si="62"/>
        <v>0</v>
      </c>
      <c r="S94" s="942">
        <f t="shared" si="62"/>
        <v>0</v>
      </c>
      <c r="U94" s="93">
        <v>1</v>
      </c>
      <c r="V94" s="24">
        <v>1</v>
      </c>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row>
    <row r="95" spans="1:259" s="2" customFormat="1" ht="13.5" customHeight="1">
      <c r="A95" s="54"/>
      <c r="B95" s="54"/>
      <c r="C95" s="81" t="s">
        <v>1345</v>
      </c>
      <c r="D95" s="3" t="s">
        <v>1057</v>
      </c>
      <c r="E95" s="3" t="s">
        <v>1027</v>
      </c>
      <c r="F95" s="3"/>
      <c r="G95" s="137"/>
      <c r="H95" s="598">
        <f>IFERROR(H112/-H113,0)</f>
        <v>0</v>
      </c>
      <c r="I95" s="598">
        <f t="shared" ref="I95:S95" si="63">IFERROR(I112/-I113,0)</f>
        <v>2.7756165052494519</v>
      </c>
      <c r="J95" s="598">
        <f t="shared" si="63"/>
        <v>2.6388646469683765</v>
      </c>
      <c r="K95" s="602">
        <f t="shared" si="63"/>
        <v>10.591808303148502</v>
      </c>
      <c r="L95" s="1108">
        <f t="shared" si="63"/>
        <v>10.407789896578626</v>
      </c>
      <c r="M95" s="1109">
        <f t="shared" si="63"/>
        <v>6.4823139839513386</v>
      </c>
      <c r="N95" s="1109">
        <f t="shared" si="63"/>
        <v>6.4030083008315843</v>
      </c>
      <c r="O95" s="1109">
        <f t="shared" si="63"/>
        <v>6.8392732879968756</v>
      </c>
      <c r="P95" s="1109">
        <f t="shared" si="63"/>
        <v>7.1319426756452806</v>
      </c>
      <c r="Q95" s="1109">
        <f t="shared" si="63"/>
        <v>6.9330922981681837</v>
      </c>
      <c r="R95" s="1109">
        <f t="shared" si="63"/>
        <v>7.0346954726599016</v>
      </c>
      <c r="S95" s="1110">
        <f t="shared" si="63"/>
        <v>7.1959235262571362</v>
      </c>
      <c r="U95" s="93">
        <v>1</v>
      </c>
      <c r="V95" s="24">
        <v>1</v>
      </c>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row>
    <row r="96" spans="1:259" s="2" customFormat="1" ht="13.5" customHeight="1">
      <c r="A96" s="54"/>
      <c r="B96" s="54"/>
      <c r="C96" s="81"/>
      <c r="D96" s="3"/>
      <c r="E96" s="3"/>
      <c r="F96" s="3"/>
      <c r="G96" s="137"/>
      <c r="H96" s="598"/>
      <c r="I96" s="598"/>
      <c r="J96" s="598"/>
      <c r="K96" s="892"/>
      <c r="L96" s="892"/>
      <c r="M96" s="892"/>
      <c r="N96" s="892"/>
      <c r="O96" s="892"/>
      <c r="P96" s="892"/>
      <c r="Q96" s="892"/>
      <c r="R96" s="892"/>
      <c r="S96" s="892"/>
      <c r="U96" s="93">
        <v>0</v>
      </c>
      <c r="V96" s="24">
        <v>0</v>
      </c>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row>
    <row r="97" spans="1:259" s="2" customFormat="1" ht="13.5" customHeight="1">
      <c r="A97" s="54"/>
      <c r="B97" s="54"/>
      <c r="C97" s="81" t="s">
        <v>1346</v>
      </c>
      <c r="D97" s="23"/>
      <c r="E97" s="23"/>
      <c r="F97" s="23"/>
      <c r="G97" s="161"/>
      <c r="H97" s="161"/>
      <c r="I97" s="161"/>
      <c r="J97" s="160"/>
      <c r="K97" s="160"/>
      <c r="L97" s="159"/>
      <c r="M97" s="155"/>
      <c r="N97" s="155"/>
      <c r="O97" s="155"/>
      <c r="P97" s="155"/>
      <c r="Q97" s="155"/>
      <c r="R97" s="155"/>
      <c r="S97" s="155"/>
      <c r="U97" s="93">
        <v>1</v>
      </c>
      <c r="V97" s="24">
        <v>1</v>
      </c>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row>
    <row r="98" spans="1:259" s="2" customFormat="1" ht="13.5" customHeight="1">
      <c r="A98" s="54"/>
      <c r="B98" s="54"/>
      <c r="C98" s="81" t="s">
        <v>1347</v>
      </c>
      <c r="D98" s="3"/>
      <c r="E98" s="3"/>
      <c r="F98" s="3"/>
      <c r="G98" s="158"/>
      <c r="H98" s="158"/>
      <c r="I98" s="158"/>
      <c r="J98" s="158"/>
      <c r="K98" s="158"/>
      <c r="L98" s="158"/>
      <c r="M98" s="158"/>
      <c r="N98" s="158"/>
      <c r="O98" s="158"/>
      <c r="P98" s="158"/>
      <c r="Q98" s="158"/>
      <c r="R98" s="158"/>
      <c r="S98" s="158"/>
      <c r="U98" s="93">
        <v>1</v>
      </c>
      <c r="V98" s="24">
        <v>1</v>
      </c>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row>
    <row r="99" spans="1:259" s="2" customFormat="1" ht="13.5" customHeight="1">
      <c r="A99" s="54"/>
      <c r="B99" s="54"/>
      <c r="C99" s="81" t="s">
        <v>1348</v>
      </c>
      <c r="D99" s="3"/>
      <c r="E99" s="3"/>
      <c r="F99" s="3"/>
      <c r="G99" s="158"/>
      <c r="H99" s="158"/>
      <c r="I99" s="158"/>
      <c r="J99" s="158"/>
      <c r="K99" s="158"/>
      <c r="L99" s="158"/>
      <c r="M99" s="158"/>
      <c r="N99" s="158"/>
      <c r="O99" s="158"/>
      <c r="P99" s="158"/>
      <c r="Q99" s="158"/>
      <c r="R99" s="158"/>
      <c r="S99" s="158"/>
      <c r="U99" s="93">
        <v>1</v>
      </c>
      <c r="V99" s="24">
        <v>1</v>
      </c>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row>
    <row r="100" spans="1:259" s="2" customFormat="1" ht="13.5" customHeight="1">
      <c r="A100" s="54"/>
      <c r="B100" s="54"/>
      <c r="C100" s="81" t="s">
        <v>1349</v>
      </c>
      <c r="D100" s="3"/>
      <c r="E100" s="3"/>
      <c r="F100" s="3"/>
      <c r="G100" s="158"/>
      <c r="H100" s="158"/>
      <c r="I100" s="158"/>
      <c r="J100" s="158"/>
      <c r="K100" s="158"/>
      <c r="L100" s="898"/>
      <c r="M100" s="898"/>
      <c r="N100" s="898"/>
      <c r="O100" s="158"/>
      <c r="P100" s="158"/>
      <c r="Q100" s="158"/>
      <c r="R100" s="158"/>
      <c r="S100" s="158"/>
      <c r="U100" s="93">
        <v>1</v>
      </c>
      <c r="V100" s="24">
        <v>1</v>
      </c>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row>
    <row r="101" spans="1:259" s="2" customFormat="1" ht="13.5" customHeight="1">
      <c r="A101" s="54"/>
      <c r="B101" s="54"/>
      <c r="C101" s="81"/>
      <c r="D101" s="3"/>
      <c r="E101" s="3"/>
      <c r="F101" s="3"/>
      <c r="G101" s="158"/>
      <c r="H101" s="158"/>
      <c r="I101" s="158"/>
      <c r="J101" s="158"/>
      <c r="K101" s="158"/>
      <c r="L101" s="887"/>
      <c r="M101" s="158"/>
      <c r="N101" s="158"/>
      <c r="O101" s="158"/>
      <c r="P101" s="158"/>
      <c r="Q101" s="158"/>
      <c r="R101" s="158"/>
      <c r="S101" s="158"/>
      <c r="U101" s="93">
        <v>0</v>
      </c>
      <c r="V101" s="24">
        <v>0</v>
      </c>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row>
    <row r="102" spans="1:259" s="2" customFormat="1" ht="13.5" customHeight="1">
      <c r="A102" s="54"/>
      <c r="B102" s="54"/>
      <c r="C102" s="113" t="s">
        <v>1350</v>
      </c>
      <c r="D102" s="3"/>
      <c r="E102" s="3"/>
      <c r="F102" s="3"/>
      <c r="G102" s="158"/>
      <c r="H102" s="158"/>
      <c r="I102" s="158"/>
      <c r="J102" s="158"/>
      <c r="K102" s="158"/>
      <c r="L102" s="158"/>
      <c r="M102" s="158"/>
      <c r="N102" s="158"/>
      <c r="O102" s="158"/>
      <c r="P102" s="158"/>
      <c r="Q102" s="158"/>
      <c r="R102" s="158"/>
      <c r="S102" s="158"/>
      <c r="U102" s="93">
        <v>1</v>
      </c>
      <c r="V102" s="24">
        <v>1</v>
      </c>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row>
    <row r="103" spans="1:259" ht="13.5" customHeight="1">
      <c r="C103" s="101" t="s">
        <v>1351</v>
      </c>
      <c r="D103" s="32" t="s">
        <v>1057</v>
      </c>
      <c r="E103" s="32" t="s">
        <v>1027</v>
      </c>
      <c r="F103" s="32"/>
      <c r="G103" s="32"/>
      <c r="H103" s="77">
        <f t="shared" ref="H103:S103" si="64">H15</f>
        <v>820.87599999999998</v>
      </c>
      <c r="I103" s="77">
        <f t="shared" si="64"/>
        <v>620.351</v>
      </c>
      <c r="J103" s="77">
        <f t="shared" si="64"/>
        <v>619.22299999999996</v>
      </c>
      <c r="K103" s="77">
        <f t="shared" si="64"/>
        <v>615.17600000000004</v>
      </c>
      <c r="L103" s="76">
        <f>L15</f>
        <v>1163.3860434252665</v>
      </c>
      <c r="M103" s="76">
        <f t="shared" si="64"/>
        <v>1235.318507748244</v>
      </c>
      <c r="N103" s="76">
        <f t="shared" si="64"/>
        <v>1267.9271307653059</v>
      </c>
      <c r="O103" s="76">
        <f t="shared" si="64"/>
        <v>1306.9872707355048</v>
      </c>
      <c r="P103" s="76">
        <f t="shared" si="64"/>
        <v>1355.2805553396706</v>
      </c>
      <c r="Q103" s="76">
        <f t="shared" si="64"/>
        <v>1412.2513217923679</v>
      </c>
      <c r="R103" s="76">
        <f t="shared" si="64"/>
        <v>1462.6178719664003</v>
      </c>
      <c r="S103" s="76">
        <f t="shared" si="64"/>
        <v>1516.7028246955497</v>
      </c>
      <c r="U103" s="93">
        <v>1</v>
      </c>
      <c r="V103" s="24">
        <v>1</v>
      </c>
    </row>
    <row r="104" spans="1:259" ht="13.5" hidden="1" customHeight="1">
      <c r="C104" s="81" t="s">
        <v>1352</v>
      </c>
      <c r="D104" s="3" t="s">
        <v>1057</v>
      </c>
      <c r="E104" s="3" t="s">
        <v>1027</v>
      </c>
      <c r="H104" s="6"/>
      <c r="I104" s="6"/>
      <c r="J104" s="6"/>
      <c r="K104" s="6"/>
      <c r="L104" s="599"/>
      <c r="M104" s="599"/>
      <c r="N104" s="599"/>
      <c r="O104" s="599"/>
      <c r="P104" s="599"/>
      <c r="Q104" s="599"/>
      <c r="R104" s="599"/>
      <c r="S104" s="599"/>
      <c r="U104" s="93">
        <v>1</v>
      </c>
      <c r="V104" s="24">
        <v>1</v>
      </c>
    </row>
    <row r="105" spans="1:259" s="2" customFormat="1" ht="13.5" hidden="1" customHeight="1">
      <c r="A105" s="54"/>
      <c r="B105" s="54"/>
      <c r="C105" s="81" t="s">
        <v>1353</v>
      </c>
      <c r="D105" s="3" t="s">
        <v>1057</v>
      </c>
      <c r="E105" s="3" t="s">
        <v>1027</v>
      </c>
      <c r="G105" s="95"/>
      <c r="H105" s="95"/>
      <c r="I105" s="95"/>
      <c r="J105" s="95"/>
      <c r="K105" s="95"/>
      <c r="L105" s="103"/>
      <c r="M105" s="103"/>
      <c r="N105" s="103"/>
      <c r="O105" s="103"/>
      <c r="P105" s="103"/>
      <c r="Q105" s="103"/>
      <c r="R105" s="103"/>
      <c r="S105" s="103"/>
      <c r="U105" s="93">
        <v>1</v>
      </c>
      <c r="V105" s="24">
        <v>1</v>
      </c>
    </row>
    <row r="106" spans="1:259" s="2" customFormat="1" ht="13.5" hidden="1" customHeight="1">
      <c r="A106" s="54"/>
      <c r="B106" s="54"/>
      <c r="C106" s="81" t="s">
        <v>1354</v>
      </c>
      <c r="D106" s="3" t="s">
        <v>1057</v>
      </c>
      <c r="E106" s="3" t="s">
        <v>1027</v>
      </c>
      <c r="G106" s="883"/>
      <c r="H106" s="883"/>
      <c r="I106" s="883"/>
      <c r="J106" s="883"/>
      <c r="K106" s="883"/>
      <c r="L106" s="103"/>
      <c r="M106" s="103"/>
      <c r="N106" s="103"/>
      <c r="O106" s="103"/>
      <c r="P106" s="103"/>
      <c r="Q106" s="103"/>
      <c r="R106" s="103"/>
      <c r="S106" s="103"/>
      <c r="U106" s="93">
        <v>1</v>
      </c>
      <c r="V106" s="24">
        <v>1</v>
      </c>
    </row>
    <row r="107" spans="1:259" ht="13.5" customHeight="1">
      <c r="C107" s="81" t="s">
        <v>1355</v>
      </c>
      <c r="D107" s="3" t="s">
        <v>1057</v>
      </c>
      <c r="E107" s="3" t="s">
        <v>1027</v>
      </c>
      <c r="H107" s="6">
        <f>-'DCF - Financials'!H100</f>
        <v>-128.029</v>
      </c>
      <c r="I107" s="6">
        <f>-'DCF - Financials'!I100</f>
        <v>-369.17500000000001</v>
      </c>
      <c r="J107" s="6">
        <f>-'DCF - Financials'!J100</f>
        <v>-402.55900000000003</v>
      </c>
      <c r="K107" s="6">
        <f>-'DCF - Financials'!K100</f>
        <v>-355.642</v>
      </c>
      <c r="L107" s="886">
        <f>-'DCF - Financials'!L100</f>
        <v>-1008.2421958596346</v>
      </c>
      <c r="M107" s="599">
        <f>-'DCF - Financials'!M100</f>
        <v>-1174.4489210721854</v>
      </c>
      <c r="N107" s="599">
        <f>-'DCF - Financials'!N100</f>
        <v>-1278.566225969096</v>
      </c>
      <c r="O107" s="599">
        <f>-'DCF - Financials'!O100</f>
        <v>-1487.5838062344437</v>
      </c>
      <c r="P107" s="599">
        <f>-'DCF - Financials'!P100</f>
        <v>-1774.7706115104972</v>
      </c>
      <c r="Q107" s="599">
        <f>-'DCF - Financials'!Q100</f>
        <v>-2145.1499382896568</v>
      </c>
      <c r="R107" s="599">
        <f>-'DCF - Financials'!R100</f>
        <v>-2581.2262753039131</v>
      </c>
      <c r="S107" s="599">
        <f>-'DCF - Financials'!S100</f>
        <v>-3137.8532341973582</v>
      </c>
      <c r="U107" s="93">
        <v>1</v>
      </c>
      <c r="V107" s="24">
        <v>1</v>
      </c>
    </row>
    <row r="108" spans="1:259" s="2" customFormat="1" ht="13.5" customHeight="1">
      <c r="A108" s="54"/>
      <c r="B108" s="54"/>
      <c r="C108" s="600" t="s">
        <v>464</v>
      </c>
      <c r="D108" s="74" t="s">
        <v>1057</v>
      </c>
      <c r="E108" s="74" t="s">
        <v>1027</v>
      </c>
      <c r="F108" s="74"/>
      <c r="G108" s="601"/>
      <c r="H108" s="601">
        <f>SUM(H103:H107)</f>
        <v>692.84699999999998</v>
      </c>
      <c r="I108" s="601">
        <f t="shared" ref="I108:S108" si="65">SUM(I103:I107)</f>
        <v>251.17599999999999</v>
      </c>
      <c r="J108" s="601">
        <f t="shared" si="65"/>
        <v>216.66399999999993</v>
      </c>
      <c r="K108" s="601">
        <f t="shared" si="65"/>
        <v>259.53400000000005</v>
      </c>
      <c r="L108" s="888">
        <f t="shared" si="65"/>
        <v>155.14384756563186</v>
      </c>
      <c r="M108" s="888">
        <f t="shared" si="65"/>
        <v>60.869586676058589</v>
      </c>
      <c r="N108" s="888">
        <f t="shared" si="65"/>
        <v>-10.639095203790021</v>
      </c>
      <c r="O108" s="888">
        <f t="shared" si="65"/>
        <v>-180.59653549893892</v>
      </c>
      <c r="P108" s="888">
        <f t="shared" si="65"/>
        <v>-419.49005617082662</v>
      </c>
      <c r="Q108" s="888">
        <f t="shared" si="65"/>
        <v>-732.89861649728891</v>
      </c>
      <c r="R108" s="888">
        <f t="shared" si="65"/>
        <v>-1118.6084033375128</v>
      </c>
      <c r="S108" s="888">
        <f t="shared" si="65"/>
        <v>-1621.1504095018086</v>
      </c>
      <c r="U108" s="93">
        <v>1</v>
      </c>
      <c r="V108" s="24">
        <v>1</v>
      </c>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row>
    <row r="109" spans="1:259" s="2" customFormat="1" ht="13.5" customHeight="1">
      <c r="A109" s="3"/>
      <c r="B109" s="54"/>
      <c r="C109" s="19" t="s">
        <v>1356</v>
      </c>
      <c r="D109" s="3" t="s">
        <v>1057</v>
      </c>
      <c r="E109" s="3" t="s">
        <v>1027</v>
      </c>
      <c r="G109" s="95">
        <v>0</v>
      </c>
      <c r="H109" s="95">
        <v>0</v>
      </c>
      <c r="I109" s="95">
        <v>0</v>
      </c>
      <c r="J109" s="95">
        <v>0</v>
      </c>
      <c r="K109" s="95">
        <v>0</v>
      </c>
      <c r="L109" s="103">
        <v>0</v>
      </c>
      <c r="M109" s="103">
        <v>0</v>
      </c>
      <c r="N109" s="103">
        <v>0</v>
      </c>
      <c r="O109" s="103">
        <v>0</v>
      </c>
      <c r="P109" s="103">
        <v>0</v>
      </c>
      <c r="Q109" s="103">
        <v>0</v>
      </c>
      <c r="R109" s="103">
        <v>0</v>
      </c>
      <c r="S109" s="103">
        <v>0</v>
      </c>
      <c r="U109" s="93">
        <v>1</v>
      </c>
      <c r="V109" s="24">
        <v>1</v>
      </c>
    </row>
    <row r="110" spans="1:259" s="2" customFormat="1" ht="13.5" customHeight="1">
      <c r="A110" s="54"/>
      <c r="B110" s="54"/>
      <c r="C110" s="600" t="s">
        <v>1357</v>
      </c>
      <c r="D110" s="74" t="s">
        <v>1057</v>
      </c>
      <c r="E110" s="74" t="s">
        <v>1027</v>
      </c>
      <c r="F110" s="74"/>
      <c r="G110" s="601"/>
      <c r="H110" s="601">
        <f>SUM(H108:H109)</f>
        <v>692.84699999999998</v>
      </c>
      <c r="I110" s="601">
        <f t="shared" ref="I110:S110" si="66">SUM(I108:I109)</f>
        <v>251.17599999999999</v>
      </c>
      <c r="J110" s="601">
        <f t="shared" si="66"/>
        <v>216.66399999999993</v>
      </c>
      <c r="K110" s="601">
        <f t="shared" si="66"/>
        <v>259.53400000000005</v>
      </c>
      <c r="L110" s="888">
        <f>SUM(L108:L109)</f>
        <v>155.14384756563186</v>
      </c>
      <c r="M110" s="888">
        <f t="shared" si="66"/>
        <v>60.869586676058589</v>
      </c>
      <c r="N110" s="888">
        <f t="shared" si="66"/>
        <v>-10.639095203790021</v>
      </c>
      <c r="O110" s="888">
        <f t="shared" si="66"/>
        <v>-180.59653549893892</v>
      </c>
      <c r="P110" s="888">
        <f t="shared" si="66"/>
        <v>-419.49005617082662</v>
      </c>
      <c r="Q110" s="888">
        <f t="shared" si="66"/>
        <v>-732.89861649728891</v>
      </c>
      <c r="R110" s="888">
        <f t="shared" si="66"/>
        <v>-1118.6084033375128</v>
      </c>
      <c r="S110" s="888">
        <f t="shared" si="66"/>
        <v>-1621.1504095018086</v>
      </c>
      <c r="U110" s="93">
        <v>1</v>
      </c>
      <c r="V110" s="24">
        <v>1</v>
      </c>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row>
    <row r="111" spans="1:259" s="2" customFormat="1" ht="13.5" customHeight="1">
      <c r="A111" s="54"/>
      <c r="B111" s="54"/>
      <c r="C111" s="81" t="s">
        <v>640</v>
      </c>
      <c r="D111" s="3" t="s">
        <v>1057</v>
      </c>
      <c r="E111" s="3" t="s">
        <v>1027</v>
      </c>
      <c r="F111" s="3"/>
      <c r="G111" s="137">
        <f>'DCF - Financials'!G53</f>
        <v>121.845</v>
      </c>
      <c r="H111" s="137">
        <f>'DCF - Financials'!H53</f>
        <v>20.764000000000042</v>
      </c>
      <c r="I111" s="137">
        <f>'DCF - Financials'!I53</f>
        <v>68.208000000000041</v>
      </c>
      <c r="J111" s="137">
        <f>'DCF - Financials'!J53</f>
        <v>63.499000000000038</v>
      </c>
      <c r="K111" s="137">
        <f>'DCF - Financials'!K53</f>
        <v>228.08399999999983</v>
      </c>
      <c r="L111" s="166">
        <f>'DCF - Financials'!L53</f>
        <v>104.35564190156782</v>
      </c>
      <c r="M111" s="166">
        <f>'DCF - Financials'!M53</f>
        <v>62.177476730226687</v>
      </c>
      <c r="N111" s="166">
        <f>'DCF - Financials'!N53</f>
        <v>96.95328784773379</v>
      </c>
      <c r="O111" s="166">
        <f>'DCF - Financials'!O53</f>
        <v>164.34007790514497</v>
      </c>
      <c r="P111" s="166">
        <f>'DCF - Financials'!P53</f>
        <v>244.68758901803909</v>
      </c>
      <c r="Q111" s="166">
        <f>'DCF - Financials'!Q53</f>
        <v>256.00403665939569</v>
      </c>
      <c r="R111" s="166">
        <f>'DCF - Financials'!R53</f>
        <v>320.23322236620498</v>
      </c>
      <c r="S111" s="166">
        <f>'DCF - Financials'!S53</f>
        <v>434.01374076047722</v>
      </c>
      <c r="U111" s="93">
        <v>1</v>
      </c>
      <c r="V111" s="24">
        <v>1</v>
      </c>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row>
    <row r="112" spans="1:259" s="2" customFormat="1" ht="13.5" customHeight="1">
      <c r="A112" s="54"/>
      <c r="B112" s="54"/>
      <c r="C112" s="81" t="s">
        <v>1130</v>
      </c>
      <c r="D112" s="3" t="s">
        <v>1057</v>
      </c>
      <c r="E112" s="3" t="s">
        <v>1027</v>
      </c>
      <c r="F112" s="3"/>
      <c r="G112" s="137">
        <f>'DCF - Financials'!G56</f>
        <v>121.845</v>
      </c>
      <c r="H112" s="137">
        <f>'DCF - Financials'!H56</f>
        <v>20.764000000000042</v>
      </c>
      <c r="I112" s="137">
        <f>'DCF - Financials'!I56</f>
        <v>68.208000000000041</v>
      </c>
      <c r="J112" s="137">
        <f>'DCF - Financials'!J56</f>
        <v>63.499000000000038</v>
      </c>
      <c r="K112" s="137">
        <f>'DCF - Financials'!K56</f>
        <v>228.08399999999983</v>
      </c>
      <c r="L112" s="166">
        <f t="shared" ref="L112:S112" si="67">K112*1.05</f>
        <v>239.48819999999984</v>
      </c>
      <c r="M112" s="166">
        <f t="shared" si="67"/>
        <v>251.46260999999984</v>
      </c>
      <c r="N112" s="166">
        <f t="shared" si="67"/>
        <v>264.03574049999986</v>
      </c>
      <c r="O112" s="166">
        <f t="shared" si="67"/>
        <v>277.23752752499985</v>
      </c>
      <c r="P112" s="166">
        <f t="shared" si="67"/>
        <v>291.09940390124984</v>
      </c>
      <c r="Q112" s="166">
        <f t="shared" si="67"/>
        <v>305.65437409631232</v>
      </c>
      <c r="R112" s="166">
        <f t="shared" si="67"/>
        <v>320.93709280112796</v>
      </c>
      <c r="S112" s="166">
        <f t="shared" si="67"/>
        <v>336.9839474411844</v>
      </c>
      <c r="U112" s="93">
        <v>1</v>
      </c>
      <c r="V112" s="24">
        <v>1</v>
      </c>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row>
    <row r="113" spans="1:259" s="2" customFormat="1" ht="13.5" customHeight="1">
      <c r="A113" s="54"/>
      <c r="B113" s="54"/>
      <c r="C113" s="109" t="s">
        <v>1358</v>
      </c>
      <c r="D113" s="72" t="s">
        <v>1057</v>
      </c>
      <c r="E113" s="72" t="s">
        <v>1027</v>
      </c>
      <c r="F113" s="72"/>
      <c r="G113" s="165"/>
      <c r="H113" s="165">
        <f>H64</f>
        <v>0</v>
      </c>
      <c r="I113" s="165">
        <f>I64</f>
        <v>-24.574000000000002</v>
      </c>
      <c r="J113" s="165">
        <f>J64</f>
        <v>-24.062999999999999</v>
      </c>
      <c r="K113" s="165">
        <f>K64</f>
        <v>-21.533999999999999</v>
      </c>
      <c r="L113" s="164">
        <f t="shared" ref="L113:S113" si="68">IFERROR(-(L27+L33)/2*L35,"")</f>
        <v>-23.010476035716987</v>
      </c>
      <c r="M113" s="164">
        <f t="shared" si="68"/>
        <v>-38.79210581631208</v>
      </c>
      <c r="N113" s="164">
        <f t="shared" si="68"/>
        <v>-41.236201500114952</v>
      </c>
      <c r="O113" s="164">
        <f t="shared" si="68"/>
        <v>-40.536109006136634</v>
      </c>
      <c r="P113" s="164">
        <f t="shared" si="68"/>
        <v>-40.816284866579061</v>
      </c>
      <c r="Q113" s="164">
        <f t="shared" si="68"/>
        <v>-44.086298141028692</v>
      </c>
      <c r="R113" s="164">
        <f t="shared" si="68"/>
        <v>-45.622030697482039</v>
      </c>
      <c r="S113" s="164">
        <f t="shared" si="68"/>
        <v>-46.829840007549677</v>
      </c>
      <c r="U113" s="93">
        <v>1</v>
      </c>
      <c r="V113" s="24">
        <v>1</v>
      </c>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row>
    <row r="114" spans="1:259" s="2" customFormat="1" ht="13.5" customHeight="1">
      <c r="A114" s="54"/>
      <c r="B114" s="54"/>
      <c r="C114" s="80"/>
      <c r="D114" s="3"/>
      <c r="E114" s="3"/>
      <c r="F114" s="3"/>
      <c r="G114" s="158"/>
      <c r="H114" s="158"/>
      <c r="I114" s="158"/>
      <c r="J114" s="158"/>
      <c r="K114" s="158"/>
      <c r="L114" s="158"/>
      <c r="M114" s="158">
        <f>'DCF - Financials'!M56</f>
        <v>62.177476730226687</v>
      </c>
      <c r="N114" s="158"/>
      <c r="O114" s="158"/>
      <c r="P114" s="158"/>
      <c r="Q114" s="158"/>
      <c r="R114" s="158"/>
      <c r="S114" s="158"/>
      <c r="U114" s="93">
        <v>0</v>
      </c>
      <c r="V114" s="24">
        <v>0</v>
      </c>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row>
    <row r="115" spans="1:259" s="2" customFormat="1" ht="13.5" customHeight="1">
      <c r="A115" s="54"/>
      <c r="B115" s="54"/>
      <c r="C115" s="81" t="s">
        <v>1359</v>
      </c>
      <c r="D115" s="3"/>
      <c r="E115" s="3"/>
      <c r="F115" s="3"/>
      <c r="G115" s="158"/>
      <c r="H115" s="158"/>
      <c r="I115" s="158"/>
      <c r="J115" s="158"/>
      <c r="K115" s="158"/>
      <c r="L115" s="158"/>
      <c r="M115" s="158"/>
      <c r="N115" s="158"/>
      <c r="O115" s="158"/>
      <c r="P115" s="158"/>
      <c r="Q115" s="158"/>
      <c r="R115" s="158"/>
      <c r="S115" s="158"/>
      <c r="U115" s="93">
        <v>1</v>
      </c>
      <c r="V115" s="24">
        <v>1</v>
      </c>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row>
    <row r="116" spans="1:259" s="2" customFormat="1" ht="13.5" customHeight="1">
      <c r="A116" s="54"/>
      <c r="B116" s="54"/>
      <c r="C116" s="80"/>
      <c r="D116" s="3"/>
      <c r="E116" s="3"/>
      <c r="F116" s="3"/>
      <c r="G116" s="158"/>
      <c r="H116" s="158"/>
      <c r="I116" s="158"/>
      <c r="J116" s="158"/>
      <c r="K116" s="158"/>
      <c r="L116" s="158"/>
      <c r="M116" s="158"/>
      <c r="N116" s="158"/>
      <c r="O116" s="158"/>
      <c r="P116" s="158"/>
      <c r="Q116" s="158"/>
      <c r="R116" s="158"/>
      <c r="S116" s="158"/>
      <c r="U116" s="93">
        <v>0</v>
      </c>
      <c r="V116" s="24">
        <v>0</v>
      </c>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row>
    <row r="117" spans="1:259" s="2" customFormat="1" ht="13.5" customHeight="1">
      <c r="A117" s="54"/>
      <c r="B117" s="54"/>
      <c r="C117" s="81" t="s">
        <v>1360</v>
      </c>
      <c r="D117" s="3" t="s">
        <v>1057</v>
      </c>
      <c r="E117" s="3" t="s">
        <v>1020</v>
      </c>
      <c r="F117" s="3"/>
      <c r="G117" s="3"/>
      <c r="H117" s="3"/>
      <c r="I117" s="3"/>
      <c r="J117" s="58" t="s">
        <v>1361</v>
      </c>
      <c r="K117" s="654"/>
      <c r="L117" s="1189">
        <v>0</v>
      </c>
      <c r="M117" s="1201">
        <v>0</v>
      </c>
      <c r="N117" s="1201">
        <v>0</v>
      </c>
      <c r="O117" s="1201">
        <v>0</v>
      </c>
      <c r="P117" s="1201">
        <v>0</v>
      </c>
      <c r="Q117" s="1201">
        <v>0</v>
      </c>
      <c r="R117" s="1201">
        <v>0</v>
      </c>
      <c r="S117" s="1201">
        <v>0</v>
      </c>
      <c r="U117" s="93">
        <v>1</v>
      </c>
      <c r="V117" s="24">
        <v>1</v>
      </c>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row>
    <row r="118" spans="1:259" s="2" customFormat="1" ht="13.5" customHeight="1">
      <c r="A118" s="54"/>
      <c r="B118" s="54"/>
      <c r="C118" s="101" t="s">
        <v>1362</v>
      </c>
      <c r="D118" s="32" t="s">
        <v>1057</v>
      </c>
      <c r="E118" s="32" t="s">
        <v>1027</v>
      </c>
      <c r="F118" s="32"/>
      <c r="G118" s="127"/>
      <c r="H118" s="127"/>
      <c r="I118" s="127"/>
      <c r="J118" s="163"/>
      <c r="K118" s="163"/>
      <c r="L118" s="99">
        <f>IF($K$117&gt;0,MIN(L117,L112*L91),L112*L91)</f>
        <v>849.53479342526657</v>
      </c>
      <c r="M118" s="99">
        <f t="shared" ref="M118:S118" si="69">IF($K$117&gt;0,MIN(M117,M112*M91),M112*M91)</f>
        <v>875.01169524824388</v>
      </c>
      <c r="N118" s="99">
        <f t="shared" si="69"/>
        <v>909.83736514030591</v>
      </c>
      <c r="O118" s="99">
        <f t="shared" si="69"/>
        <v>960.01481370425495</v>
      </c>
      <c r="P118" s="99">
        <f t="shared" si="69"/>
        <v>1010.4754840506081</v>
      </c>
      <c r="Q118" s="99">
        <f t="shared" si="69"/>
        <v>1059.7077951810397</v>
      </c>
      <c r="R118" s="99">
        <f t="shared" si="69"/>
        <v>1112.0151668272401</v>
      </c>
      <c r="S118" s="99">
        <f t="shared" si="69"/>
        <v>1167.9718846778494</v>
      </c>
      <c r="U118" s="93">
        <v>1</v>
      </c>
      <c r="V118" s="24">
        <v>1</v>
      </c>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row>
    <row r="119" spans="1:259" s="2" customFormat="1" ht="13.5" customHeight="1">
      <c r="A119" s="54"/>
      <c r="B119" s="54"/>
      <c r="C119" s="81"/>
      <c r="D119" s="3"/>
      <c r="E119" s="3"/>
      <c r="F119" s="3"/>
      <c r="G119" s="73"/>
      <c r="H119" s="73"/>
      <c r="I119" s="73"/>
      <c r="J119" s="162"/>
      <c r="K119" s="162"/>
      <c r="L119" s="95"/>
      <c r="M119" s="95"/>
      <c r="N119" s="95"/>
      <c r="O119" s="95"/>
      <c r="P119" s="95"/>
      <c r="Q119" s="95"/>
      <c r="R119" s="95"/>
      <c r="S119" s="95"/>
      <c r="U119" s="93">
        <v>0</v>
      </c>
      <c r="V119" s="24">
        <v>0</v>
      </c>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row>
    <row r="120" spans="1:259" s="2" customFormat="1" ht="13.5" customHeight="1">
      <c r="A120" s="54"/>
      <c r="B120" s="54"/>
      <c r="C120" s="113" t="s">
        <v>1363</v>
      </c>
      <c r="D120" s="3"/>
      <c r="E120" s="3"/>
      <c r="F120" s="3"/>
      <c r="G120" s="158"/>
      <c r="H120" s="158"/>
      <c r="I120" s="158"/>
      <c r="J120" s="158"/>
      <c r="K120" s="158"/>
      <c r="L120" s="158"/>
      <c r="M120" s="158"/>
      <c r="N120" s="158"/>
      <c r="O120" s="158"/>
      <c r="P120" s="158"/>
      <c r="Q120" s="158"/>
      <c r="R120" s="158"/>
      <c r="S120" s="158"/>
      <c r="U120" s="93">
        <v>1</v>
      </c>
      <c r="V120" s="24">
        <v>1</v>
      </c>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row>
    <row r="121" spans="1:259" ht="13.5" customHeight="1">
      <c r="C121" s="101" t="s">
        <v>1364</v>
      </c>
      <c r="D121" s="32" t="s">
        <v>1057</v>
      </c>
      <c r="E121" s="32" t="s">
        <v>1027</v>
      </c>
      <c r="F121" s="32"/>
      <c r="G121" s="32"/>
      <c r="H121" s="77"/>
      <c r="I121" s="77"/>
      <c r="J121" s="77"/>
      <c r="K121" s="77"/>
      <c r="L121" s="76">
        <f t="shared" ref="L121:S121" si="70">L118-L109</f>
        <v>849.53479342526657</v>
      </c>
      <c r="M121" s="76">
        <f t="shared" si="70"/>
        <v>875.01169524824388</v>
      </c>
      <c r="N121" s="76">
        <f t="shared" si="70"/>
        <v>909.83736514030591</v>
      </c>
      <c r="O121" s="76">
        <f t="shared" si="70"/>
        <v>960.01481370425495</v>
      </c>
      <c r="P121" s="76">
        <f t="shared" si="70"/>
        <v>1010.4754840506081</v>
      </c>
      <c r="Q121" s="76">
        <f t="shared" si="70"/>
        <v>1059.7077951810397</v>
      </c>
      <c r="R121" s="76">
        <f t="shared" si="70"/>
        <v>1112.0151668272401</v>
      </c>
      <c r="S121" s="76">
        <f t="shared" si="70"/>
        <v>1167.9718846778494</v>
      </c>
      <c r="U121" s="93">
        <v>1</v>
      </c>
      <c r="V121" s="24">
        <v>1</v>
      </c>
    </row>
    <row r="122" spans="1:259" s="2" customFormat="1" ht="13.5" customHeight="1">
      <c r="A122" s="54"/>
      <c r="B122" s="54"/>
      <c r="C122" s="81" t="s">
        <v>1365</v>
      </c>
      <c r="D122" s="3" t="s">
        <v>1057</v>
      </c>
      <c r="E122" s="3" t="s">
        <v>1027</v>
      </c>
      <c r="G122" s="95"/>
      <c r="H122" s="95"/>
      <c r="I122" s="95"/>
      <c r="J122" s="95"/>
      <c r="K122" s="95"/>
      <c r="L122" s="103">
        <f t="shared" ref="L122:S122" si="71">L92</f>
        <v>313.85124999999999</v>
      </c>
      <c r="M122" s="103">
        <f t="shared" si="71"/>
        <v>360.30681249999998</v>
      </c>
      <c r="N122" s="103">
        <f t="shared" si="71"/>
        <v>358.08976562499998</v>
      </c>
      <c r="O122" s="103">
        <f t="shared" si="71"/>
        <v>346.97245703124997</v>
      </c>
      <c r="P122" s="103">
        <f t="shared" si="71"/>
        <v>344.80507128906243</v>
      </c>
      <c r="Q122" s="103">
        <f t="shared" si="71"/>
        <v>352.5435266113281</v>
      </c>
      <c r="R122" s="103">
        <f t="shared" si="71"/>
        <v>350.60270513916015</v>
      </c>
      <c r="S122" s="103">
        <f t="shared" si="71"/>
        <v>348.73094001770016</v>
      </c>
      <c r="U122" s="93">
        <v>1</v>
      </c>
      <c r="V122" s="24">
        <v>1</v>
      </c>
    </row>
    <row r="123" spans="1:259" s="2" customFormat="1" ht="13.5" customHeight="1">
      <c r="A123" s="54"/>
      <c r="B123" s="54"/>
      <c r="C123" s="81" t="s">
        <v>1366</v>
      </c>
      <c r="D123" s="3" t="s">
        <v>1057</v>
      </c>
      <c r="E123" s="3" t="s">
        <v>1027</v>
      </c>
      <c r="G123" s="883"/>
      <c r="H123" s="883"/>
      <c r="I123" s="883"/>
      <c r="J123" s="883"/>
      <c r="K123" s="883"/>
      <c r="L123" s="103">
        <f>L122+L121</f>
        <v>1163.3860434252665</v>
      </c>
      <c r="M123" s="103">
        <f t="shared" ref="M123:S123" si="72">M122+M121</f>
        <v>1235.318507748244</v>
      </c>
      <c r="N123" s="103">
        <f t="shared" si="72"/>
        <v>1267.9271307653059</v>
      </c>
      <c r="O123" s="103">
        <f t="shared" si="72"/>
        <v>1306.9872707355048</v>
      </c>
      <c r="P123" s="103">
        <f t="shared" si="72"/>
        <v>1355.2805553396706</v>
      </c>
      <c r="Q123" s="103">
        <f t="shared" si="72"/>
        <v>1412.2513217923679</v>
      </c>
      <c r="R123" s="103">
        <f t="shared" si="72"/>
        <v>1462.6178719664003</v>
      </c>
      <c r="S123" s="103">
        <f t="shared" si="72"/>
        <v>1516.7028246955497</v>
      </c>
      <c r="U123" s="93">
        <v>1</v>
      </c>
      <c r="V123" s="24">
        <v>1</v>
      </c>
    </row>
    <row r="124" spans="1:259" s="2" customFormat="1" ht="13.5" customHeight="1">
      <c r="A124" s="54"/>
      <c r="B124" s="54"/>
      <c r="C124" s="81" t="s">
        <v>1367</v>
      </c>
      <c r="D124" s="3" t="s">
        <v>1057</v>
      </c>
      <c r="E124" s="3" t="s">
        <v>1027</v>
      </c>
      <c r="G124" s="883"/>
      <c r="H124" s="883"/>
      <c r="I124" s="883"/>
      <c r="J124" s="883"/>
      <c r="K124" s="883"/>
      <c r="L124" s="103">
        <f t="shared" ref="L124:S124" si="73">L123</f>
        <v>1163.3860434252665</v>
      </c>
      <c r="M124" s="103">
        <f t="shared" si="73"/>
        <v>1235.318507748244</v>
      </c>
      <c r="N124" s="103">
        <f t="shared" si="73"/>
        <v>1267.9271307653059</v>
      </c>
      <c r="O124" s="103">
        <f t="shared" si="73"/>
        <v>1306.9872707355048</v>
      </c>
      <c r="P124" s="103">
        <f t="shared" si="73"/>
        <v>1355.2805553396706</v>
      </c>
      <c r="Q124" s="103">
        <f t="shared" si="73"/>
        <v>1412.2513217923679</v>
      </c>
      <c r="R124" s="103">
        <f t="shared" si="73"/>
        <v>1462.6178719664003</v>
      </c>
      <c r="S124" s="103">
        <f t="shared" si="73"/>
        <v>1516.7028246955497</v>
      </c>
      <c r="U124" s="93">
        <v>1</v>
      </c>
      <c r="V124" s="24">
        <v>1</v>
      </c>
    </row>
    <row r="125" spans="1:259" ht="13.5" customHeight="1">
      <c r="C125" s="81" t="s">
        <v>1368</v>
      </c>
      <c r="D125" s="3" t="s">
        <v>1057</v>
      </c>
      <c r="E125" s="3" t="s">
        <v>1027</v>
      </c>
      <c r="H125" s="6"/>
      <c r="I125" s="6"/>
      <c r="J125" s="6"/>
      <c r="K125" s="6"/>
      <c r="L125" s="886">
        <f t="shared" ref="L125:S125" si="74">L11</f>
        <v>615.17600000000004</v>
      </c>
      <c r="M125" s="886">
        <f t="shared" si="74"/>
        <v>1163.3860434252665</v>
      </c>
      <c r="N125" s="886">
        <f t="shared" si="74"/>
        <v>1235.318507748244</v>
      </c>
      <c r="O125" s="886">
        <f t="shared" si="74"/>
        <v>1267.9271307653059</v>
      </c>
      <c r="P125" s="886">
        <f t="shared" si="74"/>
        <v>1306.9872707355048</v>
      </c>
      <c r="Q125" s="886">
        <f t="shared" si="74"/>
        <v>1355.2805553396706</v>
      </c>
      <c r="R125" s="886">
        <f t="shared" si="74"/>
        <v>1412.2513217923679</v>
      </c>
      <c r="S125" s="886">
        <f t="shared" si="74"/>
        <v>1462.6178719664003</v>
      </c>
      <c r="U125" s="93">
        <v>1</v>
      </c>
      <c r="V125" s="24">
        <v>1</v>
      </c>
    </row>
    <row r="126" spans="1:259" s="2" customFormat="1" ht="13.5" customHeight="1">
      <c r="A126" s="54"/>
      <c r="B126" s="54"/>
      <c r="C126" s="74" t="s">
        <v>1369</v>
      </c>
      <c r="D126" s="74" t="s">
        <v>1057</v>
      </c>
      <c r="E126" s="74" t="s">
        <v>1027</v>
      </c>
      <c r="F126" s="74"/>
      <c r="G126" s="601"/>
      <c r="H126" s="601"/>
      <c r="I126" s="601"/>
      <c r="J126" s="601"/>
      <c r="K126" s="601"/>
      <c r="L126" s="888">
        <f t="shared" ref="L126:S126" si="75">MAX(L124-L125,0)</f>
        <v>548.21004342526646</v>
      </c>
      <c r="M126" s="888">
        <f t="shared" si="75"/>
        <v>71.932464322977467</v>
      </c>
      <c r="N126" s="888">
        <f t="shared" si="75"/>
        <v>32.608623017061973</v>
      </c>
      <c r="O126" s="888">
        <f t="shared" si="75"/>
        <v>39.060139970198861</v>
      </c>
      <c r="P126" s="888">
        <f t="shared" si="75"/>
        <v>48.293284604165819</v>
      </c>
      <c r="Q126" s="888">
        <f t="shared" si="75"/>
        <v>56.970766452697262</v>
      </c>
      <c r="R126" s="888">
        <f t="shared" si="75"/>
        <v>50.366550174032454</v>
      </c>
      <c r="S126" s="888">
        <f t="shared" si="75"/>
        <v>54.084952729149336</v>
      </c>
      <c r="U126" s="93">
        <v>1</v>
      </c>
      <c r="V126" s="24">
        <v>1</v>
      </c>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row>
    <row r="127" spans="1:259" s="2" customFormat="1" ht="13.5" customHeight="1">
      <c r="A127" s="3"/>
      <c r="B127" s="54"/>
      <c r="C127" s="19" t="s">
        <v>1370</v>
      </c>
      <c r="D127" s="3" t="s">
        <v>1057</v>
      </c>
      <c r="E127" s="3" t="s">
        <v>1027</v>
      </c>
      <c r="G127" s="95"/>
      <c r="H127" s="95"/>
      <c r="I127" s="95"/>
      <c r="J127" s="95"/>
      <c r="K127" s="95"/>
      <c r="L127" s="103">
        <f t="shared" ref="L127:S128" si="76">-SUM(L28)</f>
        <v>0</v>
      </c>
      <c r="M127" s="103">
        <f t="shared" si="76"/>
        <v>0</v>
      </c>
      <c r="N127" s="103">
        <f t="shared" si="76"/>
        <v>0</v>
      </c>
      <c r="O127" s="103">
        <f t="shared" si="76"/>
        <v>0</v>
      </c>
      <c r="P127" s="103">
        <f t="shared" si="76"/>
        <v>0</v>
      </c>
      <c r="Q127" s="103">
        <f t="shared" si="76"/>
        <v>0</v>
      </c>
      <c r="R127" s="103">
        <f t="shared" si="76"/>
        <v>0</v>
      </c>
      <c r="S127" s="103">
        <f t="shared" si="76"/>
        <v>0</v>
      </c>
      <c r="U127" s="93">
        <v>1</v>
      </c>
      <c r="V127" s="24">
        <v>1</v>
      </c>
    </row>
    <row r="128" spans="1:259" s="2" customFormat="1" ht="13.5" customHeight="1">
      <c r="A128" s="3"/>
      <c r="B128" s="54"/>
      <c r="C128" s="19" t="s">
        <v>1371</v>
      </c>
      <c r="D128" s="3" t="s">
        <v>1057</v>
      </c>
      <c r="E128" s="3" t="s">
        <v>1027</v>
      </c>
      <c r="G128" s="95"/>
      <c r="H128" s="95"/>
      <c r="I128" s="95"/>
      <c r="J128" s="95"/>
      <c r="K128" s="95"/>
      <c r="L128" s="103">
        <f t="shared" si="76"/>
        <v>0</v>
      </c>
      <c r="M128" s="103">
        <f t="shared" si="76"/>
        <v>0</v>
      </c>
      <c r="N128" s="103">
        <f t="shared" si="76"/>
        <v>0</v>
      </c>
      <c r="O128" s="103">
        <f t="shared" si="76"/>
        <v>0</v>
      </c>
      <c r="P128" s="103">
        <f t="shared" si="76"/>
        <v>0</v>
      </c>
      <c r="Q128" s="103">
        <f t="shared" si="76"/>
        <v>0</v>
      </c>
      <c r="R128" s="103">
        <f t="shared" si="76"/>
        <v>0</v>
      </c>
      <c r="S128" s="103">
        <f t="shared" si="76"/>
        <v>0</v>
      </c>
      <c r="U128" s="93">
        <v>1</v>
      </c>
      <c r="V128" s="24">
        <v>1</v>
      </c>
    </row>
    <row r="129" spans="1:259" s="2" customFormat="1" ht="13.5" customHeight="1">
      <c r="A129" s="54"/>
      <c r="B129" s="54"/>
      <c r="C129" s="600" t="s">
        <v>1372</v>
      </c>
      <c r="D129" s="74" t="s">
        <v>1057</v>
      </c>
      <c r="E129" s="74" t="s">
        <v>1027</v>
      </c>
      <c r="F129" s="74"/>
      <c r="G129" s="601"/>
      <c r="H129" s="601"/>
      <c r="I129" s="601"/>
      <c r="J129" s="601"/>
      <c r="K129" s="601"/>
      <c r="L129" s="888">
        <f>L152</f>
        <v>0</v>
      </c>
      <c r="M129" s="888">
        <f t="shared" ref="M129:S129" si="77">M152</f>
        <v>0</v>
      </c>
      <c r="N129" s="888">
        <f t="shared" si="77"/>
        <v>0</v>
      </c>
      <c r="O129" s="888">
        <f t="shared" si="77"/>
        <v>0</v>
      </c>
      <c r="P129" s="888">
        <f t="shared" si="77"/>
        <v>0</v>
      </c>
      <c r="Q129" s="888">
        <f t="shared" si="77"/>
        <v>0</v>
      </c>
      <c r="R129" s="888">
        <f t="shared" si="77"/>
        <v>0</v>
      </c>
      <c r="S129" s="888">
        <f t="shared" si="77"/>
        <v>0</v>
      </c>
      <c r="U129" s="93">
        <v>1</v>
      </c>
      <c r="V129" s="24">
        <v>1</v>
      </c>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row>
    <row r="130" spans="1:259" s="2" customFormat="1" ht="13.5" customHeight="1">
      <c r="A130" s="54"/>
      <c r="B130" s="54"/>
      <c r="C130" s="81" t="s">
        <v>1373</v>
      </c>
      <c r="D130" s="3" t="s">
        <v>1057</v>
      </c>
      <c r="E130" s="3" t="s">
        <v>1027</v>
      </c>
      <c r="F130" s="3"/>
      <c r="G130"/>
      <c r="H130"/>
      <c r="I130"/>
      <c r="J130"/>
      <c r="K130" s="137"/>
      <c r="L130" s="166">
        <f>SUM(L126:L129)</f>
        <v>548.21004342526646</v>
      </c>
      <c r="M130" s="166">
        <f t="shared" ref="M130:S130" si="78">SUM(M126:M129)</f>
        <v>71.932464322977467</v>
      </c>
      <c r="N130" s="166">
        <f t="shared" si="78"/>
        <v>32.608623017061973</v>
      </c>
      <c r="O130" s="166">
        <f t="shared" si="78"/>
        <v>39.060139970198861</v>
      </c>
      <c r="P130" s="166">
        <f t="shared" si="78"/>
        <v>48.293284604165819</v>
      </c>
      <c r="Q130" s="166">
        <f t="shared" si="78"/>
        <v>56.970766452697262</v>
      </c>
      <c r="R130" s="166">
        <f t="shared" si="78"/>
        <v>50.366550174032454</v>
      </c>
      <c r="S130" s="166">
        <f t="shared" si="78"/>
        <v>54.084952729149336</v>
      </c>
      <c r="U130" s="93">
        <v>1</v>
      </c>
      <c r="V130" s="24">
        <v>1</v>
      </c>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row>
    <row r="131" spans="1:259" s="2" customFormat="1" ht="13.5" customHeight="1">
      <c r="A131" s="54"/>
      <c r="B131" s="54"/>
      <c r="C131" s="81" t="s">
        <v>1374</v>
      </c>
      <c r="D131" s="3" t="s">
        <v>1057</v>
      </c>
      <c r="E131" s="3" t="s">
        <v>1027</v>
      </c>
      <c r="F131" s="3"/>
      <c r="G131"/>
      <c r="H131"/>
      <c r="I131"/>
      <c r="J131"/>
      <c r="K131" s="137"/>
      <c r="L131" s="166">
        <f>L153</f>
        <v>146.18090243436819</v>
      </c>
      <c r="M131" s="166">
        <f t="shared" ref="M131:S131" si="79">M153</f>
        <v>742.20964424920783</v>
      </c>
      <c r="N131" s="166">
        <f t="shared" si="79"/>
        <v>887.86783732703407</v>
      </c>
      <c r="O131" s="166">
        <f t="shared" si="79"/>
        <v>1101.551209232995</v>
      </c>
      <c r="P131" s="166">
        <f t="shared" si="79"/>
        <v>1381.672255617269</v>
      </c>
      <c r="Q131" s="166">
        <f t="shared" si="79"/>
        <v>1735.6356452256316</v>
      </c>
      <c r="R131" s="166">
        <f t="shared" si="79"/>
        <v>2180.2570199907204</v>
      </c>
      <c r="S131" s="166">
        <f t="shared" si="79"/>
        <v>2735.0373414505088</v>
      </c>
      <c r="U131" s="93">
        <v>1</v>
      </c>
      <c r="V131" s="24">
        <v>1</v>
      </c>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row>
    <row r="132" spans="1:259" s="2" customFormat="1" ht="13.5" customHeight="1">
      <c r="A132" s="54"/>
      <c r="B132" s="54"/>
      <c r="C132" s="81" t="s">
        <v>1375</v>
      </c>
      <c r="D132" s="3" t="s">
        <v>1057</v>
      </c>
      <c r="E132" s="3" t="s">
        <v>1027</v>
      </c>
      <c r="F132" s="3"/>
      <c r="G132"/>
      <c r="H132"/>
      <c r="I132"/>
      <c r="J132"/>
      <c r="L132" s="166">
        <f t="shared" ref="L132:S132" si="80">L32</f>
        <v>0</v>
      </c>
      <c r="M132" s="166">
        <f t="shared" si="80"/>
        <v>0</v>
      </c>
      <c r="N132" s="166">
        <f t="shared" si="80"/>
        <v>0</v>
      </c>
      <c r="O132" s="166">
        <f t="shared" si="80"/>
        <v>0</v>
      </c>
      <c r="P132" s="166">
        <f t="shared" si="80"/>
        <v>0</v>
      </c>
      <c r="Q132" s="166">
        <f t="shared" si="80"/>
        <v>0</v>
      </c>
      <c r="R132" s="166">
        <f t="shared" si="80"/>
        <v>0</v>
      </c>
      <c r="S132" s="166">
        <f t="shared" si="80"/>
        <v>0</v>
      </c>
      <c r="U132" s="93">
        <v>1</v>
      </c>
      <c r="V132" s="24">
        <v>1</v>
      </c>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row>
    <row r="133" spans="1:259" s="2" customFormat="1" ht="13.5" customHeight="1">
      <c r="A133" s="54"/>
      <c r="B133" s="54"/>
      <c r="C133" s="81" t="s">
        <v>1376</v>
      </c>
      <c r="D133" s="3" t="s">
        <v>1057</v>
      </c>
      <c r="E133" s="3" t="s">
        <v>1027</v>
      </c>
      <c r="F133" s="3"/>
      <c r="G133"/>
      <c r="H133"/>
      <c r="I133"/>
      <c r="J133"/>
      <c r="L133" s="166">
        <f>L131+L130</f>
        <v>694.39094585963471</v>
      </c>
      <c r="M133" s="166">
        <f t="shared" ref="M133:S133" si="81">M131+M130-M129</f>
        <v>814.14210857218529</v>
      </c>
      <c r="N133" s="166">
        <f t="shared" si="81"/>
        <v>920.47646034409604</v>
      </c>
      <c r="O133" s="166">
        <f t="shared" si="81"/>
        <v>1140.6113492031939</v>
      </c>
      <c r="P133" s="166">
        <f t="shared" si="81"/>
        <v>1429.9655402214348</v>
      </c>
      <c r="Q133" s="166">
        <f t="shared" si="81"/>
        <v>1792.6064116783289</v>
      </c>
      <c r="R133" s="166">
        <f t="shared" si="81"/>
        <v>2230.6235701647529</v>
      </c>
      <c r="S133" s="166">
        <f t="shared" si="81"/>
        <v>2789.1222941796582</v>
      </c>
      <c r="U133" s="93">
        <v>1</v>
      </c>
      <c r="V133" s="24">
        <v>1</v>
      </c>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row>
    <row r="134" spans="1:259" s="2" customFormat="1" ht="13.5" customHeight="1">
      <c r="A134" s="54"/>
      <c r="B134" s="54"/>
      <c r="C134" s="81" t="s">
        <v>1377</v>
      </c>
      <c r="D134" s="3" t="s">
        <v>1057</v>
      </c>
      <c r="E134" s="3" t="s">
        <v>1027</v>
      </c>
      <c r="F134" s="939"/>
      <c r="G134"/>
      <c r="H134"/>
      <c r="I134"/>
      <c r="J134"/>
      <c r="L134" s="969">
        <f t="shared" ref="L134:S134" si="82">-L133*L137</f>
        <v>0</v>
      </c>
      <c r="M134" s="166">
        <f t="shared" si="82"/>
        <v>0</v>
      </c>
      <c r="N134" s="166">
        <f t="shared" si="82"/>
        <v>0</v>
      </c>
      <c r="O134" s="166">
        <f t="shared" si="82"/>
        <v>0</v>
      </c>
      <c r="P134" s="166">
        <f t="shared" si="82"/>
        <v>0</v>
      </c>
      <c r="Q134" s="166">
        <f t="shared" si="82"/>
        <v>0</v>
      </c>
      <c r="R134" s="166">
        <f t="shared" si="82"/>
        <v>0</v>
      </c>
      <c r="S134" s="166">
        <f t="shared" si="82"/>
        <v>0</v>
      </c>
      <c r="U134" s="93">
        <v>1</v>
      </c>
      <c r="V134" s="24">
        <v>1</v>
      </c>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row>
    <row r="135" spans="1:259" s="2" customFormat="1" ht="13.5" customHeight="1">
      <c r="B135" s="54"/>
      <c r="C135" s="109" t="s">
        <v>1378</v>
      </c>
      <c r="D135" s="72" t="s">
        <v>1057</v>
      </c>
      <c r="E135" s="72" t="s">
        <v>1027</v>
      </c>
      <c r="F135" s="938"/>
      <c r="G135" s="165"/>
      <c r="H135" s="165"/>
      <c r="I135" s="165"/>
      <c r="J135" s="165"/>
      <c r="K135" s="165"/>
      <c r="L135" s="970">
        <f>-L133*L138</f>
        <v>0</v>
      </c>
      <c r="M135" s="164">
        <f t="shared" ref="M135:S135" si="83">-M133*M138</f>
        <v>0</v>
      </c>
      <c r="N135" s="164">
        <f t="shared" si="83"/>
        <v>0</v>
      </c>
      <c r="O135" s="164">
        <f t="shared" si="83"/>
        <v>0</v>
      </c>
      <c r="P135" s="164">
        <f t="shared" si="83"/>
        <v>0</v>
      </c>
      <c r="Q135" s="164">
        <f t="shared" si="83"/>
        <v>0</v>
      </c>
      <c r="R135" s="164">
        <f t="shared" si="83"/>
        <v>0</v>
      </c>
      <c r="S135" s="164">
        <f t="shared" si="83"/>
        <v>0</v>
      </c>
      <c r="U135" s="93">
        <v>1</v>
      </c>
      <c r="V135" s="24">
        <v>1</v>
      </c>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row>
    <row r="136" spans="1:259" s="2" customFormat="1" ht="13.5" customHeight="1">
      <c r="A136" s="54"/>
      <c r="B136" s="54"/>
      <c r="C136" s="80"/>
      <c r="D136" s="3"/>
      <c r="E136" s="3"/>
      <c r="F136" s="3"/>
      <c r="G136" s="158"/>
      <c r="H136" s="158"/>
      <c r="I136" s="158"/>
      <c r="J136" s="158"/>
      <c r="K136" s="158"/>
      <c r="L136" s="158"/>
      <c r="M136" s="158"/>
      <c r="N136" s="158"/>
      <c r="O136" s="158"/>
      <c r="P136" s="158"/>
      <c r="Q136" s="158"/>
      <c r="R136" s="158"/>
      <c r="S136" s="158"/>
      <c r="U136" s="93">
        <v>0</v>
      </c>
      <c r="V136" s="24">
        <v>0</v>
      </c>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row>
    <row r="137" spans="1:259" ht="13.5" customHeight="1">
      <c r="A137" s="54"/>
      <c r="B137" s="54"/>
      <c r="C137" s="81" t="s">
        <v>1379</v>
      </c>
      <c r="D137" s="3" t="s">
        <v>1058</v>
      </c>
      <c r="E137" s="3" t="s">
        <v>1020</v>
      </c>
      <c r="G137" s="603"/>
      <c r="H137" s="603"/>
      <c r="I137" s="603"/>
      <c r="J137" s="603"/>
      <c r="K137" s="603"/>
      <c r="L137" s="1190">
        <v>0</v>
      </c>
      <c r="M137" s="1190">
        <v>0</v>
      </c>
      <c r="N137" s="1190">
        <v>0</v>
      </c>
      <c r="O137" s="1190">
        <v>0</v>
      </c>
      <c r="P137" s="1190">
        <v>0</v>
      </c>
      <c r="Q137" s="1190">
        <v>0</v>
      </c>
      <c r="R137" s="1190">
        <v>0</v>
      </c>
      <c r="S137" s="1190">
        <v>0</v>
      </c>
      <c r="U137" s="93">
        <v>1</v>
      </c>
      <c r="V137" s="24">
        <v>1</v>
      </c>
    </row>
    <row r="138" spans="1:259" ht="13.5" customHeight="1">
      <c r="A138" s="54"/>
      <c r="B138" s="54"/>
      <c r="C138" s="81" t="s">
        <v>1380</v>
      </c>
      <c r="D138" s="3" t="s">
        <v>1058</v>
      </c>
      <c r="E138" s="3" t="s">
        <v>1027</v>
      </c>
      <c r="G138" s="603"/>
      <c r="H138" s="603"/>
      <c r="I138" s="603"/>
      <c r="J138" s="603"/>
      <c r="K138" s="603"/>
      <c r="L138" s="968">
        <f t="shared" ref="L138:S138" si="84">L93</f>
        <v>0</v>
      </c>
      <c r="M138" s="968">
        <f t="shared" si="84"/>
        <v>0</v>
      </c>
      <c r="N138" s="968">
        <f t="shared" si="84"/>
        <v>0</v>
      </c>
      <c r="O138" s="968">
        <f t="shared" si="84"/>
        <v>0</v>
      </c>
      <c r="P138" s="968">
        <f t="shared" si="84"/>
        <v>0</v>
      </c>
      <c r="Q138" s="968">
        <f t="shared" si="84"/>
        <v>0</v>
      </c>
      <c r="R138" s="968">
        <f t="shared" si="84"/>
        <v>0</v>
      </c>
      <c r="S138" s="968">
        <f t="shared" si="84"/>
        <v>0</v>
      </c>
      <c r="U138" s="93">
        <v>1</v>
      </c>
      <c r="V138" s="24">
        <v>1</v>
      </c>
    </row>
    <row r="139" spans="1:259" ht="13.5" customHeight="1">
      <c r="A139" s="54"/>
      <c r="B139" s="54"/>
      <c r="C139" s="81"/>
      <c r="G139" s="603"/>
      <c r="H139" s="603"/>
      <c r="I139" s="603"/>
      <c r="J139" s="603"/>
      <c r="K139" s="603"/>
      <c r="L139" s="603"/>
      <c r="M139" s="603"/>
      <c r="N139" s="603"/>
      <c r="O139" s="603"/>
      <c r="P139" s="603"/>
      <c r="Q139" s="603"/>
      <c r="R139" s="603"/>
      <c r="S139" s="603"/>
      <c r="U139" s="93">
        <v>0</v>
      </c>
      <c r="V139" s="24">
        <v>0</v>
      </c>
    </row>
    <row r="140" spans="1:259">
      <c r="C140" s="1147" t="s">
        <v>1381</v>
      </c>
      <c r="D140" s="1148"/>
      <c r="E140" s="1148"/>
      <c r="F140" s="1148"/>
      <c r="G140" s="1148"/>
      <c r="H140" s="1148"/>
      <c r="I140" s="1148"/>
      <c r="J140" s="1148"/>
      <c r="K140" s="1148"/>
      <c r="L140" s="1148"/>
      <c r="M140" s="1148"/>
      <c r="N140" s="1148"/>
      <c r="O140" s="1148"/>
      <c r="P140" s="1148"/>
      <c r="Q140" s="1148"/>
      <c r="R140" s="1148"/>
      <c r="S140" s="1148"/>
      <c r="U140" s="93">
        <v>1</v>
      </c>
      <c r="V140" s="24">
        <v>1</v>
      </c>
    </row>
    <row r="141" spans="1:259" s="2" customFormat="1" ht="13.5" customHeight="1">
      <c r="A141" s="3"/>
      <c r="B141" s="3"/>
      <c r="C141" s="3"/>
      <c r="D141" s="3"/>
      <c r="E141" s="3"/>
      <c r="F141" s="3"/>
      <c r="G141" s="3"/>
      <c r="H141" s="95"/>
      <c r="I141" s="3"/>
      <c r="J141" s="3"/>
      <c r="K141" s="3"/>
      <c r="L141" s="1089" t="str">
        <f>L6</f>
        <v>Projected Fiscal Years Ending June 31</v>
      </c>
      <c r="M141" s="956"/>
      <c r="N141" s="956"/>
      <c r="O141" s="956"/>
      <c r="P141" s="956"/>
      <c r="Q141" s="956"/>
      <c r="R141" s="956"/>
      <c r="S141" s="956"/>
      <c r="U141" s="93">
        <v>0</v>
      </c>
      <c r="V141" s="24">
        <v>0</v>
      </c>
    </row>
    <row r="142" spans="1:259" s="2" customFormat="1" ht="13.5" customHeight="1">
      <c r="A142" s="3"/>
      <c r="B142" s="3"/>
      <c r="C142" s="142"/>
      <c r="D142" s="85" t="str">
        <f>+D$7</f>
        <v>Unit</v>
      </c>
      <c r="E142" s="85" t="str">
        <f>+E$7</f>
        <v>Type</v>
      </c>
      <c r="F142" s="57"/>
      <c r="G142" s="85">
        <f t="shared" ref="G142:S142" si="85">+G$7</f>
        <v>2019</v>
      </c>
      <c r="H142" s="85">
        <f t="shared" si="85"/>
        <v>2020</v>
      </c>
      <c r="I142" s="85">
        <f t="shared" si="85"/>
        <v>2021</v>
      </c>
      <c r="J142" s="85">
        <f t="shared" si="85"/>
        <v>2022</v>
      </c>
      <c r="K142" s="85">
        <f t="shared" si="85"/>
        <v>2023</v>
      </c>
      <c r="L142" s="85">
        <f t="shared" si="85"/>
        <v>2024</v>
      </c>
      <c r="M142" s="85">
        <f t="shared" si="85"/>
        <v>2025</v>
      </c>
      <c r="N142" s="85">
        <f t="shared" si="85"/>
        <v>2026</v>
      </c>
      <c r="O142" s="85">
        <f t="shared" si="85"/>
        <v>2027</v>
      </c>
      <c r="P142" s="85">
        <f t="shared" si="85"/>
        <v>2028</v>
      </c>
      <c r="Q142" s="85">
        <f t="shared" si="85"/>
        <v>2029</v>
      </c>
      <c r="R142" s="85">
        <f t="shared" si="85"/>
        <v>2030</v>
      </c>
      <c r="S142" s="85">
        <f t="shared" si="85"/>
        <v>2031</v>
      </c>
      <c r="T142" s="23"/>
      <c r="U142" s="93">
        <v>0</v>
      </c>
      <c r="V142" s="24">
        <v>0</v>
      </c>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c r="CM142" s="23"/>
      <c r="CN142" s="23"/>
      <c r="CO142" s="23"/>
      <c r="CP142" s="23"/>
      <c r="CQ142" s="23"/>
      <c r="CR142" s="23"/>
      <c r="CS142" s="23"/>
      <c r="CT142" s="23"/>
      <c r="CU142" s="23"/>
      <c r="CV142" s="23"/>
      <c r="CW142" s="23"/>
      <c r="CX142" s="23"/>
      <c r="CY142" s="23"/>
      <c r="CZ142" s="23"/>
      <c r="DA142" s="23"/>
      <c r="DB142" s="23"/>
      <c r="DC142" s="23"/>
      <c r="DD142" s="23"/>
      <c r="DE142" s="23"/>
      <c r="DF142" s="23"/>
      <c r="DG142" s="23"/>
      <c r="DH142" s="23"/>
      <c r="DI142" s="23"/>
      <c r="DJ142" s="23"/>
      <c r="DK142" s="23"/>
      <c r="DL142" s="23"/>
      <c r="DM142" s="23"/>
      <c r="DN142" s="23"/>
      <c r="DO142" s="23"/>
      <c r="DP142" s="23"/>
      <c r="DQ142" s="23"/>
      <c r="DR142" s="23"/>
      <c r="DS142" s="23"/>
      <c r="DT142" s="23"/>
      <c r="DU142" s="23"/>
      <c r="DV142" s="23"/>
      <c r="DW142" s="23"/>
      <c r="DX142" s="23"/>
      <c r="DY142" s="23"/>
      <c r="DZ142" s="23"/>
      <c r="EA142" s="23"/>
      <c r="EB142" s="23"/>
      <c r="EC142" s="23"/>
      <c r="ED142" s="23"/>
      <c r="EE142" s="23"/>
      <c r="EF142" s="23"/>
      <c r="EG142" s="23"/>
      <c r="EH142" s="23"/>
      <c r="EI142" s="23"/>
      <c r="EJ142" s="23"/>
      <c r="EK142" s="23"/>
      <c r="EL142" s="23"/>
      <c r="EM142" s="23"/>
      <c r="EN142" s="23"/>
      <c r="EO142" s="23"/>
      <c r="EP142" s="23"/>
      <c r="EQ142" s="23"/>
      <c r="ER142" s="23"/>
      <c r="ES142" s="23"/>
      <c r="ET142" s="23"/>
      <c r="EU142" s="23"/>
      <c r="EV142" s="23"/>
      <c r="EW142" s="23"/>
      <c r="EX142" s="23"/>
      <c r="EY142" s="23"/>
      <c r="EZ142" s="23"/>
      <c r="FA142" s="23"/>
      <c r="FB142" s="23"/>
      <c r="FC142" s="23"/>
      <c r="FD142" s="23"/>
      <c r="FE142" s="23"/>
      <c r="FF142" s="23"/>
      <c r="FG142" s="23"/>
      <c r="FH142" s="23"/>
      <c r="FI142" s="23"/>
      <c r="FJ142" s="23"/>
      <c r="FK142" s="23"/>
      <c r="FL142" s="23"/>
      <c r="FM142" s="23"/>
      <c r="FN142" s="23"/>
      <c r="FO142" s="23"/>
      <c r="FP142" s="23"/>
      <c r="FQ142" s="23"/>
      <c r="FR142" s="23"/>
      <c r="FS142" s="23"/>
      <c r="FT142" s="23"/>
      <c r="FU142" s="23"/>
      <c r="FV142" s="23"/>
      <c r="FW142" s="23"/>
      <c r="FX142" s="23"/>
      <c r="FY142" s="23"/>
      <c r="FZ142" s="23"/>
      <c r="GA142" s="23"/>
      <c r="GB142" s="23"/>
      <c r="GC142" s="23"/>
      <c r="GD142" s="23"/>
      <c r="GE142" s="23"/>
      <c r="GF142" s="23"/>
      <c r="GG142" s="23"/>
      <c r="GH142" s="23"/>
      <c r="GI142" s="23"/>
      <c r="GJ142" s="23"/>
      <c r="GK142" s="23"/>
      <c r="GL142" s="23"/>
      <c r="GM142" s="23"/>
      <c r="GN142" s="23"/>
      <c r="GO142" s="23"/>
      <c r="GP142" s="23"/>
      <c r="GQ142" s="23"/>
      <c r="GR142" s="23"/>
      <c r="GS142" s="23"/>
      <c r="GT142" s="23"/>
      <c r="GU142" s="23"/>
      <c r="GV142" s="23"/>
      <c r="GW142" s="23"/>
      <c r="GX142" s="23"/>
      <c r="GY142" s="23"/>
      <c r="GZ142" s="23"/>
      <c r="HA142" s="23"/>
      <c r="HB142" s="23"/>
      <c r="HC142" s="23"/>
      <c r="HD142" s="23"/>
      <c r="HE142" s="23"/>
      <c r="HF142" s="23"/>
      <c r="HG142" s="23"/>
      <c r="HH142" s="23"/>
      <c r="HI142" s="23"/>
      <c r="HJ142" s="23"/>
      <c r="HK142" s="23"/>
      <c r="HL142" s="23"/>
      <c r="HM142" s="23"/>
      <c r="HN142" s="23"/>
      <c r="HO142" s="23"/>
      <c r="HP142" s="23"/>
      <c r="HQ142" s="23"/>
      <c r="HR142" s="23"/>
      <c r="HS142" s="23"/>
      <c r="HT142" s="23"/>
      <c r="HU142" s="23"/>
      <c r="HV142" s="23"/>
      <c r="HW142" s="23"/>
      <c r="HX142" s="23"/>
      <c r="HY142" s="23"/>
      <c r="HZ142" s="23"/>
      <c r="IA142" s="23"/>
      <c r="IB142" s="23"/>
      <c r="IC142" s="23"/>
      <c r="ID142" s="23"/>
      <c r="IE142" s="23"/>
      <c r="IF142" s="23"/>
      <c r="IG142" s="23"/>
      <c r="IH142" s="23"/>
      <c r="II142" s="23"/>
      <c r="IJ142" s="23"/>
      <c r="IK142" s="23"/>
      <c r="IL142" s="23"/>
      <c r="IM142" s="23"/>
      <c r="IN142" s="23"/>
      <c r="IO142" s="23"/>
      <c r="IP142" s="23"/>
      <c r="IQ142" s="23"/>
      <c r="IR142" s="23"/>
      <c r="IS142" s="23"/>
      <c r="IT142" s="23"/>
      <c r="IU142" s="23"/>
      <c r="IV142" s="23"/>
      <c r="IW142" s="23"/>
      <c r="IX142" s="23"/>
    </row>
    <row r="143" spans="1:259" ht="13.5" customHeight="1">
      <c r="C143" s="113" t="s">
        <v>1382</v>
      </c>
      <c r="G143" s="344"/>
      <c r="U143" s="93">
        <v>1</v>
      </c>
      <c r="V143" s="24">
        <v>1</v>
      </c>
    </row>
    <row r="144" spans="1:259" s="23" customFormat="1" ht="13.5" customHeight="1">
      <c r="A144" s="54"/>
      <c r="B144" s="54"/>
      <c r="C144" s="81" t="s">
        <v>1383</v>
      </c>
      <c r="D144" s="3" t="s">
        <v>1057</v>
      </c>
      <c r="E144" s="3" t="s">
        <v>1027</v>
      </c>
      <c r="G144" s="943"/>
      <c r="H144" s="943"/>
      <c r="I144" s="943"/>
      <c r="J144" s="943"/>
      <c r="K144" s="943"/>
      <c r="L144" s="95">
        <f>'DCF - Financials'!L85</f>
        <v>104.39015243436818</v>
      </c>
      <c r="M144" s="95">
        <f>'DCF - Financials'!M85</f>
        <v>94.274260889573156</v>
      </c>
      <c r="N144" s="95">
        <f>'DCF - Financials'!N85</f>
        <v>71.508681879848666</v>
      </c>
      <c r="O144" s="95">
        <f>'DCF - Financials'!O85</f>
        <v>169.9574402951489</v>
      </c>
      <c r="P144" s="95">
        <f>'DCF - Financials'!P85</f>
        <v>238.89352067188767</v>
      </c>
      <c r="Q144" s="95">
        <f>'DCF - Financials'!Q85</f>
        <v>313.40856032646246</v>
      </c>
      <c r="R144" s="95">
        <f>'DCF - Financials'!R85</f>
        <v>385.70978684022361</v>
      </c>
      <c r="S144" s="95">
        <f>'DCF - Financials'!S85</f>
        <v>502.54200616429586</v>
      </c>
      <c r="T144" s="41"/>
      <c r="U144" s="93">
        <v>1</v>
      </c>
      <c r="V144" s="24">
        <v>1</v>
      </c>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1"/>
      <c r="CU144" s="41"/>
    </row>
    <row r="145" spans="1:99" s="23" customFormat="1" ht="13.5" customHeight="1">
      <c r="A145" s="54"/>
      <c r="B145" s="54"/>
      <c r="C145" s="81" t="s">
        <v>1384</v>
      </c>
      <c r="D145" s="3" t="s">
        <v>1057</v>
      </c>
      <c r="E145" s="3" t="s">
        <v>1027</v>
      </c>
      <c r="G145" s="943"/>
      <c r="H145" s="943"/>
      <c r="I145" s="943"/>
      <c r="J145" s="943"/>
      <c r="K145" s="943"/>
      <c r="L145" s="95">
        <f t="shared" ref="L145:S145" si="86">L28</f>
        <v>0</v>
      </c>
      <c r="M145" s="95">
        <f t="shared" si="86"/>
        <v>0</v>
      </c>
      <c r="N145" s="95">
        <f t="shared" si="86"/>
        <v>0</v>
      </c>
      <c r="O145" s="95">
        <f t="shared" si="86"/>
        <v>0</v>
      </c>
      <c r="P145" s="95">
        <f t="shared" si="86"/>
        <v>0</v>
      </c>
      <c r="Q145" s="95">
        <f t="shared" si="86"/>
        <v>0</v>
      </c>
      <c r="R145" s="95">
        <f t="shared" si="86"/>
        <v>0</v>
      </c>
      <c r="S145" s="95">
        <f t="shared" si="86"/>
        <v>0</v>
      </c>
      <c r="T145" s="41"/>
      <c r="U145" s="93">
        <v>1</v>
      </c>
      <c r="V145" s="24">
        <v>1</v>
      </c>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1"/>
      <c r="CU145" s="41"/>
    </row>
    <row r="146" spans="1:99" s="23" customFormat="1" ht="13.5" customHeight="1">
      <c r="A146" s="54"/>
      <c r="B146" s="54"/>
      <c r="C146" s="81" t="s">
        <v>1385</v>
      </c>
      <c r="D146" s="3" t="s">
        <v>1057</v>
      </c>
      <c r="E146" s="3" t="s">
        <v>1027</v>
      </c>
      <c r="G146" s="943"/>
      <c r="H146" s="943"/>
      <c r="I146" s="943"/>
      <c r="J146" s="943"/>
      <c r="K146" s="943"/>
      <c r="L146" s="95">
        <f t="shared" ref="L146:S146" si="87">+L29</f>
        <v>0</v>
      </c>
      <c r="M146" s="95">
        <f t="shared" si="87"/>
        <v>0</v>
      </c>
      <c r="N146" s="95">
        <f t="shared" si="87"/>
        <v>0</v>
      </c>
      <c r="O146" s="95">
        <f t="shared" si="87"/>
        <v>0</v>
      </c>
      <c r="P146" s="95">
        <f t="shared" si="87"/>
        <v>0</v>
      </c>
      <c r="Q146" s="95">
        <f t="shared" si="87"/>
        <v>0</v>
      </c>
      <c r="R146" s="95">
        <f t="shared" si="87"/>
        <v>0</v>
      </c>
      <c r="S146" s="95">
        <f t="shared" si="87"/>
        <v>0</v>
      </c>
      <c r="T146" s="41"/>
      <c r="U146" s="93">
        <v>1</v>
      </c>
      <c r="V146" s="24">
        <v>1</v>
      </c>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1"/>
      <c r="CU146" s="41"/>
    </row>
    <row r="147" spans="1:99" s="23" customFormat="1" ht="13.5" customHeight="1">
      <c r="A147" s="54"/>
      <c r="B147" s="54"/>
      <c r="C147" s="101" t="s">
        <v>1374</v>
      </c>
      <c r="D147" s="32" t="s">
        <v>1057</v>
      </c>
      <c r="E147" s="32" t="s">
        <v>1027</v>
      </c>
      <c r="F147" s="78"/>
      <c r="G147" s="971"/>
      <c r="H147" s="971"/>
      <c r="I147" s="971"/>
      <c r="J147" s="971"/>
      <c r="K147" s="971"/>
      <c r="L147" s="100">
        <f t="shared" ref="L147:S147" si="88">SUM(L144:L146)</f>
        <v>104.39015243436818</v>
      </c>
      <c r="M147" s="100">
        <f t="shared" si="88"/>
        <v>94.274260889573156</v>
      </c>
      <c r="N147" s="100">
        <f t="shared" si="88"/>
        <v>71.508681879848666</v>
      </c>
      <c r="O147" s="100">
        <f t="shared" si="88"/>
        <v>169.9574402951489</v>
      </c>
      <c r="P147" s="100">
        <f t="shared" si="88"/>
        <v>238.89352067188767</v>
      </c>
      <c r="Q147" s="100">
        <f t="shared" si="88"/>
        <v>313.40856032646246</v>
      </c>
      <c r="R147" s="100">
        <f t="shared" si="88"/>
        <v>385.70978684022361</v>
      </c>
      <c r="S147" s="100">
        <f t="shared" si="88"/>
        <v>502.54200616429586</v>
      </c>
      <c r="T147" s="41"/>
      <c r="U147" s="93">
        <v>1</v>
      </c>
      <c r="V147" s="24">
        <v>1</v>
      </c>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1"/>
      <c r="CU147" s="41"/>
    </row>
    <row r="148" spans="1:99" s="23" customFormat="1" ht="13.5" customHeight="1">
      <c r="A148" s="54"/>
      <c r="B148" s="54"/>
      <c r="C148" s="156"/>
      <c r="D148" s="3"/>
      <c r="E148" s="3"/>
      <c r="G148" s="155"/>
      <c r="H148" s="155"/>
      <c r="I148" s="155"/>
      <c r="J148" s="155"/>
      <c r="K148" s="155"/>
      <c r="L148" s="155"/>
      <c r="M148" s="155"/>
      <c r="N148" s="155"/>
      <c r="O148" s="155"/>
      <c r="P148" s="155"/>
      <c r="Q148" s="155"/>
      <c r="R148" s="155"/>
      <c r="S148" s="155"/>
      <c r="T148" s="41"/>
      <c r="U148" s="93">
        <v>0</v>
      </c>
      <c r="V148" s="24">
        <v>0</v>
      </c>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1"/>
      <c r="CU148" s="41"/>
    </row>
    <row r="149" spans="1:99" ht="13.5" customHeight="1">
      <c r="A149" s="54"/>
      <c r="B149" s="54"/>
      <c r="C149" s="81" t="s">
        <v>1386</v>
      </c>
      <c r="D149" s="3" t="s">
        <v>1057</v>
      </c>
      <c r="E149" s="3" t="s">
        <v>1027</v>
      </c>
      <c r="F149" s="23"/>
      <c r="G149" s="95"/>
      <c r="H149" s="95"/>
      <c r="I149" s="95"/>
      <c r="J149" s="95"/>
      <c r="K149" s="95"/>
      <c r="L149" s="103">
        <f>'DCF - Financials'!L$96</f>
        <v>355.642</v>
      </c>
      <c r="M149" s="103">
        <f>'DCF - Financials'!M$96</f>
        <v>1008.2421958596346</v>
      </c>
      <c r="N149" s="103">
        <f>'DCF - Financials'!N$96</f>
        <v>1174.4489210721854</v>
      </c>
      <c r="O149" s="103">
        <f>'DCF - Financials'!O$96</f>
        <v>1278.566225969096</v>
      </c>
      <c r="P149" s="103">
        <f>'DCF - Financials'!P$96</f>
        <v>1487.5838062344437</v>
      </c>
      <c r="Q149" s="103">
        <f>'DCF - Financials'!Q$96</f>
        <v>1774.7706115104972</v>
      </c>
      <c r="R149" s="103">
        <f>'DCF - Financials'!R$96</f>
        <v>2145.1499382896568</v>
      </c>
      <c r="S149" s="103">
        <f>'DCF - Financials'!S$96</f>
        <v>2581.2262753039131</v>
      </c>
      <c r="U149" s="93">
        <v>1</v>
      </c>
      <c r="V149" s="24">
        <v>1</v>
      </c>
    </row>
    <row r="150" spans="1:99" ht="13.5" customHeight="1">
      <c r="A150" s="54"/>
      <c r="B150" s="54"/>
      <c r="C150" s="81" t="s">
        <v>1387</v>
      </c>
      <c r="D150" s="3" t="s">
        <v>1057</v>
      </c>
      <c r="E150" s="3" t="s">
        <v>1342</v>
      </c>
      <c r="F150" s="23"/>
      <c r="G150" s="102"/>
      <c r="H150" s="102"/>
      <c r="I150" s="102"/>
      <c r="J150" s="102"/>
      <c r="K150" s="102"/>
      <c r="L150" s="95">
        <f>-L92</f>
        <v>-313.85124999999999</v>
      </c>
      <c r="M150" s="95">
        <f t="shared" ref="M150:S150" si="89">-M92</f>
        <v>-360.30681249999998</v>
      </c>
      <c r="N150" s="95">
        <f t="shared" si="89"/>
        <v>-358.08976562499998</v>
      </c>
      <c r="O150" s="95">
        <f t="shared" si="89"/>
        <v>-346.97245703124997</v>
      </c>
      <c r="P150" s="95">
        <f t="shared" si="89"/>
        <v>-344.80507128906243</v>
      </c>
      <c r="Q150" s="95">
        <f t="shared" si="89"/>
        <v>-352.5435266113281</v>
      </c>
      <c r="R150" s="95">
        <f t="shared" si="89"/>
        <v>-350.60270513916015</v>
      </c>
      <c r="S150" s="95">
        <f t="shared" si="89"/>
        <v>-348.73094001770016</v>
      </c>
      <c r="U150" s="93">
        <v>1</v>
      </c>
      <c r="V150" s="24">
        <v>1</v>
      </c>
    </row>
    <row r="151" spans="1:99" ht="13.5" customHeight="1">
      <c r="A151" s="54"/>
      <c r="B151" s="54"/>
      <c r="C151" s="101" t="s">
        <v>1388</v>
      </c>
      <c r="D151" s="32" t="s">
        <v>1057</v>
      </c>
      <c r="E151" s="32" t="s">
        <v>1027</v>
      </c>
      <c r="F151" s="32"/>
      <c r="G151" s="154"/>
      <c r="H151" s="154"/>
      <c r="I151" s="154"/>
      <c r="J151" s="154"/>
      <c r="K151" s="154"/>
      <c r="L151" s="99">
        <f t="shared" ref="L151" si="90">SUM(L149:L150)</f>
        <v>41.790750000000003</v>
      </c>
      <c r="M151" s="99">
        <f t="shared" ref="M151:S151" si="91">SUM(M149:M150)</f>
        <v>647.93538335963467</v>
      </c>
      <c r="N151" s="99">
        <f t="shared" si="91"/>
        <v>816.35915544718546</v>
      </c>
      <c r="O151" s="99">
        <f t="shared" si="91"/>
        <v>931.59376893784599</v>
      </c>
      <c r="P151" s="99">
        <f t="shared" si="91"/>
        <v>1142.7787349453813</v>
      </c>
      <c r="Q151" s="99">
        <f t="shared" si="91"/>
        <v>1422.2270848991691</v>
      </c>
      <c r="R151" s="99">
        <f t="shared" si="91"/>
        <v>1794.5472331504966</v>
      </c>
      <c r="S151" s="99">
        <f t="shared" si="91"/>
        <v>2232.495335286213</v>
      </c>
      <c r="U151" s="93">
        <v>1</v>
      </c>
      <c r="V151" s="24">
        <v>1</v>
      </c>
    </row>
    <row r="152" spans="1:99" s="23" customFormat="1" ht="13.5" customHeight="1">
      <c r="A152" s="150"/>
      <c r="B152" s="150"/>
      <c r="C152" s="101" t="s">
        <v>1389</v>
      </c>
      <c r="D152" s="32" t="s">
        <v>1057</v>
      </c>
      <c r="E152" s="32" t="s">
        <v>1027</v>
      </c>
      <c r="F152" s="78"/>
      <c r="G152" s="154"/>
      <c r="H152" s="154"/>
      <c r="I152" s="154"/>
      <c r="J152" s="154"/>
      <c r="K152" s="154"/>
      <c r="L152" s="99">
        <f>MIN(L151+L147,0)</f>
        <v>0</v>
      </c>
      <c r="M152" s="99">
        <f t="shared" ref="M152:S152" si="92">MIN(M151+M147,0)</f>
        <v>0</v>
      </c>
      <c r="N152" s="99">
        <f t="shared" si="92"/>
        <v>0</v>
      </c>
      <c r="O152" s="99">
        <f t="shared" si="92"/>
        <v>0</v>
      </c>
      <c r="P152" s="99">
        <f t="shared" si="92"/>
        <v>0</v>
      </c>
      <c r="Q152" s="99">
        <f t="shared" si="92"/>
        <v>0</v>
      </c>
      <c r="R152" s="99">
        <f t="shared" si="92"/>
        <v>0</v>
      </c>
      <c r="S152" s="99">
        <f t="shared" si="92"/>
        <v>0</v>
      </c>
      <c r="T152" s="41"/>
      <c r="U152" s="93">
        <v>1</v>
      </c>
      <c r="V152" s="24">
        <v>1</v>
      </c>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1"/>
      <c r="CU152" s="41"/>
    </row>
    <row r="153" spans="1:99" ht="13.5" customHeight="1">
      <c r="A153" s="54"/>
      <c r="B153" s="54"/>
      <c r="C153" s="81" t="s">
        <v>1390</v>
      </c>
      <c r="D153" s="3" t="s">
        <v>1057</v>
      </c>
      <c r="E153" s="3" t="s">
        <v>1027</v>
      </c>
      <c r="G153" s="134"/>
      <c r="H153" s="134"/>
      <c r="I153" s="134"/>
      <c r="J153" s="134"/>
      <c r="K153" s="134"/>
      <c r="L153" s="103">
        <f>MAX(L147+L151,0)</f>
        <v>146.18090243436819</v>
      </c>
      <c r="M153" s="103">
        <f t="shared" ref="M153:S153" si="93">MAX(M147+M151,0)</f>
        <v>742.20964424920783</v>
      </c>
      <c r="N153" s="103">
        <f t="shared" si="93"/>
        <v>887.86783732703407</v>
      </c>
      <c r="O153" s="103">
        <f t="shared" si="93"/>
        <v>1101.551209232995</v>
      </c>
      <c r="P153" s="103">
        <f t="shared" si="93"/>
        <v>1381.672255617269</v>
      </c>
      <c r="Q153" s="103">
        <f t="shared" si="93"/>
        <v>1735.6356452256316</v>
      </c>
      <c r="R153" s="103">
        <f t="shared" si="93"/>
        <v>2180.2570199907204</v>
      </c>
      <c r="S153" s="103">
        <f t="shared" si="93"/>
        <v>2735.0373414505088</v>
      </c>
      <c r="U153" s="93">
        <v>1</v>
      </c>
      <c r="V153" s="24">
        <v>1</v>
      </c>
    </row>
    <row r="154" spans="1:99" s="23" customFormat="1" ht="13.5" customHeight="1">
      <c r="A154" s="54"/>
      <c r="B154" s="54"/>
      <c r="C154" s="153" t="s">
        <v>1391</v>
      </c>
      <c r="D154" s="3" t="s">
        <v>1057</v>
      </c>
      <c r="E154" s="3" t="s">
        <v>1027</v>
      </c>
      <c r="G154" s="152"/>
      <c r="H154" s="152"/>
      <c r="I154" s="152"/>
      <c r="J154" s="152"/>
      <c r="K154" s="152"/>
      <c r="L154" s="151">
        <f t="shared" ref="L154" si="94">-L152</f>
        <v>0</v>
      </c>
      <c r="M154" s="151">
        <f>-M152</f>
        <v>0</v>
      </c>
      <c r="N154" s="151">
        <f t="shared" ref="N154:S154" si="95">-N152</f>
        <v>0</v>
      </c>
      <c r="O154" s="151">
        <f t="shared" si="95"/>
        <v>0</v>
      </c>
      <c r="P154" s="151">
        <f t="shared" si="95"/>
        <v>0</v>
      </c>
      <c r="Q154" s="151">
        <f t="shared" si="95"/>
        <v>0</v>
      </c>
      <c r="R154" s="151">
        <f t="shared" si="95"/>
        <v>0</v>
      </c>
      <c r="S154" s="151">
        <f t="shared" si="95"/>
        <v>0</v>
      </c>
      <c r="T154" s="41"/>
      <c r="U154" s="93">
        <v>1</v>
      </c>
      <c r="V154" s="24">
        <v>1</v>
      </c>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1"/>
      <c r="CU154" s="41"/>
    </row>
    <row r="155" spans="1:99" ht="13.5" customHeight="1">
      <c r="A155" s="54"/>
      <c r="B155" s="54"/>
      <c r="C155" s="81" t="s">
        <v>1392</v>
      </c>
      <c r="D155" s="3" t="s">
        <v>1057</v>
      </c>
      <c r="E155" s="3" t="s">
        <v>1027</v>
      </c>
      <c r="F155" s="856"/>
      <c r="G155" s="134"/>
      <c r="H155" s="134"/>
      <c r="I155" s="134"/>
      <c r="J155" s="134"/>
      <c r="K155" s="134"/>
      <c r="L155" s="103">
        <f t="shared" ref="L155:S155" si="96">L31+L28</f>
        <v>548.21004342526646</v>
      </c>
      <c r="M155" s="103">
        <f t="shared" si="96"/>
        <v>71.932464322977467</v>
      </c>
      <c r="N155" s="103">
        <f t="shared" si="96"/>
        <v>32.608623017061973</v>
      </c>
      <c r="O155" s="103">
        <f t="shared" si="96"/>
        <v>39.060139970198861</v>
      </c>
      <c r="P155" s="103">
        <f t="shared" si="96"/>
        <v>48.293284604165819</v>
      </c>
      <c r="Q155" s="103">
        <f t="shared" si="96"/>
        <v>56.970766452697262</v>
      </c>
      <c r="R155" s="103">
        <f t="shared" si="96"/>
        <v>50.366550174032454</v>
      </c>
      <c r="S155" s="103">
        <f t="shared" si="96"/>
        <v>54.084952729149336</v>
      </c>
      <c r="U155" s="93">
        <v>1</v>
      </c>
      <c r="V155" s="24">
        <v>1</v>
      </c>
    </row>
    <row r="156" spans="1:99" ht="13.5" hidden="1" customHeight="1">
      <c r="A156" s="54"/>
      <c r="B156" s="54"/>
      <c r="C156" s="81" t="s">
        <v>1393</v>
      </c>
      <c r="D156" s="3" t="s">
        <v>1057</v>
      </c>
      <c r="E156" s="3" t="s">
        <v>1027</v>
      </c>
      <c r="G156" s="134"/>
      <c r="H156" s="134"/>
      <c r="I156" s="134"/>
      <c r="J156" s="134"/>
      <c r="K156" s="134"/>
      <c r="L156" s="103"/>
      <c r="M156" s="103"/>
      <c r="N156" s="103"/>
      <c r="O156" s="103"/>
      <c r="P156" s="103"/>
      <c r="Q156" s="103"/>
      <c r="R156" s="103"/>
      <c r="S156" s="103"/>
      <c r="U156" s="93">
        <v>1</v>
      </c>
      <c r="V156" s="24">
        <v>1</v>
      </c>
    </row>
    <row r="157" spans="1:99" s="23" customFormat="1" ht="13.5" customHeight="1">
      <c r="A157" s="150"/>
      <c r="B157" s="150"/>
      <c r="C157" s="146" t="s">
        <v>1394</v>
      </c>
      <c r="D157" s="32" t="s">
        <v>1057</v>
      </c>
      <c r="E157" s="32" t="s">
        <v>1027</v>
      </c>
      <c r="F157" s="981"/>
      <c r="G157" s="149"/>
      <c r="H157" s="149"/>
      <c r="I157" s="149"/>
      <c r="J157" s="149"/>
      <c r="K157" s="149"/>
      <c r="L157" s="144">
        <f t="shared" ref="L157:S157" si="97">SUM(L152:L156)</f>
        <v>694.39094585963471</v>
      </c>
      <c r="M157" s="144">
        <f t="shared" si="97"/>
        <v>814.14210857218529</v>
      </c>
      <c r="N157" s="144">
        <f t="shared" si="97"/>
        <v>920.47646034409604</v>
      </c>
      <c r="O157" s="144">
        <f t="shared" si="97"/>
        <v>1140.6113492031939</v>
      </c>
      <c r="P157" s="144">
        <f t="shared" si="97"/>
        <v>1429.9655402214348</v>
      </c>
      <c r="Q157" s="144">
        <f t="shared" si="97"/>
        <v>1792.6064116783289</v>
      </c>
      <c r="R157" s="144">
        <f t="shared" si="97"/>
        <v>2230.6235701647529</v>
      </c>
      <c r="S157" s="144">
        <f t="shared" si="97"/>
        <v>2789.1222941796582</v>
      </c>
      <c r="T157" s="41"/>
      <c r="U157" s="93">
        <v>1</v>
      </c>
      <c r="V157" s="24">
        <v>1</v>
      </c>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1"/>
      <c r="CU157" s="41"/>
    </row>
    <row r="158" spans="1:99" ht="13.5" customHeight="1">
      <c r="A158" s="54"/>
      <c r="B158" s="54"/>
      <c r="C158" s="80"/>
      <c r="K158" s="148"/>
      <c r="L158" s="95"/>
      <c r="M158" s="95"/>
      <c r="N158" s="95"/>
      <c r="O158" s="95"/>
      <c r="P158" s="95"/>
      <c r="Q158" s="95"/>
      <c r="R158" s="95"/>
      <c r="S158" s="95"/>
      <c r="U158" s="93">
        <v>0</v>
      </c>
      <c r="V158" s="24">
        <v>0</v>
      </c>
    </row>
    <row r="159" spans="1:99" ht="13.5" customHeight="1">
      <c r="A159" s="54"/>
      <c r="B159" s="54"/>
      <c r="C159" s="113" t="s">
        <v>1395</v>
      </c>
      <c r="D159" s="23"/>
      <c r="E159" s="23"/>
      <c r="F159" s="23"/>
      <c r="G159" s="155"/>
      <c r="H159" s="155"/>
      <c r="I159" s="155"/>
      <c r="J159" s="155"/>
      <c r="K159" s="155"/>
      <c r="L159" s="155"/>
      <c r="M159" s="155"/>
      <c r="N159" s="155"/>
      <c r="O159" s="155"/>
      <c r="P159" s="155"/>
      <c r="Q159" s="155"/>
      <c r="R159" s="155"/>
      <c r="S159" s="155"/>
      <c r="U159" s="93">
        <v>1</v>
      </c>
      <c r="V159" s="24">
        <v>1</v>
      </c>
    </row>
    <row r="160" spans="1:99" ht="13.5" customHeight="1">
      <c r="A160" s="54"/>
      <c r="B160" s="54"/>
      <c r="C160" s="3" t="s">
        <v>1396</v>
      </c>
      <c r="G160" s="170">
        <f>IFERROR(G163/'DCF - Financials'!G39,0)</f>
        <v>0</v>
      </c>
      <c r="H160" s="170">
        <f>H163/'DCF - Financials'!H39</f>
        <v>-0.12374110610799847</v>
      </c>
      <c r="I160" s="170">
        <f>I163/'DCF - Financials'!I39</f>
        <v>0</v>
      </c>
      <c r="J160" s="170">
        <f>J163/'DCF - Financials'!J39</f>
        <v>0</v>
      </c>
      <c r="K160" s="170">
        <f>K163/'DCF - Financials'!K39</f>
        <v>0</v>
      </c>
      <c r="L160" s="904">
        <f>L163/'DCF - Financials'!L39</f>
        <v>0</v>
      </c>
      <c r="M160" s="904">
        <f>M163/'DCF - Financials'!M39</f>
        <v>0</v>
      </c>
      <c r="N160" s="904">
        <f>N163/'DCF - Financials'!N39</f>
        <v>0</v>
      </c>
      <c r="O160" s="904">
        <f>O163/'DCF - Financials'!O39</f>
        <v>0</v>
      </c>
      <c r="P160" s="904">
        <f>P163/'DCF - Financials'!P39</f>
        <v>0</v>
      </c>
      <c r="Q160" s="904">
        <f>Q163/'DCF - Financials'!Q39</f>
        <v>0</v>
      </c>
      <c r="R160" s="904">
        <f>R163/'DCF - Financials'!R39</f>
        <v>0</v>
      </c>
      <c r="S160" s="904">
        <f>S163/'DCF - Financials'!S39</f>
        <v>0</v>
      </c>
      <c r="U160" s="93">
        <v>1</v>
      </c>
      <c r="V160" s="24">
        <v>1</v>
      </c>
    </row>
    <row r="161" spans="1:259" ht="13.5" customHeight="1">
      <c r="A161" s="54"/>
      <c r="B161" s="54"/>
      <c r="C161" s="81" t="s">
        <v>918</v>
      </c>
      <c r="G161" s="1287" t="str">
        <f>'DCF - Financials'!G40</f>
        <v>n.a.</v>
      </c>
      <c r="H161" s="170">
        <f>'DCF - Financials'!H40</f>
        <v>-5.0000687450589471E-2</v>
      </c>
      <c r="I161" s="170">
        <f>'DCF - Financials'!I40</f>
        <v>1.4497660271408517</v>
      </c>
      <c r="J161" s="170">
        <f>'DCF - Financials'!J40</f>
        <v>-0.61627511591962858</v>
      </c>
      <c r="K161" s="170">
        <f>'DCF - Financials'!K40</f>
        <v>-3.1230541141587683E-2</v>
      </c>
      <c r="L161" s="903">
        <f>'DCF - Financials'!L40</f>
        <v>-1.1154250706404698</v>
      </c>
      <c r="M161" s="903">
        <f>'DCF - Financials'!M40</f>
        <v>-1.5871112778629641</v>
      </c>
      <c r="N161" s="903">
        <f>'DCF - Financials'!N40</f>
        <v>-1.9019464969972268</v>
      </c>
      <c r="O161" s="903">
        <f>'DCF - Financials'!O40</f>
        <v>-1.9092093993188315</v>
      </c>
      <c r="P161" s="903">
        <f>'DCF - Financials'!P40</f>
        <v>-2.2291492725366449</v>
      </c>
      <c r="Q161" s="903">
        <f>'DCF - Financials'!Q40</f>
        <v>-3.0117312442603175</v>
      </c>
      <c r="R161" s="903">
        <f>'DCF - Financials'!R40</f>
        <v>-3.8112083627210493</v>
      </c>
      <c r="S161" s="903">
        <f>'DCF - Financials'!S40</f>
        <v>-4.6113960090385726</v>
      </c>
      <c r="U161" s="93">
        <v>1</v>
      </c>
      <c r="V161" s="24">
        <v>1</v>
      </c>
    </row>
    <row r="162" spans="1:259" ht="13.5" customHeight="1">
      <c r="A162" s="54"/>
      <c r="B162" s="54"/>
      <c r="C162" s="81" t="s">
        <v>1397</v>
      </c>
      <c r="G162" s="167">
        <f t="shared" ref="G162:S162" si="98">IFERROR(G161/G160,0)</f>
        <v>0</v>
      </c>
      <c r="H162" s="167">
        <f t="shared" si="98"/>
        <v>0.40407499999999991</v>
      </c>
      <c r="I162" s="167">
        <f t="shared" si="98"/>
        <v>0</v>
      </c>
      <c r="J162" s="167">
        <f t="shared" si="98"/>
        <v>0</v>
      </c>
      <c r="K162" s="167">
        <f t="shared" si="98"/>
        <v>0</v>
      </c>
      <c r="L162" s="1111">
        <f t="shared" si="98"/>
        <v>0</v>
      </c>
      <c r="M162" s="1111">
        <f t="shared" si="98"/>
        <v>0</v>
      </c>
      <c r="N162" s="1111">
        <f t="shared" si="98"/>
        <v>0</v>
      </c>
      <c r="O162" s="1111">
        <f t="shared" si="98"/>
        <v>0</v>
      </c>
      <c r="P162" s="1111">
        <f t="shared" si="98"/>
        <v>0</v>
      </c>
      <c r="Q162" s="1111">
        <f t="shared" si="98"/>
        <v>0</v>
      </c>
      <c r="R162" s="1111">
        <f t="shared" si="98"/>
        <v>0</v>
      </c>
      <c r="S162" s="1111">
        <f t="shared" si="98"/>
        <v>0</v>
      </c>
      <c r="U162" s="93">
        <v>1</v>
      </c>
      <c r="V162" s="24">
        <v>1</v>
      </c>
    </row>
    <row r="163" spans="1:259" ht="13.5" customHeight="1">
      <c r="A163" s="54"/>
      <c r="B163" s="54"/>
      <c r="C163" s="78" t="s">
        <v>522</v>
      </c>
      <c r="D163" s="32"/>
      <c r="E163" s="32"/>
      <c r="F163" s="32"/>
      <c r="G163" s="145">
        <f>'DCF - Financials'!G88</f>
        <v>-23.359000000000002</v>
      </c>
      <c r="H163" s="145">
        <f>'DCF - Financials'!H88</f>
        <v>-360</v>
      </c>
      <c r="I163" s="145">
        <f>'DCF - Financials'!I88</f>
        <v>0</v>
      </c>
      <c r="J163" s="145">
        <f>'DCF - Financials'!J88</f>
        <v>0</v>
      </c>
      <c r="K163" s="145">
        <f>'DCF - Financials'!K88</f>
        <v>0</v>
      </c>
      <c r="L163" s="144">
        <f>-L135</f>
        <v>0</v>
      </c>
      <c r="M163" s="144">
        <f t="shared" ref="M163:S163" si="99">-M135</f>
        <v>0</v>
      </c>
      <c r="N163" s="144">
        <f t="shared" si="99"/>
        <v>0</v>
      </c>
      <c r="O163" s="144">
        <f t="shared" si="99"/>
        <v>0</v>
      </c>
      <c r="P163" s="144">
        <f t="shared" si="99"/>
        <v>0</v>
      </c>
      <c r="Q163" s="144">
        <f t="shared" si="99"/>
        <v>0</v>
      </c>
      <c r="R163" s="144">
        <f t="shared" si="99"/>
        <v>0</v>
      </c>
      <c r="S163" s="144">
        <f t="shared" si="99"/>
        <v>0</v>
      </c>
      <c r="U163" s="93">
        <v>1</v>
      </c>
      <c r="V163" s="24">
        <v>1</v>
      </c>
    </row>
    <row r="164" spans="1:259" s="2" customFormat="1" ht="13.5" customHeight="1">
      <c r="A164" s="54"/>
      <c r="B164" s="54"/>
      <c r="C164" s="877"/>
      <c r="D164" s="3"/>
      <c r="E164" s="3"/>
      <c r="F164" s="143"/>
      <c r="G164" s="143"/>
      <c r="H164" s="143"/>
      <c r="I164" s="143"/>
      <c r="J164" s="143"/>
      <c r="K164" s="143"/>
      <c r="L164" s="143"/>
      <c r="M164" s="143"/>
      <c r="N164" s="143"/>
      <c r="O164" s="3"/>
      <c r="P164" s="3"/>
      <c r="Q164" s="3"/>
      <c r="R164" s="3"/>
      <c r="S164" s="3"/>
      <c r="U164" s="93">
        <v>0</v>
      </c>
      <c r="V164" s="24">
        <v>0</v>
      </c>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row>
    <row r="165" spans="1:259">
      <c r="C165" s="1147" t="s">
        <v>1398</v>
      </c>
      <c r="D165" s="1148"/>
      <c r="E165" s="1148"/>
      <c r="F165" s="1148"/>
      <c r="G165" s="1148"/>
      <c r="H165" s="1148"/>
      <c r="I165" s="1148"/>
      <c r="J165" s="1148"/>
      <c r="K165" s="1148"/>
      <c r="L165" s="1148"/>
      <c r="M165" s="1148"/>
      <c r="N165" s="1148"/>
      <c r="O165" s="1148"/>
      <c r="P165" s="1148"/>
      <c r="Q165" s="1148"/>
      <c r="R165" s="1148"/>
      <c r="S165" s="1148"/>
      <c r="U165" s="93">
        <v>1</v>
      </c>
      <c r="V165" s="24">
        <v>1</v>
      </c>
    </row>
    <row r="166" spans="1:259" s="2" customFormat="1" ht="13.5" customHeight="1">
      <c r="A166" s="3"/>
      <c r="B166" s="3"/>
      <c r="C166" s="344"/>
      <c r="D166" s="3"/>
      <c r="E166" s="3"/>
      <c r="F166" s="3"/>
      <c r="G166" s="3"/>
      <c r="H166" s="3"/>
      <c r="I166" s="3"/>
      <c r="J166" s="3"/>
      <c r="K166" s="3"/>
      <c r="L166" s="1089" t="str">
        <f>L6</f>
        <v>Projected Fiscal Years Ending June 31</v>
      </c>
      <c r="M166" s="956"/>
      <c r="N166" s="956"/>
      <c r="O166" s="956"/>
      <c r="P166" s="956"/>
      <c r="Q166" s="956"/>
      <c r="R166" s="956"/>
      <c r="S166" s="956"/>
      <c r="U166" s="93">
        <v>0</v>
      </c>
      <c r="V166" s="24">
        <v>0</v>
      </c>
    </row>
    <row r="167" spans="1:259" s="2" customFormat="1" ht="13.5" customHeight="1">
      <c r="A167" s="3"/>
      <c r="B167" s="3"/>
      <c r="C167" s="142"/>
      <c r="D167" s="85" t="str">
        <f>+D$7</f>
        <v>Unit</v>
      </c>
      <c r="E167" s="85" t="str">
        <f>+E$7</f>
        <v>Type</v>
      </c>
      <c r="F167" s="57"/>
      <c r="G167" s="85">
        <f t="shared" ref="G167:S167" si="100">+G$7</f>
        <v>2019</v>
      </c>
      <c r="H167" s="85">
        <f t="shared" si="100"/>
        <v>2020</v>
      </c>
      <c r="I167" s="85">
        <f t="shared" si="100"/>
        <v>2021</v>
      </c>
      <c r="J167" s="85">
        <f t="shared" si="100"/>
        <v>2022</v>
      </c>
      <c r="K167" s="85">
        <f t="shared" si="100"/>
        <v>2023</v>
      </c>
      <c r="L167" s="85">
        <f t="shared" si="100"/>
        <v>2024</v>
      </c>
      <c r="M167" s="85">
        <f t="shared" si="100"/>
        <v>2025</v>
      </c>
      <c r="N167" s="85">
        <f t="shared" si="100"/>
        <v>2026</v>
      </c>
      <c r="O167" s="85">
        <f t="shared" si="100"/>
        <v>2027</v>
      </c>
      <c r="P167" s="85">
        <f t="shared" si="100"/>
        <v>2028</v>
      </c>
      <c r="Q167" s="85">
        <f t="shared" si="100"/>
        <v>2029</v>
      </c>
      <c r="R167" s="85">
        <f t="shared" si="100"/>
        <v>2030</v>
      </c>
      <c r="S167" s="85">
        <f t="shared" si="100"/>
        <v>2031</v>
      </c>
      <c r="T167" s="23"/>
      <c r="U167" s="93">
        <v>0</v>
      </c>
      <c r="V167" s="24">
        <v>0</v>
      </c>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c r="CM167" s="23"/>
      <c r="CN167" s="23"/>
      <c r="CO167" s="23"/>
      <c r="CP167" s="23"/>
      <c r="CQ167" s="23"/>
      <c r="CR167" s="23"/>
      <c r="CS167" s="23"/>
      <c r="CT167" s="23"/>
      <c r="CU167" s="23"/>
      <c r="CV167" s="23"/>
      <c r="CW167" s="23"/>
      <c r="CX167" s="23"/>
      <c r="CY167" s="23"/>
      <c r="CZ167" s="23"/>
      <c r="DA167" s="23"/>
      <c r="DB167" s="23"/>
      <c r="DC167" s="23"/>
      <c r="DD167" s="23"/>
      <c r="DE167" s="23"/>
      <c r="DF167" s="23"/>
      <c r="DG167" s="23"/>
      <c r="DH167" s="23"/>
      <c r="DI167" s="23"/>
      <c r="DJ167" s="23"/>
      <c r="DK167" s="23"/>
      <c r="DL167" s="23"/>
      <c r="DM167" s="23"/>
      <c r="DN167" s="23"/>
      <c r="DO167" s="23"/>
      <c r="DP167" s="23"/>
      <c r="DQ167" s="23"/>
      <c r="DR167" s="23"/>
      <c r="DS167" s="23"/>
      <c r="DT167" s="23"/>
      <c r="DU167" s="23"/>
      <c r="DV167" s="23"/>
      <c r="DW167" s="23"/>
      <c r="DX167" s="23"/>
      <c r="DY167" s="23"/>
      <c r="DZ167" s="23"/>
      <c r="EA167" s="23"/>
      <c r="EB167" s="23"/>
      <c r="EC167" s="23"/>
      <c r="ED167" s="23"/>
      <c r="EE167" s="23"/>
      <c r="EF167" s="23"/>
      <c r="EG167" s="23"/>
      <c r="EH167" s="23"/>
      <c r="EI167" s="23"/>
      <c r="EJ167" s="23"/>
      <c r="EK167" s="23"/>
      <c r="EL167" s="23"/>
      <c r="EM167" s="23"/>
      <c r="EN167" s="23"/>
      <c r="EO167" s="23"/>
      <c r="EP167" s="23"/>
      <c r="EQ167" s="23"/>
      <c r="ER167" s="23"/>
      <c r="ES167" s="23"/>
      <c r="ET167" s="23"/>
      <c r="EU167" s="23"/>
      <c r="EV167" s="23"/>
      <c r="EW167" s="23"/>
      <c r="EX167" s="23"/>
      <c r="EY167" s="23"/>
      <c r="EZ167" s="23"/>
      <c r="FA167" s="23"/>
      <c r="FB167" s="23"/>
      <c r="FC167" s="23"/>
      <c r="FD167" s="23"/>
      <c r="FE167" s="23"/>
      <c r="FF167" s="23"/>
      <c r="FG167" s="23"/>
      <c r="FH167" s="23"/>
      <c r="FI167" s="23"/>
      <c r="FJ167" s="23"/>
      <c r="FK167" s="23"/>
      <c r="FL167" s="23"/>
      <c r="FM167" s="23"/>
      <c r="FN167" s="23"/>
      <c r="FO167" s="23"/>
      <c r="FP167" s="23"/>
      <c r="FQ167" s="23"/>
      <c r="FR167" s="23"/>
      <c r="FS167" s="23"/>
      <c r="FT167" s="23"/>
      <c r="FU167" s="23"/>
      <c r="FV167" s="23"/>
      <c r="FW167" s="23"/>
      <c r="FX167" s="23"/>
      <c r="FY167" s="23"/>
      <c r="FZ167" s="23"/>
      <c r="GA167" s="23"/>
      <c r="GB167" s="23"/>
      <c r="GC167" s="23"/>
      <c r="GD167" s="23"/>
      <c r="GE167" s="23"/>
      <c r="GF167" s="23"/>
      <c r="GG167" s="23"/>
      <c r="GH167" s="23"/>
      <c r="GI167" s="23"/>
      <c r="GJ167" s="23"/>
      <c r="GK167" s="23"/>
      <c r="GL167" s="23"/>
      <c r="GM167" s="23"/>
      <c r="GN167" s="23"/>
      <c r="GO167" s="23"/>
      <c r="GP167" s="23"/>
      <c r="GQ167" s="23"/>
      <c r="GR167" s="23"/>
      <c r="GS167" s="23"/>
      <c r="GT167" s="23"/>
      <c r="GU167" s="23"/>
      <c r="GV167" s="23"/>
      <c r="GW167" s="23"/>
      <c r="GX167" s="23"/>
      <c r="GY167" s="23"/>
      <c r="GZ167" s="23"/>
      <c r="HA167" s="23"/>
      <c r="HB167" s="23"/>
      <c r="HC167" s="23"/>
      <c r="HD167" s="23"/>
      <c r="HE167" s="23"/>
      <c r="HF167" s="23"/>
      <c r="HG167" s="23"/>
      <c r="HH167" s="23"/>
      <c r="HI167" s="23"/>
      <c r="HJ167" s="23"/>
      <c r="HK167" s="23"/>
      <c r="HL167" s="23"/>
      <c r="HM167" s="23"/>
      <c r="HN167" s="23"/>
      <c r="HO167" s="23"/>
      <c r="HP167" s="23"/>
      <c r="HQ167" s="23"/>
      <c r="HR167" s="23"/>
      <c r="HS167" s="23"/>
      <c r="HT167" s="23"/>
      <c r="HU167" s="23"/>
      <c r="HV167" s="23"/>
      <c r="HW167" s="23"/>
      <c r="HX167" s="23"/>
      <c r="HY167" s="23"/>
      <c r="HZ167" s="23"/>
      <c r="IA167" s="23"/>
      <c r="IB167" s="23"/>
      <c r="IC167" s="23"/>
      <c r="ID167" s="23"/>
      <c r="IE167" s="23"/>
      <c r="IF167" s="23"/>
      <c r="IG167" s="23"/>
      <c r="IH167" s="23"/>
      <c r="II167" s="23"/>
      <c r="IJ167" s="23"/>
      <c r="IK167" s="23"/>
      <c r="IL167" s="23"/>
      <c r="IM167" s="23"/>
      <c r="IN167" s="23"/>
      <c r="IO167" s="23"/>
      <c r="IP167" s="23"/>
      <c r="IQ167" s="23"/>
      <c r="IR167" s="23"/>
      <c r="IS167" s="23"/>
      <c r="IT167" s="23"/>
      <c r="IU167" s="23"/>
      <c r="IV167" s="23"/>
      <c r="IW167" s="23"/>
      <c r="IX167" s="23"/>
    </row>
    <row r="168" spans="1:259" s="2" customFormat="1" ht="13.5" customHeight="1">
      <c r="A168" s="54"/>
      <c r="B168" s="54"/>
      <c r="C168" s="81" t="s">
        <v>1399</v>
      </c>
      <c r="D168" s="3" t="s">
        <v>1057</v>
      </c>
      <c r="E168" s="3" t="s">
        <v>1027</v>
      </c>
      <c r="G168" s="141"/>
      <c r="H168" s="591"/>
      <c r="I168" s="591"/>
      <c r="J168" s="591"/>
      <c r="K168" s="1087"/>
      <c r="L168" s="1285">
        <f t="shared" ref="L168" si="101">K171</f>
        <v>1772.4490000000001</v>
      </c>
      <c r="M168" s="1285">
        <f t="shared" ref="M168" si="102">L171</f>
        <v>1847.5173747012748</v>
      </c>
      <c r="N168" s="1285">
        <f t="shared" ref="N168" si="103">M171</f>
        <v>1939.2583092108644</v>
      </c>
      <c r="O168" s="1285">
        <f t="shared" ref="O168" si="104">N171</f>
        <v>2051.884345453343</v>
      </c>
      <c r="P168" s="1285">
        <f t="shared" ref="P168" si="105">O171</f>
        <v>2191.8894519387491</v>
      </c>
      <c r="Q168" s="1285">
        <f t="shared" ref="Q168" si="106">P171</f>
        <v>2366.9325086114977</v>
      </c>
      <c r="R168" s="1285">
        <f t="shared" ref="R168" si="107">Q171</f>
        <v>2587.2053608157289</v>
      </c>
      <c r="S168" s="1285">
        <f t="shared" ref="S168" si="108">R171</f>
        <v>2867.6978761018286</v>
      </c>
      <c r="U168" s="93">
        <v>1</v>
      </c>
      <c r="V168" s="24">
        <v>1</v>
      </c>
    </row>
    <row r="169" spans="1:259" s="2" customFormat="1" ht="13.5" customHeight="1">
      <c r="A169" s="54"/>
      <c r="B169" s="54"/>
      <c r="C169" s="81" t="s">
        <v>1400</v>
      </c>
      <c r="D169" s="3" t="s">
        <v>1057</v>
      </c>
      <c r="E169" s="3" t="s">
        <v>1290</v>
      </c>
      <c r="G169" s="136"/>
      <c r="H169" s="591"/>
      <c r="I169" s="591"/>
      <c r="J169" s="591"/>
      <c r="K169" s="1087"/>
      <c r="L169" s="889">
        <f>'DCF - Assumptions'!L202</f>
        <v>0</v>
      </c>
      <c r="M169" s="889">
        <f>'DCF - Assumptions'!M202</f>
        <v>0</v>
      </c>
      <c r="N169" s="889">
        <f>'DCF - Assumptions'!N202</f>
        <v>0</v>
      </c>
      <c r="O169" s="889">
        <f>'DCF - Assumptions'!O202</f>
        <v>0</v>
      </c>
      <c r="P169" s="889">
        <f>'DCF - Assumptions'!P202</f>
        <v>0</v>
      </c>
      <c r="Q169" s="889">
        <f>'DCF - Assumptions'!Q202</f>
        <v>0</v>
      </c>
      <c r="R169" s="889">
        <f>'DCF - Assumptions'!R202</f>
        <v>0</v>
      </c>
      <c r="S169" s="889">
        <f>'DCF - Assumptions'!S202</f>
        <v>0</v>
      </c>
      <c r="U169" s="93">
        <v>1</v>
      </c>
      <c r="V169" s="24">
        <v>1</v>
      </c>
    </row>
    <row r="170" spans="1:259" s="2" customFormat="1" ht="13.5" customHeight="1">
      <c r="A170" s="54"/>
      <c r="B170" s="54"/>
      <c r="C170" s="81" t="s">
        <v>1401</v>
      </c>
      <c r="D170" s="3" t="s">
        <v>1057</v>
      </c>
      <c r="E170" s="3" t="s">
        <v>1027</v>
      </c>
      <c r="G170" s="141"/>
      <c r="H170" s="591"/>
      <c r="I170" s="591"/>
      <c r="J170" s="591"/>
      <c r="K170" s="1087"/>
      <c r="L170" s="1285">
        <f>'DCF - Assumptions'!L206</f>
        <v>75.068374701274792</v>
      </c>
      <c r="M170" s="1285">
        <f>'DCF - Assumptions'!M206</f>
        <v>91.740934509589522</v>
      </c>
      <c r="N170" s="1285">
        <f>'DCF - Assumptions'!N206</f>
        <v>112.62603624247861</v>
      </c>
      <c r="O170" s="1285">
        <f>'DCF - Assumptions'!O206</f>
        <v>140.00510648540612</v>
      </c>
      <c r="P170" s="1285">
        <f>'DCF - Assumptions'!P206</f>
        <v>175.04305667274855</v>
      </c>
      <c r="Q170" s="1285">
        <f>'DCF - Assumptions'!Q206</f>
        <v>220.27285220423101</v>
      </c>
      <c r="R170" s="1285">
        <f>'DCF - Assumptions'!R206</f>
        <v>280.49251528609983</v>
      </c>
      <c r="S170" s="1285">
        <f>'DCF - Assumptions'!S206</f>
        <v>356.24506441529678</v>
      </c>
      <c r="U170" s="93">
        <v>1</v>
      </c>
      <c r="V170" s="24">
        <v>1</v>
      </c>
    </row>
    <row r="171" spans="1:259" s="2" customFormat="1" ht="13.5" customHeight="1">
      <c r="A171" s="54"/>
      <c r="B171" s="54"/>
      <c r="C171" s="101" t="s">
        <v>1402</v>
      </c>
      <c r="D171" s="32" t="s">
        <v>1057</v>
      </c>
      <c r="E171" s="32" t="s">
        <v>1027</v>
      </c>
      <c r="F171" s="30"/>
      <c r="G171" s="140"/>
      <c r="H171" s="138"/>
      <c r="I171" s="138"/>
      <c r="J171" s="138"/>
      <c r="K171" s="138">
        <f>'DCF - Financials'!K145</f>
        <v>1772.4490000000001</v>
      </c>
      <c r="L171" s="1286">
        <f t="shared" ref="L171:S171" si="109">SUM(L168:L170)</f>
        <v>1847.5173747012748</v>
      </c>
      <c r="M171" s="1286">
        <f t="shared" si="109"/>
        <v>1939.2583092108644</v>
      </c>
      <c r="N171" s="1286">
        <f t="shared" si="109"/>
        <v>2051.884345453343</v>
      </c>
      <c r="O171" s="1286">
        <f t="shared" si="109"/>
        <v>2191.8894519387491</v>
      </c>
      <c r="P171" s="1286">
        <f t="shared" si="109"/>
        <v>2366.9325086114977</v>
      </c>
      <c r="Q171" s="1286">
        <f t="shared" si="109"/>
        <v>2587.2053608157289</v>
      </c>
      <c r="R171" s="1286">
        <f t="shared" si="109"/>
        <v>2867.6978761018286</v>
      </c>
      <c r="S171" s="1286">
        <f t="shared" si="109"/>
        <v>3223.9429405171254</v>
      </c>
      <c r="U171" s="93">
        <v>1</v>
      </c>
      <c r="V171" s="24">
        <v>1</v>
      </c>
    </row>
    <row r="172" spans="1:259" s="2" customFormat="1" ht="13.5" customHeight="1">
      <c r="A172" s="54"/>
      <c r="B172" s="54"/>
      <c r="C172" s="861"/>
      <c r="D172" s="3"/>
      <c r="E172" s="3"/>
      <c r="F172" s="3"/>
      <c r="G172" s="3"/>
      <c r="H172" s="95"/>
      <c r="I172" s="3"/>
      <c r="J172" s="95"/>
      <c r="K172" s="95"/>
      <c r="L172" s="95"/>
      <c r="M172" s="95"/>
      <c r="N172" s="95"/>
      <c r="O172" s="95"/>
      <c r="P172" s="95"/>
      <c r="Q172" s="95"/>
      <c r="R172" s="95"/>
      <c r="S172" s="95"/>
      <c r="U172" s="93">
        <v>0</v>
      </c>
      <c r="V172" s="24">
        <v>0</v>
      </c>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row>
    <row r="173" spans="1:259" s="2" customFormat="1" ht="13.5" customHeight="1">
      <c r="A173" s="54"/>
      <c r="B173" s="54"/>
      <c r="C173" s="135" t="s">
        <v>1403</v>
      </c>
      <c r="D173" s="3" t="s">
        <v>1057</v>
      </c>
      <c r="E173" s="3" t="s">
        <v>1027</v>
      </c>
      <c r="F173" s="3"/>
      <c r="G173" s="905"/>
      <c r="H173" s="905">
        <f>G179</f>
        <v>23.352</v>
      </c>
      <c r="I173" s="905">
        <f t="shared" ref="I173:S173" si="110">H179</f>
        <v>0</v>
      </c>
      <c r="J173" s="905">
        <f t="shared" si="110"/>
        <v>-60.125</v>
      </c>
      <c r="K173" s="905">
        <f t="shared" si="110"/>
        <v>-139.87100000000001</v>
      </c>
      <c r="L173" s="889">
        <f>K179</f>
        <v>-144.084</v>
      </c>
      <c r="M173" s="889">
        <f t="shared" si="110"/>
        <v>-294.55484202939942</v>
      </c>
      <c r="N173" s="889">
        <f t="shared" si="110"/>
        <v>-508.65615341311332</v>
      </c>
      <c r="O173" s="889">
        <f t="shared" si="110"/>
        <v>-765.22873585803927</v>
      </c>
      <c r="P173" s="889">
        <f t="shared" si="110"/>
        <v>-1022.7810838261496</v>
      </c>
      <c r="Q173" s="889">
        <f t="shared" si="110"/>
        <v>-1323.4933206913429</v>
      </c>
      <c r="R173" s="889">
        <f t="shared" si="110"/>
        <v>-1729.7758655420598</v>
      </c>
      <c r="S173" s="889">
        <f t="shared" si="110"/>
        <v>-2243.9078736731294</v>
      </c>
      <c r="U173" s="93">
        <v>1</v>
      </c>
      <c r="V173" s="24">
        <v>1</v>
      </c>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row>
    <row r="174" spans="1:259" s="2" customFormat="1" ht="13.5" customHeight="1">
      <c r="A174" s="54"/>
      <c r="B174" s="54"/>
      <c r="C174" s="139" t="s">
        <v>1404</v>
      </c>
      <c r="D174" s="32" t="s">
        <v>1057</v>
      </c>
      <c r="E174" s="32" t="s">
        <v>1027</v>
      </c>
      <c r="F174" s="32"/>
      <c r="G174" s="906"/>
      <c r="H174" s="907">
        <f>'DCF - Financials'!H37</f>
        <v>-145.46699999999996</v>
      </c>
      <c r="I174" s="907">
        <f>'DCF - Financials'!I37</f>
        <v>309.815</v>
      </c>
      <c r="J174" s="907">
        <f>'DCF - Financials'!J37</f>
        <v>-79.745999999999938</v>
      </c>
      <c r="K174" s="907">
        <f>'DCF - Financials'!K37</f>
        <v>-4.2130000000001786</v>
      </c>
      <c r="L174" s="909">
        <f>'DCF - Financials'!L37</f>
        <v>-150.47084202939939</v>
      </c>
      <c r="M174" s="909">
        <f>'DCF - Financials'!M37</f>
        <v>-214.10131138371386</v>
      </c>
      <c r="N174" s="909">
        <f>'DCF - Financials'!N37</f>
        <v>-256.5725824449259</v>
      </c>
      <c r="O174" s="909">
        <f>'DCF - Financials'!O37</f>
        <v>-257.55234796811038</v>
      </c>
      <c r="P174" s="909">
        <f>'DCF - Financials'!P37</f>
        <v>-300.7122368651934</v>
      </c>
      <c r="Q174" s="909">
        <f>'DCF - Financials'!Q37</f>
        <v>-406.28254485071682</v>
      </c>
      <c r="R174" s="909">
        <f>'DCF - Financials'!R37</f>
        <v>-514.1320081310696</v>
      </c>
      <c r="S174" s="909">
        <f>'DCF - Financials'!S37</f>
        <v>-622.07732161930346</v>
      </c>
      <c r="U174" s="93">
        <v>1</v>
      </c>
      <c r="V174" s="24">
        <v>1</v>
      </c>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row>
    <row r="175" spans="1:259" s="2" customFormat="1" ht="13.5" customHeight="1">
      <c r="A175" s="54"/>
      <c r="B175" s="54"/>
      <c r="C175" s="135" t="s">
        <v>1405</v>
      </c>
      <c r="D175" s="3" t="s">
        <v>1057</v>
      </c>
      <c r="E175" s="3" t="s">
        <v>1027</v>
      </c>
      <c r="F175" s="3"/>
      <c r="G175" s="912"/>
      <c r="H175" s="913">
        <v>0</v>
      </c>
      <c r="I175" s="913">
        <v>0</v>
      </c>
      <c r="J175" s="913">
        <v>0</v>
      </c>
      <c r="K175" s="913">
        <v>0</v>
      </c>
      <c r="L175" s="889">
        <v>0</v>
      </c>
      <c r="M175" s="889">
        <v>0</v>
      </c>
      <c r="N175" s="889">
        <v>0</v>
      </c>
      <c r="O175" s="889">
        <v>0</v>
      </c>
      <c r="P175" s="889">
        <v>0</v>
      </c>
      <c r="Q175" s="889">
        <v>0</v>
      </c>
      <c r="R175" s="889">
        <v>0</v>
      </c>
      <c r="S175" s="889">
        <v>0</v>
      </c>
      <c r="U175" s="93">
        <v>1</v>
      </c>
      <c r="V175" s="24">
        <v>1</v>
      </c>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row>
    <row r="176" spans="1:259" s="2" customFormat="1" ht="13.5" customHeight="1">
      <c r="A176" s="54"/>
      <c r="B176" s="54"/>
      <c r="C176" s="135" t="s">
        <v>951</v>
      </c>
      <c r="D176" s="3" t="s">
        <v>1057</v>
      </c>
      <c r="E176" s="3" t="s">
        <v>1027</v>
      </c>
      <c r="F176" s="3"/>
      <c r="G176" s="912"/>
      <c r="H176" s="905">
        <f>'DCF - Financials'!H88</f>
        <v>-360</v>
      </c>
      <c r="I176" s="905">
        <f>'DCF - Financials'!I88</f>
        <v>0</v>
      </c>
      <c r="J176" s="905">
        <f>'DCF - Financials'!J88</f>
        <v>0</v>
      </c>
      <c r="K176" s="905">
        <f>'DCF - Financials'!K88</f>
        <v>0</v>
      </c>
      <c r="L176" s="889">
        <f>'DCF - Assumptions'!L211</f>
        <v>0</v>
      </c>
      <c r="M176" s="889">
        <f>'DCF - Assumptions'!M211</f>
        <v>0</v>
      </c>
      <c r="N176" s="889">
        <f>'DCF - Assumptions'!N211</f>
        <v>0</v>
      </c>
      <c r="O176" s="889">
        <f>'DCF - Assumptions'!O211</f>
        <v>0</v>
      </c>
      <c r="P176" s="889">
        <f>'DCF - Assumptions'!P211</f>
        <v>0</v>
      </c>
      <c r="Q176" s="889">
        <f>'DCF - Assumptions'!Q211</f>
        <v>0</v>
      </c>
      <c r="R176" s="889">
        <f>'DCF - Assumptions'!R211</f>
        <v>0</v>
      </c>
      <c r="S176" s="889">
        <f>'DCF - Assumptions'!S211</f>
        <v>0</v>
      </c>
      <c r="U176" s="93">
        <v>1</v>
      </c>
      <c r="V176" s="24">
        <v>1</v>
      </c>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row>
    <row r="177" spans="1:259" s="2" customFormat="1" ht="13.5" customHeight="1">
      <c r="A177" s="54"/>
      <c r="B177" s="54"/>
      <c r="C177" s="135" t="s">
        <v>1406</v>
      </c>
      <c r="D177" s="3" t="s">
        <v>1057</v>
      </c>
      <c r="E177" s="3" t="s">
        <v>1342</v>
      </c>
      <c r="F177" s="3"/>
      <c r="G177" s="908"/>
      <c r="H177" s="137">
        <f>-H163</f>
        <v>360</v>
      </c>
      <c r="I177" s="137">
        <f>-I163</f>
        <v>0</v>
      </c>
      <c r="J177" s="137">
        <f>-J163</f>
        <v>0</v>
      </c>
      <c r="K177" s="137">
        <f>-K163</f>
        <v>0</v>
      </c>
      <c r="L177" s="889">
        <f t="shared" ref="L177:S177" si="111">L135</f>
        <v>0</v>
      </c>
      <c r="M177" s="889">
        <f t="shared" si="111"/>
        <v>0</v>
      </c>
      <c r="N177" s="889">
        <f t="shared" si="111"/>
        <v>0</v>
      </c>
      <c r="O177" s="889">
        <f t="shared" si="111"/>
        <v>0</v>
      </c>
      <c r="P177" s="889">
        <f t="shared" si="111"/>
        <v>0</v>
      </c>
      <c r="Q177" s="889">
        <f t="shared" si="111"/>
        <v>0</v>
      </c>
      <c r="R177" s="889">
        <f t="shared" si="111"/>
        <v>0</v>
      </c>
      <c r="S177" s="889">
        <f t="shared" si="111"/>
        <v>0</v>
      </c>
      <c r="U177" s="93">
        <v>1</v>
      </c>
      <c r="V177" s="24">
        <v>1</v>
      </c>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row>
    <row r="178" spans="1:259" s="2" customFormat="1" ht="13.5" customHeight="1">
      <c r="A178" s="54"/>
      <c r="B178" s="54"/>
      <c r="C178" s="1100" t="s">
        <v>1407</v>
      </c>
      <c r="D178" s="1091" t="s">
        <v>1057</v>
      </c>
      <c r="E178" s="1091" t="s">
        <v>1027</v>
      </c>
      <c r="F178" s="1112"/>
      <c r="G178" s="908"/>
      <c r="H178" s="1113">
        <f t="shared" ref="H178:J178" si="112">H179-SUM(H173:H177)</f>
        <v>122.11499999999995</v>
      </c>
      <c r="I178" s="1113">
        <f t="shared" si="112"/>
        <v>-369.94</v>
      </c>
      <c r="J178" s="1113">
        <f t="shared" si="112"/>
        <v>0</v>
      </c>
      <c r="K178" s="1113">
        <f>K179-SUM(K173:K177)</f>
        <v>0</v>
      </c>
      <c r="L178" s="1114">
        <v>0</v>
      </c>
      <c r="M178" s="1114">
        <v>0</v>
      </c>
      <c r="N178" s="1114">
        <v>0</v>
      </c>
      <c r="O178" s="1114">
        <v>0</v>
      </c>
      <c r="P178" s="1114">
        <v>0</v>
      </c>
      <c r="Q178" s="1114">
        <v>0</v>
      </c>
      <c r="R178" s="1114">
        <v>0</v>
      </c>
      <c r="S178" s="1114">
        <v>0</v>
      </c>
      <c r="U178" s="93">
        <v>1</v>
      </c>
      <c r="V178" s="24">
        <v>1</v>
      </c>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row>
    <row r="179" spans="1:259" s="2" customFormat="1" ht="13.5" customHeight="1">
      <c r="A179" s="54"/>
      <c r="B179" s="54"/>
      <c r="C179" s="135" t="s">
        <v>1408</v>
      </c>
      <c r="D179" s="3" t="s">
        <v>1057</v>
      </c>
      <c r="E179" s="3" t="s">
        <v>1027</v>
      </c>
      <c r="F179" s="3"/>
      <c r="G179" s="906">
        <f>'DCF - Financials'!G147</f>
        <v>23.352</v>
      </c>
      <c r="H179" s="906">
        <f>'DCF - Financials'!H147</f>
        <v>0</v>
      </c>
      <c r="I179" s="906">
        <f>'DCF - Financials'!I147</f>
        <v>-60.125</v>
      </c>
      <c r="J179" s="906">
        <f>'DCF - Financials'!J147</f>
        <v>-139.87100000000001</v>
      </c>
      <c r="K179" s="906">
        <f>'DCF - Financials'!K147</f>
        <v>-144.084</v>
      </c>
      <c r="L179" s="910">
        <f t="shared" ref="L179:S179" si="113">SUM(L173:L178)</f>
        <v>-294.55484202939942</v>
      </c>
      <c r="M179" s="910">
        <f t="shared" si="113"/>
        <v>-508.65615341311332</v>
      </c>
      <c r="N179" s="910">
        <f t="shared" si="113"/>
        <v>-765.22873585803927</v>
      </c>
      <c r="O179" s="910">
        <f t="shared" si="113"/>
        <v>-1022.7810838261496</v>
      </c>
      <c r="P179" s="910">
        <f t="shared" si="113"/>
        <v>-1323.4933206913429</v>
      </c>
      <c r="Q179" s="910">
        <f t="shared" si="113"/>
        <v>-1729.7758655420598</v>
      </c>
      <c r="R179" s="910">
        <f t="shared" si="113"/>
        <v>-2243.9078736731294</v>
      </c>
      <c r="S179" s="910">
        <f t="shared" si="113"/>
        <v>-2865.9851952924328</v>
      </c>
      <c r="U179" s="93">
        <v>1</v>
      </c>
      <c r="V179" s="24">
        <v>1</v>
      </c>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row>
    <row r="180" spans="1:259" ht="14.4">
      <c r="U180"/>
      <c r="V180"/>
    </row>
    <row r="188" spans="1:259" ht="14.4" hidden="1">
      <c r="C188" s="875"/>
    </row>
    <row r="189" spans="1:259" ht="14.4" hidden="1">
      <c r="C189" s="875"/>
    </row>
    <row r="190" spans="1:259" ht="14.4" hidden="1">
      <c r="C190"/>
    </row>
    <row r="191" spans="1:259" ht="14.4" hidden="1">
      <c r="C191" s="875"/>
    </row>
    <row r="194" spans="3:3" ht="14.4" hidden="1">
      <c r="C194" s="875"/>
    </row>
    <row r="195" spans="3:3" ht="14.4" hidden="1">
      <c r="C195" s="875"/>
    </row>
    <row r="196" spans="3:3" ht="14.4" hidden="1">
      <c r="C196"/>
    </row>
    <row r="197" spans="3:3" ht="14.4" hidden="1">
      <c r="C197" s="875"/>
    </row>
  </sheetData>
  <conditionalFormatting sqref="L6">
    <cfRule type="cellIs" dxfId="40" priority="4" stopIfTrue="1" operator="equal">
      <formula>#REF!</formula>
    </cfRule>
  </conditionalFormatting>
  <conditionalFormatting sqref="U1:V1 T4">
    <cfRule type="cellIs" dxfId="39" priority="5" operator="equal">
      <formula>"Check"</formula>
    </cfRule>
  </conditionalFormatting>
  <pageMargins left="0.74803149606299213" right="0.74803149606299213" top="0.98425196850393704" bottom="0.98425196850393704" header="0.51181102362204722" footer="0.51181102362204722"/>
  <pageSetup orientation="portrait" horizontalDpi="200" verticalDpi="200" r:id="rId1"/>
  <headerFooter alignWithMargins="0">
    <oddFooter>&amp;LIB-Competition Preliminary Case&amp;RPage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rgb="FF86654A"/>
  </sheetPr>
  <dimension ref="A1:CV50"/>
  <sheetViews>
    <sheetView showGridLines="0" topLeftCell="A6" zoomScale="152" zoomScaleSheetLayoutView="100" workbookViewId="0">
      <selection activeCell="S25" sqref="S25"/>
    </sheetView>
  </sheetViews>
  <sheetFormatPr defaultColWidth="0" defaultRowHeight="13.2" zeroHeight="1"/>
  <cols>
    <col min="1" max="1" width="2.44140625" style="2" customWidth="1"/>
    <col min="2" max="2" width="0.44140625" style="2" customWidth="1"/>
    <col min="3" max="3" width="35.44140625" style="2" customWidth="1"/>
    <col min="4" max="4" width="12.44140625" style="2" customWidth="1"/>
    <col min="5" max="6" width="1.44140625" style="2" customWidth="1"/>
    <col min="7" max="19" width="6.44140625" style="2" customWidth="1"/>
    <col min="20" max="20" width="3.33203125" style="2" customWidth="1"/>
    <col min="21" max="21" width="4.44140625" style="2" customWidth="1"/>
    <col min="22" max="22" width="3.44140625" style="2" customWidth="1"/>
    <col min="23" max="23" width="2.44140625" style="2" customWidth="1"/>
    <col min="24" max="24" width="0" style="2" hidden="1" customWidth="1"/>
    <col min="25" max="16384" width="9.44140625" style="2" hidden="1"/>
  </cols>
  <sheetData>
    <row r="1" spans="1:100" s="26" customFormat="1">
      <c r="A1" s="36"/>
      <c r="B1" s="36" t="str">
        <f>'DCF - Assumptions (old)'!$F$8&amp;" | Discounted Cash Flows - Valuation"</f>
        <v>Bumble INC | Discounted Cash Flows - Valuation</v>
      </c>
      <c r="C1" s="35"/>
      <c r="U1" s="34" t="str">
        <f>IF(U5=V5,"OK","Check")</f>
        <v>OK</v>
      </c>
      <c r="V1" s="34" t="str">
        <f>IF(U6=V6,"OK","Check")</f>
        <v>Check</v>
      </c>
    </row>
    <row r="2" spans="1:100" s="32" customFormat="1" ht="2.25" customHeight="1">
      <c r="A2" s="33"/>
      <c r="B2" s="33"/>
      <c r="T2" s="31"/>
      <c r="U2" s="30"/>
      <c r="V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spans="1:100" s="28" customFormat="1" ht="3" customHeight="1">
      <c r="A3" s="29"/>
      <c r="B3" s="29"/>
      <c r="T3" s="27"/>
      <c r="U3" s="26"/>
      <c r="V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row>
    <row r="4" spans="1:100" s="3" customFormat="1" ht="15.6" collapsed="1">
      <c r="A4" s="190"/>
      <c r="B4" s="190"/>
      <c r="P4" s="2"/>
      <c r="Q4" s="2"/>
      <c r="R4" s="2"/>
      <c r="S4" s="2"/>
      <c r="T4" s="133"/>
    </row>
    <row r="5" spans="1:100">
      <c r="C5" s="1147" t="s">
        <v>1409</v>
      </c>
      <c r="D5" s="1148"/>
      <c r="E5" s="1148"/>
      <c r="F5" s="1148"/>
      <c r="G5" s="1148"/>
      <c r="H5" s="1148"/>
      <c r="I5" s="1148"/>
      <c r="J5" s="1148"/>
      <c r="K5" s="1148"/>
      <c r="L5" s="1148"/>
      <c r="M5" s="1148"/>
      <c r="N5" s="1148"/>
      <c r="O5" s="1148"/>
      <c r="P5" s="1148"/>
      <c r="Q5" s="1148"/>
      <c r="R5" s="1148"/>
      <c r="S5" s="1148"/>
      <c r="T5" s="19"/>
      <c r="U5" s="42">
        <f>ROWS(C5:C48)</f>
        <v>44</v>
      </c>
      <c r="V5" s="24">
        <v>44</v>
      </c>
    </row>
    <row r="6" spans="1:100" ht="13.5" customHeight="1">
      <c r="C6" s="174"/>
      <c r="D6" s="174"/>
      <c r="E6" s="7"/>
      <c r="F6" s="7"/>
      <c r="G6" s="7"/>
      <c r="H6"/>
      <c r="I6"/>
      <c r="J6"/>
      <c r="K6"/>
      <c r="L6"/>
      <c r="M6"/>
      <c r="N6"/>
      <c r="O6"/>
      <c r="P6"/>
      <c r="Q6"/>
      <c r="R6"/>
      <c r="S6"/>
      <c r="T6" s="3"/>
      <c r="U6" s="42">
        <f>SUM(U7:U48)</f>
        <v>37</v>
      </c>
      <c r="V6" s="24">
        <v>36</v>
      </c>
    </row>
    <row r="7" spans="1:100" ht="13.5" customHeight="1">
      <c r="A7" s="3"/>
      <c r="B7" s="3"/>
      <c r="C7" s="404" t="s">
        <v>1410</v>
      </c>
      <c r="D7" s="404"/>
      <c r="E7" s="7"/>
      <c r="F7" s="179"/>
      <c r="G7"/>
      <c r="H7"/>
      <c r="I7"/>
      <c r="J7"/>
      <c r="K7"/>
      <c r="L7"/>
      <c r="M7" s="404" t="s">
        <v>1411</v>
      </c>
      <c r="N7" s="405"/>
      <c r="O7" s="405"/>
      <c r="P7" s="405"/>
      <c r="Q7" s="405"/>
      <c r="R7" s="405"/>
      <c r="S7" s="406"/>
      <c r="U7" s="42">
        <f t="shared" ref="U7:U48" si="0">IF(NOT(ISBLANK(C7)), 1, 0)</f>
        <v>1</v>
      </c>
      <c r="V7" s="4">
        <v>1</v>
      </c>
    </row>
    <row r="8" spans="1:100" ht="13.5" customHeight="1">
      <c r="A8" s="3"/>
      <c r="B8" s="3"/>
      <c r="C8" s="7" t="s">
        <v>1162</v>
      </c>
      <c r="D8" s="189">
        <v>4.2500000000000003E-2</v>
      </c>
      <c r="E8" s="7"/>
      <c r="F8" s="179"/>
      <c r="G8"/>
      <c r="H8"/>
      <c r="I8"/>
      <c r="J8"/>
      <c r="K8"/>
      <c r="L8"/>
      <c r="M8" s="11" t="s">
        <v>1412</v>
      </c>
      <c r="N8" s="3"/>
      <c r="O8" s="3"/>
      <c r="P8" s="3"/>
      <c r="Q8" s="58" t="s">
        <v>1413</v>
      </c>
      <c r="R8" s="472">
        <v>1</v>
      </c>
      <c r="S8" s="188">
        <v>8.9</v>
      </c>
      <c r="U8" s="42">
        <f t="shared" si="0"/>
        <v>1</v>
      </c>
      <c r="V8" s="4">
        <v>1</v>
      </c>
    </row>
    <row r="9" spans="1:100" ht="13.5" customHeight="1">
      <c r="C9" s="181" t="s">
        <v>1164</v>
      </c>
      <c r="D9" s="183">
        <v>0.154</v>
      </c>
      <c r="E9" s="7"/>
      <c r="F9" s="179"/>
      <c r="G9"/>
      <c r="H9"/>
      <c r="I9"/>
      <c r="J9"/>
      <c r="K9"/>
      <c r="L9"/>
      <c r="M9" s="11" t="s">
        <v>1414</v>
      </c>
      <c r="N9" s="3"/>
      <c r="O9" s="3"/>
      <c r="P9" s="3"/>
      <c r="Q9" s="3"/>
      <c r="R9" s="3"/>
      <c r="S9" s="606">
        <f>S34</f>
        <v>434.01374076047722</v>
      </c>
      <c r="U9" s="42">
        <f t="shared" si="0"/>
        <v>1</v>
      </c>
      <c r="V9" s="4">
        <v>1</v>
      </c>
    </row>
    <row r="10" spans="1:100" ht="13.5" customHeight="1">
      <c r="A10" s="3"/>
      <c r="B10" s="3"/>
      <c r="C10" s="7" t="s">
        <v>1166</v>
      </c>
      <c r="D10" s="611">
        <f>D9-D8</f>
        <v>0.11149999999999999</v>
      </c>
      <c r="E10" s="7"/>
      <c r="F10" s="179"/>
      <c r="G10"/>
      <c r="H10"/>
      <c r="I10"/>
      <c r="J10"/>
      <c r="K10"/>
      <c r="L10"/>
      <c r="M10" s="11" t="s">
        <v>1415</v>
      </c>
      <c r="R10" s="958">
        <f>1-R8</f>
        <v>0</v>
      </c>
      <c r="S10" s="188">
        <v>2.6</v>
      </c>
      <c r="U10" s="42">
        <f t="shared" si="0"/>
        <v>1</v>
      </c>
      <c r="V10" s="4">
        <v>1</v>
      </c>
    </row>
    <row r="11" spans="1:100" ht="13.5" customHeight="1">
      <c r="C11" s="1124" t="s">
        <v>1168</v>
      </c>
      <c r="D11" s="1125">
        <v>1.63</v>
      </c>
      <c r="E11" s="7"/>
      <c r="F11" s="179"/>
      <c r="G11"/>
      <c r="H11"/>
      <c r="I11"/>
      <c r="J11"/>
      <c r="K11"/>
      <c r="L11"/>
      <c r="M11" s="11" t="s">
        <v>1416</v>
      </c>
      <c r="S11" s="606">
        <f>S31</f>
        <v>6065.9628035452497</v>
      </c>
      <c r="U11" s="42">
        <f t="shared" si="0"/>
        <v>1</v>
      </c>
      <c r="V11" s="4">
        <v>1</v>
      </c>
    </row>
    <row r="12" spans="1:100" ht="13.5" customHeight="1">
      <c r="A12" s="3"/>
      <c r="B12" s="3"/>
      <c r="C12" s="185" t="s">
        <v>1417</v>
      </c>
      <c r="D12" s="612">
        <f>D8+D10*D11</f>
        <v>0.22424499999999997</v>
      </c>
      <c r="E12" s="7"/>
      <c r="F12" s="179"/>
      <c r="G12"/>
      <c r="H12"/>
      <c r="I12"/>
      <c r="J12"/>
      <c r="K12"/>
      <c r="L12"/>
      <c r="M12" s="186" t="s">
        <v>1418</v>
      </c>
      <c r="N12" s="3"/>
      <c r="O12" s="3"/>
      <c r="P12" s="3"/>
      <c r="Q12" s="3"/>
      <c r="R12" s="3"/>
      <c r="S12" s="606">
        <f>S9*S8</f>
        <v>3862.7222927682474</v>
      </c>
      <c r="U12" s="42">
        <f t="shared" si="0"/>
        <v>1</v>
      </c>
      <c r="V12" s="4">
        <v>1</v>
      </c>
    </row>
    <row r="13" spans="1:100" ht="13.5" customHeight="1">
      <c r="A13" s="3"/>
      <c r="B13" s="3"/>
      <c r="C13" s="181" t="s">
        <v>1172</v>
      </c>
      <c r="D13" s="187">
        <v>7.9000000000000001E-2</v>
      </c>
      <c r="E13" s="7"/>
      <c r="F13" s="179"/>
      <c r="G13"/>
      <c r="H13"/>
      <c r="I13"/>
      <c r="J13"/>
      <c r="K13"/>
      <c r="L13"/>
      <c r="M13" s="11" t="s">
        <v>1419</v>
      </c>
      <c r="N13" s="3"/>
      <c r="O13" s="3"/>
      <c r="P13" s="3"/>
      <c r="Q13" s="3"/>
      <c r="R13" s="3"/>
      <c r="S13" s="609">
        <f>S12*S47</f>
        <v>1318.3912334143372</v>
      </c>
      <c r="U13" s="42">
        <f t="shared" si="0"/>
        <v>1</v>
      </c>
      <c r="V13" s="4">
        <v>1</v>
      </c>
    </row>
    <row r="14" spans="1:100" ht="13.5" customHeight="1">
      <c r="C14" s="1126" t="s">
        <v>1111</v>
      </c>
      <c r="D14" s="1127">
        <v>0.21</v>
      </c>
      <c r="E14" s="7"/>
      <c r="F14" s="179"/>
      <c r="G14"/>
      <c r="H14"/>
      <c r="I14"/>
      <c r="J14"/>
      <c r="K14"/>
      <c r="L14"/>
      <c r="M14" s="184" t="s">
        <v>1420</v>
      </c>
      <c r="N14" s="3"/>
      <c r="O14" s="3"/>
      <c r="P14" s="3"/>
      <c r="Q14" s="3"/>
      <c r="R14" s="3"/>
      <c r="S14" s="610">
        <f>IFERROR(S13/S17,0)</f>
        <v>0.54836703856110036</v>
      </c>
      <c r="U14" s="42">
        <f t="shared" si="0"/>
        <v>1</v>
      </c>
      <c r="V14" s="4">
        <v>1</v>
      </c>
    </row>
    <row r="15" spans="1:100" ht="13.5" customHeight="1">
      <c r="A15" s="3"/>
      <c r="B15" s="3"/>
      <c r="C15" s="185" t="s">
        <v>1421</v>
      </c>
      <c r="D15" s="613">
        <f>D13*(1-D14)</f>
        <v>6.241E-2</v>
      </c>
      <c r="E15" s="7"/>
      <c r="F15" s="179"/>
      <c r="G15"/>
      <c r="H15"/>
      <c r="I15"/>
      <c r="J15"/>
      <c r="K15"/>
      <c r="L15"/>
      <c r="M15" s="9" t="s">
        <v>1422</v>
      </c>
      <c r="N15" s="3"/>
      <c r="O15" s="3"/>
      <c r="P15" s="3"/>
      <c r="Q15" s="3"/>
      <c r="R15" s="3"/>
      <c r="S15" s="559">
        <f>SUM(L48:S48)</f>
        <v>1085.8218952116254</v>
      </c>
      <c r="U15" s="42">
        <f t="shared" si="0"/>
        <v>1</v>
      </c>
      <c r="V15" s="4">
        <v>1</v>
      </c>
    </row>
    <row r="16" spans="1:100" ht="13.5" customHeight="1">
      <c r="C16" s="181" t="s">
        <v>1177</v>
      </c>
      <c r="D16" s="183">
        <v>0.36</v>
      </c>
      <c r="E16" s="7"/>
      <c r="F16" s="3"/>
      <c r="G16"/>
      <c r="H16"/>
      <c r="I16"/>
      <c r="J16"/>
      <c r="K16"/>
      <c r="L16"/>
      <c r="M16" s="1128" t="s">
        <v>1423</v>
      </c>
      <c r="N16" s="1091"/>
      <c r="O16" s="1091"/>
      <c r="P16" s="1091"/>
      <c r="Q16" s="1091"/>
      <c r="R16" s="1091"/>
      <c r="S16" s="1129">
        <f>IFERROR(S15/S17,0)</f>
        <v>0.45163296143889947</v>
      </c>
      <c r="U16" s="42">
        <f t="shared" si="0"/>
        <v>1</v>
      </c>
      <c r="V16" s="4">
        <v>1</v>
      </c>
    </row>
    <row r="17" spans="1:22" ht="13.5" customHeight="1">
      <c r="A17" s="3"/>
      <c r="B17" s="3"/>
      <c r="C17" s="182" t="s">
        <v>1179</v>
      </c>
      <c r="D17" s="613">
        <f>D15*D16+D12*(1-D16)</f>
        <v>0.16598439999999998</v>
      </c>
      <c r="E17" s="7"/>
      <c r="F17" s="179"/>
      <c r="G17"/>
      <c r="H17"/>
      <c r="I17"/>
      <c r="J17"/>
      <c r="K17"/>
      <c r="L17"/>
      <c r="M17" s="180" t="s">
        <v>1169</v>
      </c>
      <c r="N17" s="3"/>
      <c r="O17" s="3"/>
      <c r="P17" s="3"/>
      <c r="Q17" s="3"/>
      <c r="R17" s="3"/>
      <c r="S17" s="1195">
        <f>S13+S15</f>
        <v>2404.2131286259628</v>
      </c>
      <c r="U17" s="42">
        <f t="shared" si="0"/>
        <v>1</v>
      </c>
      <c r="V17" s="4">
        <v>1</v>
      </c>
    </row>
    <row r="18" spans="1:22" ht="13.5" customHeight="1">
      <c r="A18" s="3"/>
      <c r="B18" s="3"/>
      <c r="C18" s="179"/>
      <c r="D18" s="179"/>
      <c r="E18" s="7"/>
      <c r="F18" s="179"/>
      <c r="G18"/>
      <c r="H18"/>
      <c r="I18"/>
      <c r="J18"/>
      <c r="K18"/>
      <c r="L18"/>
      <c r="M18" s="8" t="s">
        <v>1424</v>
      </c>
      <c r="N18" s="3"/>
      <c r="O18" s="3"/>
      <c r="P18" s="3"/>
      <c r="Q18" s="3"/>
      <c r="R18" s="3"/>
      <c r="S18" s="178">
        <v>631.9</v>
      </c>
      <c r="U18" s="42">
        <f t="shared" si="0"/>
        <v>0</v>
      </c>
      <c r="V18" s="4">
        <v>0</v>
      </c>
    </row>
    <row r="19" spans="1:22" ht="13.5" customHeight="1">
      <c r="C19" s="7"/>
      <c r="E19" s="7"/>
      <c r="F19" s="7"/>
      <c r="G19"/>
      <c r="H19"/>
      <c r="I19"/>
      <c r="J19"/>
      <c r="K19"/>
      <c r="L19"/>
      <c r="M19" s="1130" t="s">
        <v>1425</v>
      </c>
      <c r="N19" s="1091"/>
      <c r="O19" s="1091"/>
      <c r="P19" s="1091"/>
      <c r="Q19" s="1091"/>
      <c r="R19" s="1091"/>
      <c r="S19" s="1118">
        <v>252.05</v>
      </c>
      <c r="U19" s="42">
        <f t="shared" si="0"/>
        <v>0</v>
      </c>
      <c r="V19" s="4">
        <v>0</v>
      </c>
    </row>
    <row r="20" spans="1:22" ht="13.5" customHeight="1">
      <c r="C20" s="3" t="s">
        <v>1426</v>
      </c>
      <c r="D20" s="12">
        <f>'DCF - Assumptions (old)'!F9</f>
        <v>45657</v>
      </c>
      <c r="E20" s="7"/>
      <c r="F20" s="7"/>
      <c r="G20"/>
      <c r="H20"/>
      <c r="I20"/>
      <c r="J20"/>
      <c r="K20"/>
      <c r="L20"/>
      <c r="M20" s="177" t="s">
        <v>464</v>
      </c>
      <c r="N20" s="3"/>
      <c r="O20" s="3"/>
      <c r="P20" s="3"/>
      <c r="Q20" s="3"/>
      <c r="R20" s="3"/>
      <c r="S20" s="989">
        <f>S18-S19</f>
        <v>379.84999999999997</v>
      </c>
      <c r="U20" s="42">
        <f t="shared" si="0"/>
        <v>1</v>
      </c>
      <c r="V20" s="4">
        <v>1</v>
      </c>
    </row>
    <row r="21" spans="1:22" ht="13.5" customHeight="1">
      <c r="C21" s="3" t="s">
        <v>1427</v>
      </c>
      <c r="D21" s="12">
        <f>'DCF - Assumptions (old)'!F18</f>
        <v>45657</v>
      </c>
      <c r="E21" s="7"/>
      <c r="F21" s="7"/>
      <c r="G21"/>
      <c r="H21"/>
      <c r="I21"/>
      <c r="J21"/>
      <c r="K21"/>
      <c r="L21"/>
      <c r="M21" s="177" t="s">
        <v>1173</v>
      </c>
      <c r="N21" s="3"/>
      <c r="O21" s="3"/>
      <c r="P21" s="3"/>
      <c r="Q21" s="3"/>
      <c r="R21" s="3"/>
      <c r="S21" s="608">
        <v>0</v>
      </c>
      <c r="U21" s="42">
        <f t="shared" si="0"/>
        <v>1</v>
      </c>
      <c r="V21" s="4">
        <v>1</v>
      </c>
    </row>
    <row r="22" spans="1:22" ht="13.5" customHeight="1">
      <c r="C22" s="3"/>
      <c r="D22" s="12"/>
      <c r="E22" s="7"/>
      <c r="F22" s="7"/>
      <c r="G22"/>
      <c r="H22"/>
      <c r="I22"/>
      <c r="J22"/>
      <c r="K22"/>
      <c r="L22"/>
      <c r="M22" s="177" t="s">
        <v>1174</v>
      </c>
      <c r="N22" s="3"/>
      <c r="O22" s="3"/>
      <c r="P22" s="3"/>
      <c r="Q22" s="3"/>
      <c r="R22" s="3"/>
      <c r="S22" s="608">
        <v>514.29999999999995</v>
      </c>
      <c r="U22" s="42">
        <f t="shared" si="0"/>
        <v>0</v>
      </c>
      <c r="V22" s="4">
        <v>0</v>
      </c>
    </row>
    <row r="23" spans="1:22" ht="13.5" customHeight="1">
      <c r="C23" s="545" t="s">
        <v>1428</v>
      </c>
      <c r="D23" s="995"/>
      <c r="E23" s="996"/>
      <c r="F23" s="996"/>
      <c r="G23" s="997"/>
      <c r="H23" s="998"/>
      <c r="I23"/>
      <c r="J23"/>
      <c r="K23"/>
      <c r="L23"/>
      <c r="M23" s="177" t="s">
        <v>1429</v>
      </c>
      <c r="N23" s="3"/>
      <c r="O23" s="3"/>
      <c r="P23" s="3"/>
      <c r="Q23" s="3"/>
      <c r="R23" s="3"/>
      <c r="S23" s="559">
        <v>0</v>
      </c>
      <c r="U23" s="42">
        <f t="shared" si="0"/>
        <v>1</v>
      </c>
      <c r="V23" s="4">
        <v>1</v>
      </c>
    </row>
    <row r="24" spans="1:22" ht="13.5" customHeight="1">
      <c r="C24" s="547" t="s">
        <v>1430</v>
      </c>
      <c r="E24" s="7"/>
      <c r="F24" s="7"/>
      <c r="G24" s="7"/>
      <c r="H24" s="1551"/>
      <c r="I24"/>
      <c r="J24"/>
      <c r="K24"/>
      <c r="L24"/>
      <c r="M24" s="176" t="s">
        <v>1178</v>
      </c>
      <c r="N24" s="3"/>
      <c r="O24" s="3"/>
      <c r="P24" s="3"/>
      <c r="Q24" s="3"/>
      <c r="R24" s="3"/>
      <c r="S24" s="614">
        <f>S17-SUM(S20:S22)+S23</f>
        <v>1510.0631286259629</v>
      </c>
      <c r="U24" s="42">
        <f t="shared" si="0"/>
        <v>1</v>
      </c>
      <c r="V24" s="4">
        <v>1</v>
      </c>
    </row>
    <row r="25" spans="1:22" ht="13.5" customHeight="1">
      <c r="C25" s="1594" t="s">
        <v>1431</v>
      </c>
      <c r="D25" s="1595"/>
      <c r="E25" s="1595"/>
      <c r="F25" s="1595"/>
      <c r="G25" s="1595"/>
      <c r="H25" s="1596"/>
      <c r="I25"/>
      <c r="J25"/>
      <c r="K25"/>
      <c r="L25"/>
      <c r="M25" s="3" t="s">
        <v>1432</v>
      </c>
      <c r="N25" s="3"/>
      <c r="O25" s="3"/>
      <c r="P25" s="3"/>
      <c r="Q25" s="3"/>
      <c r="R25" s="3"/>
      <c r="S25" s="608">
        <v>157.34</v>
      </c>
      <c r="U25" s="42">
        <f t="shared" si="0"/>
        <v>1</v>
      </c>
      <c r="V25" s="4">
        <v>0</v>
      </c>
    </row>
    <row r="26" spans="1:22">
      <c r="C26" s="1597"/>
      <c r="D26" s="1598"/>
      <c r="E26" s="1598"/>
      <c r="F26" s="1598"/>
      <c r="G26" s="1598"/>
      <c r="H26" s="1599"/>
      <c r="M26" s="23" t="s">
        <v>1433</v>
      </c>
      <c r="N26" s="3"/>
      <c r="O26" s="3"/>
      <c r="P26" s="3"/>
      <c r="Q26" s="3"/>
      <c r="R26" s="3"/>
      <c r="S26" s="615">
        <f>IFERROR(S24/S25,"")</f>
        <v>9.5974521966821076</v>
      </c>
      <c r="U26" s="42">
        <f t="shared" si="0"/>
        <v>0</v>
      </c>
      <c r="V26" s="4">
        <v>0</v>
      </c>
    </row>
    <row r="27" spans="1:22" ht="14.4">
      <c r="M27" s="23"/>
      <c r="N27" s="3"/>
      <c r="O27" s="3"/>
      <c r="P27" s="3"/>
      <c r="Q27" s="3"/>
      <c r="R27" s="3"/>
      <c r="S27"/>
      <c r="U27" s="42">
        <f t="shared" si="0"/>
        <v>0</v>
      </c>
      <c r="V27" s="4">
        <v>0</v>
      </c>
    </row>
    <row r="28" spans="1:22" ht="13.5" customHeight="1">
      <c r="C28" s="1147" t="s">
        <v>1434</v>
      </c>
      <c r="D28" s="1148"/>
      <c r="E28" s="1148"/>
      <c r="F28" s="1148"/>
      <c r="G28" s="1148"/>
      <c r="H28" s="1148"/>
      <c r="I28" s="1148"/>
      <c r="J28" s="1148"/>
      <c r="K28" s="1148"/>
      <c r="L28" s="1148"/>
      <c r="M28" s="1148"/>
      <c r="N28" s="1148"/>
      <c r="O28" s="1148"/>
      <c r="P28" s="1148"/>
      <c r="Q28" s="1148"/>
      <c r="R28" s="1148"/>
      <c r="S28" s="1148"/>
      <c r="U28" s="42">
        <f t="shared" si="0"/>
        <v>1</v>
      </c>
      <c r="V28" s="4">
        <v>1</v>
      </c>
    </row>
    <row r="29" spans="1:22" ht="13.5" customHeight="1">
      <c r="C29" s="3" t="str">
        <f>'DCF - Outputs'!C7</f>
        <v>* All amounts in millions of US dollars except per share and multiples</v>
      </c>
      <c r="D29" s="175"/>
      <c r="E29" s="174"/>
      <c r="F29" s="174"/>
      <c r="G29" s="174"/>
      <c r="H29" s="174"/>
      <c r="I29" s="38"/>
      <c r="J29" s="174"/>
      <c r="K29" s="38"/>
      <c r="L29" s="1089" t="str">
        <f>'DCF - Financials'!L7</f>
        <v>Projected Fiscal Years Ending June 31</v>
      </c>
      <c r="M29" s="1089"/>
      <c r="N29" s="1089"/>
      <c r="O29" s="1089"/>
      <c r="P29" s="1089"/>
      <c r="Q29" s="1089"/>
      <c r="R29" s="1089"/>
      <c r="S29" s="1089"/>
      <c r="U29" s="42">
        <f t="shared" si="0"/>
        <v>1</v>
      </c>
      <c r="V29" s="4">
        <v>1</v>
      </c>
    </row>
    <row r="30" spans="1:22" ht="13.5" customHeight="1" thickBot="1">
      <c r="C30" s="85" t="s">
        <v>1435</v>
      </c>
      <c r="D30" s="57"/>
      <c r="E30" s="57"/>
      <c r="F30" s="57"/>
      <c r="G30" s="85">
        <f>'DCF - Financials'!G8</f>
        <v>2019</v>
      </c>
      <c r="H30" s="85">
        <f>'DCF - Financials'!H8</f>
        <v>2020</v>
      </c>
      <c r="I30" s="85">
        <f>'DCF - Financials'!I8</f>
        <v>2021</v>
      </c>
      <c r="J30" s="85">
        <f>'DCF - Financials'!J8</f>
        <v>2022</v>
      </c>
      <c r="K30" s="85">
        <f>'DCF - Financials'!K8</f>
        <v>2023</v>
      </c>
      <c r="L30" s="85">
        <f>'DCF - Financials'!L8</f>
        <v>2024</v>
      </c>
      <c r="M30" s="85">
        <f>'DCF - Financials'!M8</f>
        <v>2025</v>
      </c>
      <c r="N30" s="85">
        <f>'DCF - Financials'!N8</f>
        <v>2026</v>
      </c>
      <c r="O30" s="85">
        <f>'DCF - Financials'!O8</f>
        <v>2027</v>
      </c>
      <c r="P30" s="85">
        <f>'DCF - Financials'!P8</f>
        <v>2028</v>
      </c>
      <c r="Q30" s="85">
        <f>'DCF - Financials'!Q8</f>
        <v>2029</v>
      </c>
      <c r="R30" s="85">
        <f>'DCF - Financials'!R8</f>
        <v>2030</v>
      </c>
      <c r="S30" s="85">
        <f>'DCF - Financials'!S8</f>
        <v>2031</v>
      </c>
      <c r="U30" s="42">
        <f t="shared" si="0"/>
        <v>1</v>
      </c>
      <c r="V30" s="4">
        <v>1</v>
      </c>
    </row>
    <row r="31" spans="1:22" ht="13.5" customHeight="1">
      <c r="C31" s="23" t="s">
        <v>897</v>
      </c>
      <c r="D31" s="3"/>
      <c r="E31" s="3"/>
      <c r="F31" s="3"/>
      <c r="G31" s="584">
        <f>'DCF - Financials'!G9</f>
        <v>488.94</v>
      </c>
      <c r="H31" s="584">
        <f>'DCF - Financials'!H9</f>
        <v>582.18200000000002</v>
      </c>
      <c r="I31" s="584">
        <f>'DCF - Financials'!I9</f>
        <v>760.91</v>
      </c>
      <c r="J31" s="584">
        <f>'DCF - Financials'!J9</f>
        <v>903.50300000000004</v>
      </c>
      <c r="K31" s="584">
        <f>'DCF - Financials'!K9</f>
        <v>1051.83</v>
      </c>
      <c r="L31" s="584">
        <f>'DCF - Financials'!L9</f>
        <v>1278.226743738649</v>
      </c>
      <c r="M31" s="584">
        <f>'DCF - Financials'!M9</f>
        <v>1562.1187544339082</v>
      </c>
      <c r="N31" s="584">
        <f>'DCF - Financials'!N9</f>
        <v>1917.7398223858147</v>
      </c>
      <c r="O31" s="584">
        <f>'DCF - Financials'!O9</f>
        <v>2383.9369385812006</v>
      </c>
      <c r="P31" s="584">
        <f>'DCF - Financials'!P9</f>
        <v>2980.545632368242</v>
      </c>
      <c r="Q31" s="584">
        <f>'DCF - Financials'!Q9</f>
        <v>3750.6959718718617</v>
      </c>
      <c r="R31" s="584">
        <f>'DCF - Financials'!R9</f>
        <v>4776.0862797942809</v>
      </c>
      <c r="S31" s="584">
        <f>'DCF - Financials'!S9</f>
        <v>6065.9628035452497</v>
      </c>
      <c r="U31" s="42">
        <f t="shared" si="0"/>
        <v>1</v>
      </c>
      <c r="V31" s="4">
        <v>1</v>
      </c>
    </row>
    <row r="32" spans="1:22" ht="13.5" customHeight="1">
      <c r="C32" s="3" t="s">
        <v>900</v>
      </c>
      <c r="D32" s="3"/>
      <c r="E32" s="3"/>
      <c r="F32" s="3"/>
      <c r="G32" s="559">
        <f>'DCF - Financials'!G13</f>
        <v>-139.767</v>
      </c>
      <c r="H32" s="559">
        <f>'DCF - Financials'!H13</f>
        <v>-157.41900000000001</v>
      </c>
      <c r="I32" s="559">
        <f>'DCF - Financials'!I13</f>
        <v>-205.17099999999999</v>
      </c>
      <c r="J32" s="559">
        <f>'DCF - Financials'!J13</f>
        <v>-249.49</v>
      </c>
      <c r="K32" s="559">
        <f>'DCF - Financials'!K13</f>
        <v>-307.83499999999998</v>
      </c>
      <c r="L32" s="559">
        <f>'DCF - Financials'!L13</f>
        <v>-363.97059928918515</v>
      </c>
      <c r="M32" s="559">
        <f>'DCF - Financials'!M13</f>
        <v>-459.63110434297454</v>
      </c>
      <c r="N32" s="559">
        <f>'DCF - Financials'!N13</f>
        <v>-576.9056335011735</v>
      </c>
      <c r="O32" s="559">
        <f>'DCF - Financials'!O13</f>
        <v>-727.11663315757085</v>
      </c>
      <c r="P32" s="559">
        <f>'DCF - Financials'!P13</f>
        <v>-917.18623571024602</v>
      </c>
      <c r="Q32" s="559">
        <f>'DCF - Financials'!Q13</f>
        <v>-1183.4411036912516</v>
      </c>
      <c r="R32" s="559">
        <f>'DCF - Financials'!R13</f>
        <v>-1525.9939288744188</v>
      </c>
      <c r="S32" s="559">
        <f>'DCF - Financials'!S13</f>
        <v>-1965.8723210903297</v>
      </c>
      <c r="U32" s="42">
        <f t="shared" si="0"/>
        <v>1</v>
      </c>
      <c r="V32" s="4">
        <v>1</v>
      </c>
    </row>
    <row r="33" spans="1:22" ht="13.5" customHeight="1">
      <c r="C33" s="3" t="s">
        <v>664</v>
      </c>
      <c r="D33" s="3"/>
      <c r="E33" s="3"/>
      <c r="F33" s="3"/>
      <c r="G33" s="559">
        <f>'DCF - Financials'!G23</f>
        <v>-255.92</v>
      </c>
      <c r="H33" s="559">
        <f>'DCF - Financials'!H23</f>
        <v>-530.52300000000002</v>
      </c>
      <c r="I33" s="559">
        <f>'DCF - Financials'!I23</f>
        <v>-690.42200000000003</v>
      </c>
      <c r="J33" s="559">
        <f>'DCF - Financials'!J23</f>
        <v>-756.85699999999997</v>
      </c>
      <c r="K33" s="559">
        <f>'DCF - Financials'!K23</f>
        <v>-690.62200000000007</v>
      </c>
      <c r="L33" s="559">
        <f>'DCF - Financials'!L23</f>
        <v>-1088.8076577339261</v>
      </c>
      <c r="M33" s="559">
        <f>'DCF - Financials'!M23</f>
        <v>-1335.8731619662697</v>
      </c>
      <c r="N33" s="559">
        <f>'DCF - Financials'!N23</f>
        <v>-1624.9105731233731</v>
      </c>
      <c r="O33" s="559">
        <f>'DCF - Financials'!O23</f>
        <v>-1942.9147388839342</v>
      </c>
      <c r="P33" s="559">
        <f>'DCF - Financials'!P23</f>
        <v>-2403.9319164035701</v>
      </c>
      <c r="Q33" s="559">
        <f>'DCF - Financials'!Q23</f>
        <v>-3038.3578067148951</v>
      </c>
      <c r="R33" s="559">
        <f>'DCF - Financials'!R23</f>
        <v>-3856.0696101144995</v>
      </c>
      <c r="S33" s="559">
        <f>'DCF - Financials'!S23</f>
        <v>-4841.5504132797141</v>
      </c>
      <c r="U33" s="42">
        <f t="shared" si="0"/>
        <v>1</v>
      </c>
      <c r="V33" s="4">
        <v>1</v>
      </c>
    </row>
    <row r="34" spans="1:22" ht="13.5" customHeight="1">
      <c r="C34" s="78" t="s">
        <v>1130</v>
      </c>
      <c r="D34" s="32"/>
      <c r="E34" s="32"/>
      <c r="F34" s="32"/>
      <c r="G34" s="605"/>
      <c r="H34" s="605"/>
      <c r="I34" s="605"/>
      <c r="J34" s="605"/>
      <c r="K34" s="605"/>
      <c r="L34" s="564">
        <f>'DCF - Financials'!L56</f>
        <v>104.35564190156782</v>
      </c>
      <c r="M34" s="564">
        <f>'DCF - Financials'!M56</f>
        <v>62.177476730226687</v>
      </c>
      <c r="N34" s="564">
        <f>'DCF - Financials'!N56</f>
        <v>96.95328784773379</v>
      </c>
      <c r="O34" s="564">
        <f>'DCF - Financials'!O56</f>
        <v>164.34007790514497</v>
      </c>
      <c r="P34" s="564">
        <f>'DCF - Financials'!P56</f>
        <v>244.68758901803909</v>
      </c>
      <c r="Q34" s="564">
        <f>'DCF - Financials'!Q56</f>
        <v>256.00403665939569</v>
      </c>
      <c r="R34" s="564">
        <f>'DCF - Financials'!R56</f>
        <v>320.23322236620498</v>
      </c>
      <c r="S34" s="564">
        <f>'DCF - Financials'!S56</f>
        <v>434.01374076047722</v>
      </c>
      <c r="U34" s="42">
        <f t="shared" si="0"/>
        <v>1</v>
      </c>
      <c r="V34" s="4">
        <v>1</v>
      </c>
    </row>
    <row r="35" spans="1:22" ht="13.5" customHeight="1">
      <c r="C35" s="3" t="s">
        <v>482</v>
      </c>
      <c r="D35" s="3"/>
      <c r="E35" s="3"/>
      <c r="F35" s="3"/>
      <c r="G35" s="604"/>
      <c r="H35" s="604"/>
      <c r="I35" s="604"/>
      <c r="J35" s="604"/>
      <c r="K35" s="604"/>
      <c r="L35" s="559">
        <f>-'DCF - Financials'!L52</f>
        <v>-75.068374701274792</v>
      </c>
      <c r="M35" s="559">
        <f>-'DCF - Financials'!M52</f>
        <v>-91.740934509589522</v>
      </c>
      <c r="N35" s="559">
        <f>-'DCF - Financials'!N52</f>
        <v>-112.62603624247861</v>
      </c>
      <c r="O35" s="559">
        <f>-'DCF - Financials'!O52</f>
        <v>-140.00510648540612</v>
      </c>
      <c r="P35" s="559">
        <f>-'DCF - Financials'!P52</f>
        <v>-175.04305667274855</v>
      </c>
      <c r="Q35" s="559">
        <f>-'DCF - Financials'!Q52</f>
        <v>-220.27285220423101</v>
      </c>
      <c r="R35" s="559">
        <f>-'DCF - Financials'!R52</f>
        <v>-280.49251528609983</v>
      </c>
      <c r="S35" s="559">
        <f>-'DCF - Financials'!S52</f>
        <v>-356.24506441529678</v>
      </c>
      <c r="U35" s="42">
        <f t="shared" si="0"/>
        <v>1</v>
      </c>
      <c r="V35" s="4">
        <v>1</v>
      </c>
    </row>
    <row r="36" spans="1:22" ht="13.5" customHeight="1">
      <c r="C36" s="3" t="s">
        <v>921</v>
      </c>
      <c r="D36" s="3"/>
      <c r="E36" s="3"/>
      <c r="F36" s="3"/>
      <c r="G36" s="604"/>
      <c r="H36" s="604"/>
      <c r="I36" s="604"/>
      <c r="J36" s="604"/>
      <c r="K36" s="604"/>
      <c r="L36" s="559">
        <f>-'DCF - Financials'!L51</f>
        <v>-203.83878048475535</v>
      </c>
      <c r="M36" s="559">
        <f>-'DCF - Financials'!M51</f>
        <v>-203.82205409597324</v>
      </c>
      <c r="N36" s="559">
        <f>-'DCF - Financials'!N51</f>
        <v>-268.40363584398705</v>
      </c>
      <c r="O36" s="559">
        <f>-'DCF - Financials'!O51</f>
        <v>-310.42940488004342</v>
      </c>
      <c r="P36" s="559">
        <f>-'DCF - Financials'!P51</f>
        <v>-410.21705209086457</v>
      </c>
      <c r="Q36" s="559">
        <f>-'DCF - Financials'!Q51</f>
        <v>-506.83412298944961</v>
      </c>
      <c r="R36" s="559">
        <f>-'DCF - Financials'!R51</f>
        <v>-645.71796627474282</v>
      </c>
      <c r="S36" s="559">
        <f>-'DCF - Financials'!S51</f>
        <v>-819.22860716997479</v>
      </c>
      <c r="U36" s="42">
        <f t="shared" si="0"/>
        <v>1</v>
      </c>
      <c r="V36" s="4">
        <v>1</v>
      </c>
    </row>
    <row r="37" spans="1:22" ht="13.5" customHeight="1">
      <c r="C37" s="78" t="s">
        <v>1436</v>
      </c>
      <c r="D37" s="32"/>
      <c r="E37" s="32"/>
      <c r="F37" s="32"/>
      <c r="G37" s="605"/>
      <c r="H37" s="605"/>
      <c r="I37" s="605"/>
      <c r="J37" s="605"/>
      <c r="K37" s="605"/>
      <c r="L37" s="564">
        <f>SUM(L34:L36)</f>
        <v>-174.55151328446232</v>
      </c>
      <c r="M37" s="564">
        <f t="shared" ref="M37:S37" si="1">SUM(M34:M36)</f>
        <v>-233.38551187533608</v>
      </c>
      <c r="N37" s="564">
        <f t="shared" si="1"/>
        <v>-284.07638423873186</v>
      </c>
      <c r="O37" s="564">
        <f t="shared" si="1"/>
        <v>-286.09443346030457</v>
      </c>
      <c r="P37" s="564">
        <f t="shared" si="1"/>
        <v>-340.57251974557403</v>
      </c>
      <c r="Q37" s="564">
        <f t="shared" si="1"/>
        <v>-471.10293853428493</v>
      </c>
      <c r="R37" s="564">
        <f t="shared" si="1"/>
        <v>-605.97725919463767</v>
      </c>
      <c r="S37" s="564">
        <f t="shared" si="1"/>
        <v>-741.45993082479436</v>
      </c>
      <c r="U37" s="42">
        <f t="shared" si="0"/>
        <v>1</v>
      </c>
      <c r="V37" s="4">
        <v>1</v>
      </c>
    </row>
    <row r="38" spans="1:22" ht="13.5" customHeight="1">
      <c r="C38" s="3" t="s">
        <v>1437</v>
      </c>
      <c r="D38" s="14"/>
      <c r="E38" s="14"/>
      <c r="F38" s="14"/>
      <c r="G38" s="604"/>
      <c r="H38" s="604"/>
      <c r="I38" s="604"/>
      <c r="J38" s="604"/>
      <c r="K38" s="604"/>
      <c r="L38" s="559">
        <f>-L37*'DCF - Assumptions'!L188</f>
        <v>36.655817789737085</v>
      </c>
      <c r="M38" s="559">
        <f>-M37*'DCF - Assumptions'!M188</f>
        <v>49.010957493820577</v>
      </c>
      <c r="N38" s="559">
        <f>-N37*'DCF - Assumptions'!N188</f>
        <v>59.656040690133686</v>
      </c>
      <c r="O38" s="559">
        <f>-O37*'DCF - Assumptions'!O188</f>
        <v>60.07983102666396</v>
      </c>
      <c r="P38" s="559">
        <f>-P37*'DCF - Assumptions'!P188</f>
        <v>71.520229146570543</v>
      </c>
      <c r="Q38" s="559">
        <f>-Q37*'DCF - Assumptions'!Q188</f>
        <v>98.931617092199829</v>
      </c>
      <c r="R38" s="559">
        <f>-R37*'DCF - Assumptions'!R188</f>
        <v>127.25522443087391</v>
      </c>
      <c r="S38" s="559">
        <f>-S37*'DCF - Assumptions'!S188</f>
        <v>155.70658547320681</v>
      </c>
      <c r="U38" s="42">
        <f t="shared" si="0"/>
        <v>1</v>
      </c>
      <c r="V38" s="4">
        <v>1</v>
      </c>
    </row>
    <row r="39" spans="1:22" s="41" customFormat="1" ht="13.5" customHeight="1">
      <c r="C39" s="3" t="s">
        <v>1438</v>
      </c>
      <c r="D39" s="14"/>
      <c r="E39" s="14"/>
      <c r="F39" s="14"/>
      <c r="G39" s="604"/>
      <c r="H39" s="604"/>
      <c r="I39" s="604"/>
      <c r="J39" s="604"/>
      <c r="K39" s="604"/>
      <c r="L39" s="559">
        <f>SUM('DCF - Financials'!L80,'DCF - Financials'!L81,'DCF - Financials'!L82)</f>
        <v>-63.90270997617155</v>
      </c>
      <c r="M39" s="559">
        <f>SUM('DCF - Financials'!M80,'DCF - Financials'!M81,'DCF - Financials'!M82)</f>
        <v>-62.248755254759317</v>
      </c>
      <c r="N39" s="559">
        <f>SUM('DCF - Financials'!N80,'DCF - Financials'!N81,'DCF - Financials'!N82)</f>
        <v>-78.35484834373824</v>
      </c>
      <c r="O39" s="559">
        <f>SUM('DCF - Financials'!O80,'DCF - Financials'!O81,'DCF - Financials'!O82)</f>
        <v>-94.601179856317813</v>
      </c>
      <c r="P39" s="559">
        <f>SUM('DCF - Financials'!P80,'DCF - Financials'!P81,'DCF - Financials'!P82)</f>
        <v>-125.00295338450766</v>
      </c>
      <c r="Q39" s="559">
        <f>SUM('DCF - Financials'!Q80,'DCF - Financials'!Q81,'DCF - Financials'!Q82)</f>
        <v>-153.44227917202954</v>
      </c>
      <c r="R39" s="559">
        <f>SUM('DCF - Financials'!R80,'DCF - Financials'!R81,'DCF - Financials'!R82)</f>
        <v>-194.30855748836231</v>
      </c>
      <c r="S39" s="559">
        <f>SUM('DCF - Financials'!S80,'DCF - Financials'!S81,'DCF - Financials'!S82)</f>
        <v>-248.01356674709388</v>
      </c>
      <c r="U39" s="42">
        <f t="shared" si="0"/>
        <v>1</v>
      </c>
      <c r="V39" s="4">
        <v>1</v>
      </c>
    </row>
    <row r="40" spans="1:22" ht="13.5" customHeight="1">
      <c r="C40" s="3" t="s">
        <v>1439</v>
      </c>
      <c r="D40" s="3"/>
      <c r="E40" s="3"/>
      <c r="F40" s="3"/>
      <c r="G40" s="604"/>
      <c r="H40" s="604"/>
      <c r="I40" s="604"/>
      <c r="J40" s="604"/>
      <c r="K40" s="604"/>
      <c r="L40" s="559">
        <f>'DCF - Financials'!L51</f>
        <v>203.83878048475535</v>
      </c>
      <c r="M40" s="559">
        <f>'DCF - Financials'!M51</f>
        <v>203.82205409597324</v>
      </c>
      <c r="N40" s="559">
        <f>'DCF - Financials'!N51</f>
        <v>268.40363584398705</v>
      </c>
      <c r="O40" s="559">
        <f>'DCF - Financials'!O51</f>
        <v>310.42940488004342</v>
      </c>
      <c r="P40" s="559">
        <f>'DCF - Financials'!P51</f>
        <v>410.21705209086457</v>
      </c>
      <c r="Q40" s="559">
        <f>'DCF - Financials'!Q51</f>
        <v>506.83412298944961</v>
      </c>
      <c r="R40" s="559">
        <f>'DCF - Financials'!R51</f>
        <v>645.71796627474282</v>
      </c>
      <c r="S40" s="559">
        <f>'DCF - Financials'!S51</f>
        <v>819.22860716997479</v>
      </c>
      <c r="U40" s="42">
        <f t="shared" si="0"/>
        <v>1</v>
      </c>
      <c r="V40" s="4">
        <v>1</v>
      </c>
    </row>
    <row r="41" spans="1:22" ht="13.5" customHeight="1">
      <c r="C41" s="3" t="s">
        <v>1440</v>
      </c>
      <c r="D41" s="3"/>
      <c r="E41" s="3"/>
      <c r="F41" s="3"/>
      <c r="G41" s="604"/>
      <c r="H41" s="604"/>
      <c r="I41" s="604"/>
      <c r="J41" s="604"/>
      <c r="K41" s="604"/>
      <c r="L41" s="559">
        <f>-L35</f>
        <v>75.068374701274792</v>
      </c>
      <c r="M41" s="559">
        <f t="shared" ref="M41:S41" si="2">-M35</f>
        <v>91.740934509589522</v>
      </c>
      <c r="N41" s="559">
        <f t="shared" si="2"/>
        <v>112.62603624247861</v>
      </c>
      <c r="O41" s="559">
        <f t="shared" si="2"/>
        <v>140.00510648540612</v>
      </c>
      <c r="P41" s="559">
        <f t="shared" si="2"/>
        <v>175.04305667274855</v>
      </c>
      <c r="Q41" s="559">
        <f t="shared" si="2"/>
        <v>220.27285220423101</v>
      </c>
      <c r="R41" s="559">
        <f t="shared" si="2"/>
        <v>280.49251528609983</v>
      </c>
      <c r="S41" s="559">
        <f t="shared" si="2"/>
        <v>356.24506441529678</v>
      </c>
      <c r="U41" s="42">
        <f t="shared" si="0"/>
        <v>1</v>
      </c>
      <c r="V41" s="4">
        <v>1</v>
      </c>
    </row>
    <row r="42" spans="1:22" ht="13.5" customHeight="1">
      <c r="A42" s="20"/>
      <c r="B42" s="20"/>
      <c r="C42" s="3" t="s">
        <v>1441</v>
      </c>
      <c r="D42" s="14"/>
      <c r="E42" s="14"/>
      <c r="F42" s="14"/>
      <c r="G42" s="604"/>
      <c r="H42" s="604"/>
      <c r="I42" s="604"/>
      <c r="J42" s="604"/>
      <c r="K42" s="604"/>
      <c r="L42" s="559">
        <f>'DCF - Financials'!L106</f>
        <v>39.85654925390898</v>
      </c>
      <c r="M42" s="559">
        <f>'DCF - Financials'!M106</f>
        <v>75.061338922483571</v>
      </c>
      <c r="N42" s="559">
        <f>'DCF - Financials'!N106</f>
        <v>25.40644058204715</v>
      </c>
      <c r="O42" s="559">
        <f>'DCF - Financials'!O106</f>
        <v>71.676456754127557</v>
      </c>
      <c r="P42" s="559">
        <f>'DCF - Financials'!P106</f>
        <v>79.348602157975606</v>
      </c>
      <c r="Q42" s="559">
        <f>'DCF - Financials'!Q106</f>
        <v>146.0264091555282</v>
      </c>
      <c r="R42" s="559">
        <f>'DCF - Financials'!R106</f>
        <v>167.9398708988129</v>
      </c>
      <c r="S42" s="559">
        <f>'DCF - Financials'!S106</f>
        <v>197.15922294542167</v>
      </c>
      <c r="U42" s="42">
        <f t="shared" si="0"/>
        <v>1</v>
      </c>
      <c r="V42" s="4">
        <v>1</v>
      </c>
    </row>
    <row r="43" spans="1:22" ht="13.5" customHeight="1">
      <c r="A43" s="20"/>
      <c r="B43" s="20"/>
      <c r="C43" s="78" t="s">
        <v>1442</v>
      </c>
      <c r="D43" s="198"/>
      <c r="E43" s="198"/>
      <c r="F43" s="198"/>
      <c r="G43" s="616"/>
      <c r="H43" s="616"/>
      <c r="I43" s="616"/>
      <c r="J43" s="616"/>
      <c r="K43" s="616"/>
      <c r="L43" s="564">
        <f>SUM(L37:L42)</f>
        <v>116.96529896904232</v>
      </c>
      <c r="M43" s="564">
        <f t="shared" ref="M43:S43" si="3">SUM(M37:M42)</f>
        <v>124.00101789177151</v>
      </c>
      <c r="N43" s="564">
        <f t="shared" si="3"/>
        <v>103.6609207761764</v>
      </c>
      <c r="O43" s="564">
        <f t="shared" si="3"/>
        <v>201.49518582961866</v>
      </c>
      <c r="P43" s="564">
        <f t="shared" si="3"/>
        <v>270.55346693807763</v>
      </c>
      <c r="Q43" s="564">
        <f t="shared" si="3"/>
        <v>347.51978373509422</v>
      </c>
      <c r="R43" s="564">
        <f t="shared" si="3"/>
        <v>421.11976020752945</v>
      </c>
      <c r="S43" s="564">
        <f t="shared" si="3"/>
        <v>538.86598243201183</v>
      </c>
      <c r="U43" s="42">
        <f t="shared" si="0"/>
        <v>1</v>
      </c>
      <c r="V43" s="4">
        <v>1</v>
      </c>
    </row>
    <row r="44" spans="1:22" ht="13.5" customHeight="1">
      <c r="A44" s="20"/>
      <c r="C44" s="79" t="s">
        <v>1443</v>
      </c>
      <c r="D44" s="607"/>
      <c r="E44" s="607"/>
      <c r="F44" s="607"/>
      <c r="G44" s="617"/>
      <c r="H44" s="617"/>
      <c r="I44" s="617"/>
      <c r="J44" s="617"/>
      <c r="K44" s="617"/>
      <c r="L44" s="621">
        <v>1</v>
      </c>
      <c r="M44" s="621">
        <v>1</v>
      </c>
      <c r="N44" s="621">
        <v>1</v>
      </c>
      <c r="O44" s="621">
        <v>1</v>
      </c>
      <c r="P44" s="621">
        <v>1</v>
      </c>
      <c r="Q44" s="621">
        <v>1</v>
      </c>
      <c r="R44" s="621">
        <v>1</v>
      </c>
      <c r="S44" s="621">
        <v>1</v>
      </c>
      <c r="U44" s="42">
        <f t="shared" si="0"/>
        <v>1</v>
      </c>
      <c r="V44" s="4">
        <v>1</v>
      </c>
    </row>
    <row r="45" spans="1:22" ht="13.5" customHeight="1">
      <c r="A45" s="20"/>
      <c r="B45" s="20"/>
      <c r="C45" s="79" t="s">
        <v>1444</v>
      </c>
      <c r="D45" s="14"/>
      <c r="E45" s="14"/>
      <c r="F45" s="14"/>
      <c r="G45" s="618"/>
      <c r="H45" s="618"/>
      <c r="I45" s="618"/>
      <c r="J45" s="618"/>
      <c r="K45" s="618"/>
      <c r="L45" s="621">
        <f>+($D$21-$D$20)/365</f>
        <v>0</v>
      </c>
      <c r="M45" s="621">
        <f t="shared" ref="M45:S45" si="4">L45+M44</f>
        <v>1</v>
      </c>
      <c r="N45" s="621">
        <f t="shared" si="4"/>
        <v>2</v>
      </c>
      <c r="O45" s="621">
        <f t="shared" si="4"/>
        <v>3</v>
      </c>
      <c r="P45" s="621">
        <f t="shared" si="4"/>
        <v>4</v>
      </c>
      <c r="Q45" s="621">
        <f t="shared" si="4"/>
        <v>5</v>
      </c>
      <c r="R45" s="621">
        <f t="shared" si="4"/>
        <v>6</v>
      </c>
      <c r="S45" s="621">
        <f t="shared" si="4"/>
        <v>7</v>
      </c>
      <c r="U45" s="42">
        <f t="shared" si="0"/>
        <v>1</v>
      </c>
      <c r="V45" s="4">
        <v>1</v>
      </c>
    </row>
    <row r="46" spans="1:22" ht="13.5" customHeight="1">
      <c r="C46" s="79" t="s">
        <v>1445</v>
      </c>
      <c r="D46" s="14"/>
      <c r="E46" s="14"/>
      <c r="F46" s="14"/>
      <c r="G46" s="619"/>
      <c r="H46" s="619"/>
      <c r="I46" s="619"/>
      <c r="J46" s="619"/>
      <c r="K46" s="619"/>
      <c r="L46" s="622">
        <f t="shared" ref="L46:S46" si="5">$D$17</f>
        <v>0.16598439999999998</v>
      </c>
      <c r="M46" s="622">
        <f t="shared" si="5"/>
        <v>0.16598439999999998</v>
      </c>
      <c r="N46" s="622">
        <f t="shared" si="5"/>
        <v>0.16598439999999998</v>
      </c>
      <c r="O46" s="622">
        <f t="shared" si="5"/>
        <v>0.16598439999999998</v>
      </c>
      <c r="P46" s="622">
        <f t="shared" si="5"/>
        <v>0.16598439999999998</v>
      </c>
      <c r="Q46" s="622">
        <f t="shared" si="5"/>
        <v>0.16598439999999998</v>
      </c>
      <c r="R46" s="622">
        <f t="shared" si="5"/>
        <v>0.16598439999999998</v>
      </c>
      <c r="S46" s="622">
        <f t="shared" si="5"/>
        <v>0.16598439999999998</v>
      </c>
      <c r="U46" s="42">
        <f t="shared" si="0"/>
        <v>1</v>
      </c>
      <c r="V46" s="4">
        <v>1</v>
      </c>
    </row>
    <row r="47" spans="1:22" ht="13.5" customHeight="1">
      <c r="C47" s="79" t="s">
        <v>1446</v>
      </c>
      <c r="D47" s="14"/>
      <c r="E47" s="14"/>
      <c r="F47" s="14"/>
      <c r="G47" s="618"/>
      <c r="H47" s="618"/>
      <c r="I47" s="618"/>
      <c r="J47" s="618"/>
      <c r="K47" s="618"/>
      <c r="L47" s="621">
        <f t="shared" ref="L47:S47" si="6">1/(1+L46)^L45</f>
        <v>1</v>
      </c>
      <c r="M47" s="621">
        <f t="shared" si="6"/>
        <v>0.85764440759241722</v>
      </c>
      <c r="N47" s="621">
        <f t="shared" si="6"/>
        <v>0.73555392987454837</v>
      </c>
      <c r="O47" s="621">
        <f t="shared" si="6"/>
        <v>0.63084371443953147</v>
      </c>
      <c r="P47" s="621">
        <f t="shared" si="6"/>
        <v>0.54103958375389194</v>
      </c>
      <c r="Q47" s="621">
        <f t="shared" si="6"/>
        <v>0.4640195732926547</v>
      </c>
      <c r="R47" s="621">
        <f t="shared" si="6"/>
        <v>0.39796379204786508</v>
      </c>
      <c r="S47" s="621">
        <f t="shared" si="6"/>
        <v>0.34131142067412323</v>
      </c>
      <c r="U47" s="42">
        <f t="shared" si="0"/>
        <v>1</v>
      </c>
      <c r="V47" s="4">
        <v>1</v>
      </c>
    </row>
    <row r="48" spans="1:22">
      <c r="C48" s="78" t="s">
        <v>1447</v>
      </c>
      <c r="D48" s="199"/>
      <c r="E48" s="199"/>
      <c r="F48" s="199"/>
      <c r="G48" s="620"/>
      <c r="H48" s="620"/>
      <c r="I48" s="620"/>
      <c r="J48" s="620"/>
      <c r="K48" s="620"/>
      <c r="L48" s="564">
        <f t="shared" ref="L48:S48" si="7">L43*L47*L44</f>
        <v>116.96529896904232</v>
      </c>
      <c r="M48" s="564">
        <f t="shared" si="7"/>
        <v>106.3487795306451</v>
      </c>
      <c r="N48" s="564">
        <f t="shared" si="7"/>
        <v>76.24819765133077</v>
      </c>
      <c r="O48" s="564">
        <f t="shared" si="7"/>
        <v>127.11197147044028</v>
      </c>
      <c r="P48" s="564">
        <f t="shared" si="7"/>
        <v>146.38013513534989</v>
      </c>
      <c r="Q48" s="564">
        <f t="shared" si="7"/>
        <v>161.25598175951407</v>
      </c>
      <c r="R48" s="564">
        <f t="shared" si="7"/>
        <v>167.59041667847606</v>
      </c>
      <c r="S48" s="564">
        <f t="shared" si="7"/>
        <v>183.92111401682709</v>
      </c>
      <c r="U48" s="42">
        <f t="shared" si="0"/>
        <v>1</v>
      </c>
      <c r="V48" s="4">
        <v>1</v>
      </c>
    </row>
    <row r="49"/>
    <row r="50"/>
  </sheetData>
  <mergeCells count="1">
    <mergeCell ref="C25:H26"/>
  </mergeCells>
  <conditionalFormatting sqref="D36:F36">
    <cfRule type="cellIs" dxfId="38" priority="1" stopIfTrue="1" operator="equal">
      <formula>$E$4</formula>
    </cfRule>
  </conditionalFormatting>
  <conditionalFormatting sqref="D38:F43 D45:F48">
    <cfRule type="cellIs" dxfId="37" priority="10" stopIfTrue="1" operator="equal">
      <formula>$E$4</formula>
    </cfRule>
  </conditionalFormatting>
  <conditionalFormatting sqref="D44:K44">
    <cfRule type="cellIs" dxfId="36" priority="3" stopIfTrue="1" operator="equal">
      <formula>$D$4</formula>
    </cfRule>
  </conditionalFormatting>
  <conditionalFormatting sqref="I29">
    <cfRule type="cellIs" dxfId="35" priority="9" stopIfTrue="1" operator="equal">
      <formula>#REF!</formula>
    </cfRule>
  </conditionalFormatting>
  <conditionalFormatting sqref="L29">
    <cfRule type="cellIs" dxfId="34" priority="7" stopIfTrue="1" operator="equal">
      <formula>#REF!</formula>
    </cfRule>
  </conditionalFormatting>
  <conditionalFormatting sqref="M13">
    <cfRule type="cellIs" dxfId="33" priority="8" stopIfTrue="1" operator="equal">
      <formula>"ERROR"</formula>
    </cfRule>
  </conditionalFormatting>
  <conditionalFormatting sqref="S13">
    <cfRule type="cellIs" dxfId="32" priority="2" stopIfTrue="1" operator="equal">
      <formula>"ERROR"</formula>
    </cfRule>
  </conditionalFormatting>
  <conditionalFormatting sqref="T4">
    <cfRule type="cellIs" dxfId="31" priority="6" operator="equal">
      <formula>"Check"</formula>
    </cfRule>
  </conditionalFormatting>
  <conditionalFormatting sqref="U1:V1">
    <cfRule type="cellIs" dxfId="30" priority="5" operator="equal">
      <formula>"Check"</formula>
    </cfRule>
  </conditionalFormatting>
  <pageMargins left="0.74803149606299213" right="0.74803149606299213" top="0.98425196850393704" bottom="0.98425196850393704" header="0.51181102362204722" footer="0.51181102362204722"/>
  <pageSetup orientation="portrait" r:id="rId1"/>
  <headerFooter alignWithMargins="0">
    <oddFooter>&amp;LIB-Competition Preliminary Case&amp;RPage &amp;P</oddFooter>
  </headerFooter>
  <colBreaks count="1" manualBreakCount="1">
    <brk id="18" min="3" max="44"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tabColor rgb="FF86654A"/>
  </sheetPr>
  <dimension ref="A1:S25"/>
  <sheetViews>
    <sheetView showGridLines="0" zoomScale="125" workbookViewId="0">
      <selection activeCell="E19" sqref="E19"/>
    </sheetView>
  </sheetViews>
  <sheetFormatPr defaultColWidth="0" defaultRowHeight="10.199999999999999" zeroHeight="1"/>
  <cols>
    <col min="1" max="1" width="1.44140625" style="3" customWidth="1"/>
    <col min="2" max="2" width="27.44140625" style="94" customWidth="1"/>
    <col min="3" max="3" width="9.44140625" style="94" customWidth="1"/>
    <col min="4" max="4" width="8" style="94" customWidth="1"/>
    <col min="5" max="5" width="81.44140625" style="94" customWidth="1"/>
    <col min="6" max="6" width="3.44140625" style="94" customWidth="1"/>
    <col min="7" max="16384" width="11.44140625" style="94" hidden="1"/>
  </cols>
  <sheetData>
    <row r="1" spans="1:19" s="28" customFormat="1" ht="13.2">
      <c r="A1" s="36"/>
      <c r="B1" s="36" t="str">
        <f>'DCF - Assumptions (old)'!$F$8&amp;" | Discounted Cash Flows - Assumptions Summary"</f>
        <v>Bumble INC | Discounted Cash Flows - Assumptions Summary</v>
      </c>
      <c r="R1" s="27"/>
      <c r="S1" s="27"/>
    </row>
    <row r="2" spans="1:19" s="32" customFormat="1" ht="2.25" customHeight="1">
      <c r="A2" s="195" t="s">
        <v>1448</v>
      </c>
      <c r="R2" s="31"/>
      <c r="S2" s="31"/>
    </row>
    <row r="3" spans="1:19" s="28" customFormat="1" ht="3" customHeight="1">
      <c r="A3" s="194"/>
      <c r="R3" s="27"/>
      <c r="S3" s="27"/>
    </row>
    <row r="4" spans="1:19">
      <c r="A4" s="37"/>
      <c r="B4" s="191"/>
      <c r="C4" s="193"/>
      <c r="D4" s="193"/>
      <c r="E4" s="192"/>
    </row>
    <row r="5" spans="1:19" ht="12">
      <c r="A5" s="37"/>
      <c r="B5" s="1147" t="s">
        <v>1449</v>
      </c>
      <c r="C5" s="1148"/>
      <c r="D5" s="1148"/>
      <c r="E5" s="1148"/>
      <c r="G5" s="808"/>
      <c r="H5" s="808"/>
      <c r="I5" s="808"/>
      <c r="J5" s="808"/>
      <c r="K5" s="808"/>
      <c r="L5" s="808"/>
      <c r="M5" s="808"/>
      <c r="N5" s="808"/>
      <c r="O5" s="808"/>
      <c r="P5" s="808"/>
      <c r="Q5" s="808"/>
      <c r="R5" s="808"/>
    </row>
    <row r="6" spans="1:19" ht="15" customHeight="1">
      <c r="B6" s="682" t="s">
        <v>1450</v>
      </c>
      <c r="C6" s="832" t="s">
        <v>1451</v>
      </c>
      <c r="D6" s="833"/>
      <c r="E6" s="833" t="s">
        <v>1452</v>
      </c>
    </row>
    <row r="7" spans="1:19" ht="20.399999999999999">
      <c r="A7" s="37"/>
      <c r="B7" s="683" t="s">
        <v>1453</v>
      </c>
      <c r="C7" s="201">
        <f>('DCF - Financials'!S9/'DCF - Financials'!K9)^(1/8)-1</f>
        <v>0.244856449451889</v>
      </c>
      <c r="D7" s="408"/>
      <c r="E7" s="1580" t="s">
        <v>1454</v>
      </c>
    </row>
    <row r="8" spans="1:19" ht="30.6">
      <c r="B8" s="683" t="s">
        <v>1455</v>
      </c>
      <c r="C8" s="201">
        <f>IFERROR(SUM('DCF - Financials'!L56:S56)/SUM('DCF - Financials'!L9:S9),0)</f>
        <v>6.8085930241565729E-2</v>
      </c>
      <c r="D8" s="201"/>
      <c r="E8" s="1582" t="s">
        <v>1456</v>
      </c>
    </row>
    <row r="9" spans="1:19" ht="20.399999999999999">
      <c r="B9" s="683" t="s">
        <v>1457</v>
      </c>
      <c r="C9" s="201">
        <f>('DCF - Financials'!S53/'DCF - Financials'!L53)^(1/8)-1</f>
        <v>0.19501523815627286</v>
      </c>
      <c r="D9" s="408"/>
      <c r="E9" s="1583" t="s">
        <v>1458</v>
      </c>
    </row>
    <row r="10" spans="1:19" ht="20.399999999999999">
      <c r="B10" s="683" t="s">
        <v>1459</v>
      </c>
      <c r="C10" s="201">
        <f>IFERROR(SUM('DCF - Financials'!L56:S56)/SUM('DCF - Financials'!L9:S9),0)</f>
        <v>6.8085930241565729E-2</v>
      </c>
      <c r="D10" s="201"/>
      <c r="E10" s="1581" t="s">
        <v>1460</v>
      </c>
    </row>
    <row r="11" spans="1:19" ht="40.799999999999997">
      <c r="B11" s="683" t="s">
        <v>1461</v>
      </c>
      <c r="C11" s="201">
        <f>IFERROR(-SUM('DCF - Outputs'!M35:T35)/SUM('DCF - Financials'!L9:S9),0)</f>
        <v>4.1264897289449938E-2</v>
      </c>
      <c r="D11" s="408"/>
      <c r="E11" s="1583" t="s">
        <v>1462</v>
      </c>
    </row>
    <row r="12" spans="1:19">
      <c r="B12" s="191"/>
      <c r="C12" s="191"/>
      <c r="D12" s="191"/>
      <c r="E12" s="684"/>
    </row>
    <row r="13" spans="1:19" ht="12">
      <c r="A13" s="37"/>
      <c r="B13" s="1147" t="s">
        <v>1463</v>
      </c>
      <c r="C13" s="1148"/>
      <c r="D13" s="1148"/>
      <c r="E13" s="1148"/>
      <c r="G13" s="808"/>
      <c r="H13" s="808"/>
      <c r="I13" s="808"/>
      <c r="J13" s="808"/>
      <c r="K13" s="808"/>
      <c r="L13" s="808"/>
      <c r="M13" s="808"/>
      <c r="N13" s="808"/>
      <c r="O13" s="808"/>
      <c r="P13" s="808"/>
      <c r="Q13" s="808"/>
      <c r="R13" s="808"/>
    </row>
    <row r="14" spans="1:19" ht="15" customHeight="1">
      <c r="B14" s="682" t="s">
        <v>1450</v>
      </c>
      <c r="C14" s="832" t="s">
        <v>1464</v>
      </c>
      <c r="D14" s="833"/>
      <c r="E14" s="833" t="s">
        <v>1452</v>
      </c>
    </row>
    <row r="15" spans="1:19" ht="20.25" customHeight="1">
      <c r="B15" s="683" t="s">
        <v>1168</v>
      </c>
      <c r="C15" s="407">
        <f>'DCF - Valuation'!D11</f>
        <v>1.63</v>
      </c>
      <c r="D15" s="408"/>
      <c r="E15" s="1584" t="s">
        <v>1465</v>
      </c>
    </row>
    <row r="16" spans="1:19" ht="20.25" customHeight="1">
      <c r="B16" s="685" t="s">
        <v>1466</v>
      </c>
      <c r="C16" s="201">
        <f>'DCF - Valuation'!D8</f>
        <v>4.2500000000000003E-2</v>
      </c>
      <c r="D16" s="408"/>
      <c r="E16" s="1584" t="s">
        <v>1467</v>
      </c>
    </row>
    <row r="17" spans="1:5" ht="20.25" customHeight="1">
      <c r="B17" s="686" t="s">
        <v>1468</v>
      </c>
      <c r="C17" s="201">
        <f>'DCF - Valuation'!D13</f>
        <v>7.9000000000000001E-2</v>
      </c>
      <c r="D17" s="408"/>
      <c r="E17" s="1584" t="s">
        <v>1469</v>
      </c>
    </row>
    <row r="18" spans="1:5" ht="20.25" customHeight="1">
      <c r="B18" s="687" t="s">
        <v>1470</v>
      </c>
      <c r="C18" s="688">
        <f>'DCF - Valuation'!S8</f>
        <v>8.9</v>
      </c>
      <c r="D18" s="689"/>
      <c r="E18" s="1584" t="s">
        <v>1471</v>
      </c>
    </row>
    <row r="19" spans="1:5" ht="20.25" customHeight="1">
      <c r="A19" s="37"/>
      <c r="B19" s="191"/>
      <c r="C19" s="193"/>
      <c r="D19" s="193"/>
      <c r="E19" s="192"/>
    </row>
    <row r="20" spans="1:5" ht="20.25" hidden="1" customHeight="1"/>
    <row r="21" spans="1:5" ht="20.25" hidden="1" customHeight="1"/>
    <row r="22" spans="1:5" ht="20.25" hidden="1" customHeight="1"/>
    <row r="23" spans="1:5" ht="20.25" hidden="1" customHeight="1"/>
    <row r="24" spans="1:5" ht="20.25" hidden="1" customHeight="1"/>
    <row r="25" spans="1:5" ht="20.25" hidden="1" customHeight="1"/>
  </sheetData>
  <conditionalFormatting sqref="R1:S1">
    <cfRule type="cellIs" dxfId="29" priority="1" operator="equal">
      <formula>"Check"</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AJ310"/>
  <sheetViews>
    <sheetView showGridLines="0" zoomScale="117" zoomScaleNormal="80" workbookViewId="0">
      <selection activeCell="AI34" sqref="AI34"/>
    </sheetView>
  </sheetViews>
  <sheetFormatPr defaultColWidth="0" defaultRowHeight="10.199999999999999" zeroHeight="1"/>
  <cols>
    <col min="1" max="1" width="2.44140625" style="3" customWidth="1"/>
    <col min="2" max="2" width="30.44140625" style="3" customWidth="1"/>
    <col min="3" max="3" width="1.109375" style="3" customWidth="1"/>
    <col min="4" max="7" width="10.44140625" style="3" customWidth="1"/>
    <col min="8" max="8" width="2.44140625" style="6" customWidth="1"/>
    <col min="9" max="14" width="0" style="3" hidden="1" customWidth="1"/>
    <col min="15" max="34" width="9.109375" style="3" hidden="1" customWidth="1"/>
    <col min="35" max="35" width="87" style="3" bestFit="1" customWidth="1"/>
    <col min="36" max="36" width="3.109375" style="3" customWidth="1"/>
    <col min="37" max="16384" width="9.109375" style="3" hidden="1"/>
  </cols>
  <sheetData>
    <row r="1" spans="1:35" s="28" customFormat="1" ht="13.2">
      <c r="A1" s="716"/>
      <c r="B1" s="716" t="str">
        <f>'DCF - Assumptions'!$F$8&amp;" | Trading Comparables - Selection"</f>
        <v>Bumble INC | Trading Comparables - Selection</v>
      </c>
      <c r="H1" s="402"/>
    </row>
    <row r="2" spans="1:35" ht="15.6">
      <c r="A2" s="115"/>
      <c r="F2" s="2"/>
      <c r="G2" s="2"/>
      <c r="H2" s="2"/>
      <c r="I2" s="2"/>
      <c r="J2" s="2"/>
      <c r="K2" s="2"/>
    </row>
    <row r="3" spans="1:35" s="400" customFormat="1" ht="14.4">
      <c r="A3" s="205" t="s">
        <v>1472</v>
      </c>
      <c r="B3" s="1295" t="s">
        <v>1018</v>
      </c>
      <c r="C3" s="1296"/>
      <c r="D3" s="1297" t="s">
        <v>1473</v>
      </c>
      <c r="E3" s="1298" t="s">
        <v>1474</v>
      </c>
      <c r="F3" s="1297" t="s">
        <v>1475</v>
      </c>
      <c r="G3" s="1299" t="s">
        <v>1474</v>
      </c>
      <c r="H3" s="2"/>
      <c r="I3" s="2"/>
      <c r="AI3" s="1303" t="s">
        <v>1476</v>
      </c>
    </row>
    <row r="4" spans="1:35" s="400" customFormat="1" ht="14.4">
      <c r="A4" s="205"/>
      <c r="B4" s="1300"/>
      <c r="C4" s="1301"/>
      <c r="D4" s="1301" t="str">
        <f>'Comps - Dataset'!AF$6</f>
        <v>NTM</v>
      </c>
      <c r="E4" s="1301" t="s">
        <v>1477</v>
      </c>
      <c r="F4" s="1301" t="str">
        <f>'Comps - Dataset'!AJ$6</f>
        <v>NTM</v>
      </c>
      <c r="G4" s="1302" t="s">
        <v>1477</v>
      </c>
      <c r="H4" s="2"/>
      <c r="AI4" s="1302"/>
    </row>
    <row r="5" spans="1:35" ht="13.2">
      <c r="B5" s="1" t="s">
        <v>1478</v>
      </c>
      <c r="G5" s="745"/>
      <c r="H5" s="2"/>
    </row>
    <row r="6" spans="1:35" ht="13.2">
      <c r="B6" s="734" t="s">
        <v>1479</v>
      </c>
      <c r="G6" s="745"/>
      <c r="H6" s="2"/>
    </row>
    <row r="7" spans="1:35" ht="6.9" customHeight="1">
      <c r="B7" s="734"/>
      <c r="G7" s="745"/>
      <c r="H7" s="2"/>
    </row>
    <row r="8" spans="1:35" ht="13.2">
      <c r="B8" s="735" t="str">
        <f>'Comps - Outputs'!B6</f>
        <v>Comparable Companies</v>
      </c>
      <c r="D8" s="253"/>
      <c r="E8" s="253"/>
      <c r="F8" s="253"/>
      <c r="G8" s="756"/>
      <c r="H8" s="2"/>
    </row>
    <row r="9" spans="1:35" ht="13.2">
      <c r="B9" s="736"/>
      <c r="C9" s="74"/>
      <c r="D9" s="739"/>
      <c r="E9" s="739"/>
      <c r="F9" s="739"/>
      <c r="G9" s="757"/>
      <c r="H9" s="2"/>
    </row>
    <row r="10" spans="1:35" ht="12" customHeight="1">
      <c r="B10" s="740" t="str">
        <f>'Comps - Outputs'!B8</f>
        <v xml:space="preserve">Meta Platforms, Inc. </v>
      </c>
      <c r="D10" s="741">
        <f>IFERROR(E10*VLOOKUP($B10,'Comps - Dataset'!$B$5:$AT$24,'Comps - Selection'!D$39,0),"NA")</f>
        <v>0</v>
      </c>
      <c r="E10" s="1032">
        <v>0</v>
      </c>
      <c r="F10" s="741">
        <f>IFERROR(G10*VLOOKUP($B10,'Comps - Dataset'!$B$5:$AT$24,'Comps - Selection'!F$39,0),"NA")</f>
        <v>0</v>
      </c>
      <c r="G10" s="1033">
        <v>0</v>
      </c>
      <c r="H10" s="2"/>
      <c r="AI10" s="1592" t="s">
        <v>1480</v>
      </c>
    </row>
    <row r="11" spans="1:35" ht="12.9" customHeight="1">
      <c r="B11" s="740" t="str">
        <f>'Comps - Outputs'!B9</f>
        <v xml:space="preserve">Tencent Holdings Limited </v>
      </c>
      <c r="D11" s="741">
        <f>IFERROR(E11*VLOOKUP($B11,'Comps - Dataset'!$B$5:$AT$24,'Comps - Selection'!D$39,0),"NA")</f>
        <v>0</v>
      </c>
      <c r="E11" s="1032">
        <v>0</v>
      </c>
      <c r="F11" s="741">
        <f>IFERROR(G11*VLOOKUP($B11,'Comps - Dataset'!$B$5:$AT$24,'Comps - Selection'!F$39,0),"NA")</f>
        <v>0</v>
      </c>
      <c r="G11" s="1033">
        <v>0</v>
      </c>
      <c r="H11" s="2"/>
      <c r="AI11" s="1592" t="s">
        <v>1481</v>
      </c>
    </row>
    <row r="12" spans="1:35" ht="12.9" customHeight="1">
      <c r="B12" s="740" t="str">
        <f>'Comps - Outputs'!B10</f>
        <v xml:space="preserve">Kuaishou Technology </v>
      </c>
      <c r="D12" s="741">
        <f>IFERROR(E12*VLOOKUP($B12,'Comps - Dataset'!$B$5:$AT$24,'Comps - Selection'!D$39,0),"NA")</f>
        <v>0</v>
      </c>
      <c r="E12" s="1032">
        <v>0</v>
      </c>
      <c r="F12" s="741">
        <f>IFERROR(G12*VLOOKUP($B12,'Comps - Dataset'!$B$5:$AT$24,'Comps - Selection'!F$39,0),"NA")</f>
        <v>0</v>
      </c>
      <c r="G12" s="1033">
        <v>0</v>
      </c>
      <c r="H12" s="2"/>
      <c r="AI12" s="1592" t="s">
        <v>1482</v>
      </c>
    </row>
    <row r="13" spans="1:35" ht="12.9" customHeight="1">
      <c r="B13" s="740" t="str">
        <f>'Comps - Outputs'!B11</f>
        <v xml:space="preserve">Reddit, Inc. </v>
      </c>
      <c r="D13" s="741">
        <f>IFERROR(E13*VLOOKUP($B13,'Comps - Dataset'!$B$5:$AT$24,'Comps - Selection'!D$39,0),"NA")</f>
        <v>0</v>
      </c>
      <c r="E13" s="1032">
        <v>0</v>
      </c>
      <c r="F13" s="741">
        <f>IFERROR(G13*VLOOKUP($B13,'Comps - Dataset'!$B$5:$AT$24,'Comps - Selection'!F$39,0),"NA")</f>
        <v>0</v>
      </c>
      <c r="G13" s="1033">
        <v>0</v>
      </c>
      <c r="H13" s="2"/>
      <c r="AI13" s="1592" t="s">
        <v>1483</v>
      </c>
    </row>
    <row r="14" spans="1:35" ht="12.9" customHeight="1">
      <c r="B14" s="740" t="str">
        <f>'Comps - Outputs'!B12</f>
        <v xml:space="preserve">Pinterest, Inc. </v>
      </c>
      <c r="D14" s="741">
        <f>IFERROR(E14*VLOOKUP($B14,'Comps - Dataset'!$B$5:$AT$24,'Comps - Selection'!D$39,0),"NA")</f>
        <v>4.1878566816174807</v>
      </c>
      <c r="E14" s="1032">
        <v>1</v>
      </c>
      <c r="F14" s="741">
        <f>IFERROR(G14*VLOOKUP($B14,'Comps - Dataset'!$B$5:$AT$24,'Comps - Selection'!F$39,0),"NA")</f>
        <v>0</v>
      </c>
      <c r="G14" s="1033">
        <v>0</v>
      </c>
      <c r="H14" s="2"/>
      <c r="AI14" s="1592" t="s">
        <v>1484</v>
      </c>
    </row>
    <row r="15" spans="1:35" ht="12.9" customHeight="1">
      <c r="B15" s="740" t="str">
        <f>'Comps - Outputs'!B13</f>
        <v xml:space="preserve">Snap Inc. </v>
      </c>
      <c r="D15" s="741">
        <f>IFERROR(E15*VLOOKUP($B15,'Comps - Dataset'!$B$5:$AT$24,'Comps - Selection'!D$39,0),"NA")</f>
        <v>3.2077722043509076</v>
      </c>
      <c r="E15" s="1032">
        <v>1</v>
      </c>
      <c r="F15" s="741">
        <f>IFERROR(G15*VLOOKUP($B15,'Comps - Dataset'!$B$5:$AT$24,'Comps - Selection'!F$39,0),"NA")</f>
        <v>0</v>
      </c>
      <c r="G15" s="1033">
        <v>0</v>
      </c>
      <c r="H15" s="2"/>
      <c r="AI15" s="1592" t="s">
        <v>1485</v>
      </c>
    </row>
    <row r="16" spans="1:35" ht="12.9" customHeight="1">
      <c r="B16" s="740" t="str">
        <f>'Comps - Outputs'!B14</f>
        <v xml:space="preserve">Kakao Corp. </v>
      </c>
      <c r="D16" s="741">
        <f>IFERROR(E16*VLOOKUP($B16,'Comps - Dataset'!$B$5:$AT$24,'Comps - Selection'!D$39,0),"NA")</f>
        <v>1.9861944187025402</v>
      </c>
      <c r="E16" s="1032">
        <v>1</v>
      </c>
      <c r="F16" s="741">
        <f>IFERROR(G16*VLOOKUP($B16,'Comps - Dataset'!$B$5:$AT$24,'Comps - Selection'!F$39,0),"NA")</f>
        <v>13.608908012559601</v>
      </c>
      <c r="G16" s="1033">
        <v>1</v>
      </c>
      <c r="H16" s="2"/>
      <c r="AI16" s="1592" t="s">
        <v>1486</v>
      </c>
    </row>
    <row r="17" spans="1:35" ht="12.9" customHeight="1">
      <c r="B17" s="740" t="str">
        <f>'Comps - Outputs'!B15</f>
        <v xml:space="preserve">Match Group, Inc. </v>
      </c>
      <c r="D17" s="741">
        <f>IFERROR(E17*VLOOKUP($B17,'Comps - Dataset'!$B$5:$AT$24,'Comps - Selection'!D$39,0),"NA")</f>
        <v>3.0337306105923734</v>
      </c>
      <c r="E17" s="1032">
        <v>1</v>
      </c>
      <c r="F17" s="741">
        <f>IFERROR(G17*VLOOKUP($B17,'Comps - Dataset'!$B$5:$AT$24,'Comps - Selection'!F$39,0),"NA")</f>
        <v>10.512568199532346</v>
      </c>
      <c r="G17" s="1033">
        <v>1</v>
      </c>
      <c r="H17" s="2"/>
      <c r="AI17" s="1592" t="s">
        <v>1487</v>
      </c>
    </row>
    <row r="18" spans="1:35" ht="12.9" customHeight="1">
      <c r="B18" s="740" t="str">
        <f>'Comps - Outputs'!B16</f>
        <v xml:space="preserve">Yelp Inc. </v>
      </c>
      <c r="D18" s="741">
        <f>IFERROR(E18*VLOOKUP($B18,'Comps - Dataset'!$B$5:$AT$24,'Comps - Selection'!D$39,0),"NA")</f>
        <v>0</v>
      </c>
      <c r="E18" s="1032">
        <v>0</v>
      </c>
      <c r="F18" s="741">
        <f>IFERROR(G18*VLOOKUP($B18,'Comps - Dataset'!$B$5:$AT$24,'Comps - Selection'!F$39,0),"NA")</f>
        <v>0</v>
      </c>
      <c r="G18" s="1033">
        <v>0</v>
      </c>
      <c r="H18" s="2"/>
      <c r="AI18" s="1592" t="s">
        <v>1488</v>
      </c>
    </row>
    <row r="19" spans="1:35" ht="12.9" customHeight="1">
      <c r="B19" s="740" t="str">
        <f>'Comps - Outputs'!B17</f>
        <v xml:space="preserve">Weibo Corporation </v>
      </c>
      <c r="D19" s="741">
        <f>IFERROR(E19*VLOOKUP($B19,'Comps - Dataset'!$B$5:$AT$24,'Comps - Selection'!D$39,0),"NA")</f>
        <v>0</v>
      </c>
      <c r="E19" s="1032">
        <v>0</v>
      </c>
      <c r="F19" s="741">
        <f>IFERROR(G19*VLOOKUP($B19,'Comps - Dataset'!$B$5:$AT$24,'Comps - Selection'!F$39,0),"NA")</f>
        <v>0</v>
      </c>
      <c r="G19" s="1033">
        <v>0</v>
      </c>
      <c r="H19" s="2"/>
      <c r="AI19" s="1592" t="s">
        <v>1488</v>
      </c>
    </row>
    <row r="20" spans="1:35" ht="12.9" customHeight="1">
      <c r="B20" s="740" t="str">
        <f>'Comps - Outputs'!B18</f>
        <v xml:space="preserve">Tripadvisor, Inc. </v>
      </c>
      <c r="D20" s="741">
        <f>IFERROR(E20*VLOOKUP($B20,'Comps - Dataset'!$B$5:$AT$24,'Comps - Selection'!D$39,0),"NA")</f>
        <v>0</v>
      </c>
      <c r="E20" s="1032">
        <v>0</v>
      </c>
      <c r="F20" s="741">
        <f>IFERROR(G20*VLOOKUP($B20,'Comps - Dataset'!$B$5:$AT$24,'Comps - Selection'!F$39,0),"NA")</f>
        <v>0</v>
      </c>
      <c r="G20" s="1033">
        <v>0</v>
      </c>
      <c r="H20" s="2"/>
      <c r="AI20" s="1592" t="s">
        <v>1489</v>
      </c>
    </row>
    <row r="21" spans="1:35" ht="12.9" customHeight="1">
      <c r="B21" s="740" t="str">
        <f>'Comps - Outputs'!B19</f>
        <v xml:space="preserve">Hello Group Inc. </v>
      </c>
      <c r="D21" s="741">
        <f>IFERROR(E21*VLOOKUP($B21,'Comps - Dataset'!$B$5:$AT$24,'Comps - Selection'!D$39,0),"NA")</f>
        <v>0.58091572514450474</v>
      </c>
      <c r="E21" s="1032">
        <v>1</v>
      </c>
      <c r="F21" s="741">
        <f>IFERROR(G21*VLOOKUP($B21,'Comps - Dataset'!$B$5:$AT$24,'Comps - Selection'!F$39,0),"NA")</f>
        <v>2.5467190807378293</v>
      </c>
      <c r="G21" s="1033">
        <v>1</v>
      </c>
      <c r="H21" s="2"/>
      <c r="AI21" s="1592" t="s">
        <v>1490</v>
      </c>
    </row>
    <row r="22" spans="1:35" ht="13.2">
      <c r="B22" s="742"/>
      <c r="D22" s="741"/>
      <c r="E22" s="741"/>
      <c r="F22" s="741"/>
      <c r="G22" s="758"/>
      <c r="H22" s="2"/>
    </row>
    <row r="23" spans="1:35" ht="13.2">
      <c r="B23" s="761" t="s">
        <v>1491</v>
      </c>
      <c r="C23" s="746"/>
      <c r="D23" s="748">
        <f>IFERROR(AVERAGEIF(E10:E22,1,D10:D22),0)</f>
        <v>2.5992939280815617</v>
      </c>
      <c r="E23" s="748"/>
      <c r="F23" s="748">
        <f>IFERROR(AVERAGEIF(G10:G22,1,F10:F22),0)</f>
        <v>8.8893984309432597</v>
      </c>
      <c r="G23" s="759"/>
      <c r="H23" s="2"/>
      <c r="I23" s="401"/>
      <c r="J23" s="401"/>
      <c r="K23" s="401"/>
    </row>
    <row r="24" spans="1:35" ht="13.2">
      <c r="A24" s="401"/>
      <c r="B24" s="744"/>
      <c r="G24" s="745"/>
      <c r="H24" s="2"/>
      <c r="I24" s="401"/>
      <c r="J24" s="401"/>
      <c r="K24" s="401"/>
    </row>
    <row r="25" spans="1:35" ht="13.2">
      <c r="B25" s="750" t="str">
        <f>'Comps - Dataset'!$B$23</f>
        <v xml:space="preserve">Bumble Inc. </v>
      </c>
      <c r="C25" s="751"/>
      <c r="D25" s="792">
        <f>VLOOKUP($B25,'Comps - Dataset'!$B$5:$AT$24,'Comps - Selection'!D$39,0)</f>
        <v>1.6687859116418253</v>
      </c>
      <c r="E25" s="754"/>
      <c r="F25" s="792">
        <f>VLOOKUP($B25,'Comps - Dataset'!$B$5:$AT$24,'Comps - Selection'!F$39,0)</f>
        <v>19.925799086757991</v>
      </c>
      <c r="G25" s="760"/>
      <c r="H25" s="2"/>
    </row>
    <row r="26" spans="1:35" ht="13.2">
      <c r="D26" s="793"/>
      <c r="H26" s="2"/>
    </row>
    <row r="27" spans="1:35" ht="13.2">
      <c r="B27" s="1018" t="s">
        <v>1492</v>
      </c>
      <c r="C27" s="1019"/>
      <c r="D27" s="1020">
        <f>D23</f>
        <v>2.5992939280815617</v>
      </c>
      <c r="E27" s="1020"/>
      <c r="F27" s="1020">
        <f>F23</f>
        <v>8.8893984309432597</v>
      </c>
      <c r="G27" s="1021"/>
      <c r="H27" s="2"/>
    </row>
    <row r="28" spans="1:35" ht="13.2">
      <c r="B28" s="767" t="s">
        <v>1493</v>
      </c>
      <c r="C28" s="768"/>
      <c r="D28" s="769"/>
      <c r="E28" s="769"/>
      <c r="F28" s="769"/>
      <c r="G28" s="1017"/>
      <c r="H28" s="2"/>
    </row>
    <row r="29" spans="1:35" ht="13.2">
      <c r="B29" s="767" t="s">
        <v>1494</v>
      </c>
      <c r="C29" s="768"/>
      <c r="D29" s="769">
        <f>D27*'Comps - Outputs'!H24</f>
        <v>2718.783469955471</v>
      </c>
      <c r="E29" s="770"/>
      <c r="F29" s="769">
        <f>F27*'Comps - Outputs'!I24</f>
        <v>2565.3914931859149</v>
      </c>
      <c r="G29" s="805"/>
      <c r="H29" s="2"/>
    </row>
    <row r="30" spans="1:35" ht="13.2">
      <c r="B30" s="762"/>
      <c r="C30" s="23"/>
      <c r="D30" s="309"/>
      <c r="E30" s="294"/>
      <c r="F30" s="309"/>
      <c r="G30" s="802"/>
      <c r="H30" s="2"/>
    </row>
    <row r="31" spans="1:35" ht="13.2">
      <c r="B31" s="763" t="s">
        <v>1495</v>
      </c>
      <c r="C31" s="764"/>
      <c r="D31" s="1015">
        <f>'Comps - Outputs'!F24</f>
        <v>631.9</v>
      </c>
      <c r="E31" s="766"/>
      <c r="F31" s="1015">
        <f>D31</f>
        <v>631.9</v>
      </c>
      <c r="G31" s="803"/>
      <c r="H31" s="2"/>
    </row>
    <row r="32" spans="1:35" ht="13.2">
      <c r="B32" s="775" t="s">
        <v>1496</v>
      </c>
      <c r="C32" s="764"/>
      <c r="D32" s="1016">
        <v>0</v>
      </c>
      <c r="E32" s="399"/>
      <c r="F32" s="1016">
        <v>0</v>
      </c>
      <c r="G32" s="804"/>
      <c r="H32" s="2"/>
    </row>
    <row r="33" spans="2:8" ht="13.2">
      <c r="B33" s="763" t="s">
        <v>1497</v>
      </c>
      <c r="C33" s="764"/>
      <c r="D33" s="1015">
        <f>'Comps - Outputs'!G24</f>
        <v>252.06</v>
      </c>
      <c r="E33" s="399"/>
      <c r="F33" s="1015">
        <f>D33</f>
        <v>252.06</v>
      </c>
      <c r="G33" s="804"/>
      <c r="H33" s="2"/>
    </row>
    <row r="34" spans="2:8" ht="13.2">
      <c r="B34" s="763"/>
      <c r="C34" s="764"/>
      <c r="D34" s="765"/>
      <c r="E34" s="399"/>
      <c r="F34" s="765"/>
      <c r="G34" s="804"/>
      <c r="H34" s="2"/>
    </row>
    <row r="35" spans="2:8" ht="13.2">
      <c r="B35" s="767" t="s">
        <v>1498</v>
      </c>
      <c r="C35" s="768"/>
      <c r="D35" s="769">
        <f>D29-D31+D33-D32</f>
        <v>2338.9434699554708</v>
      </c>
      <c r="E35" s="770"/>
      <c r="F35" s="769">
        <f>F29-F31+F33-F32</f>
        <v>2185.5514931859148</v>
      </c>
      <c r="G35" s="805"/>
      <c r="H35" s="2"/>
    </row>
    <row r="36" spans="2:8" ht="13.2">
      <c r="B36" s="767" t="s">
        <v>1499</v>
      </c>
      <c r="C36" s="768"/>
      <c r="D36" s="769">
        <f>'DCF - Valuation'!S25</f>
        <v>157.34</v>
      </c>
      <c r="E36" s="770"/>
      <c r="F36" s="769">
        <f>D36</f>
        <v>157.34</v>
      </c>
      <c r="G36" s="805"/>
      <c r="H36" s="2"/>
    </row>
    <row r="37" spans="2:8" ht="13.2">
      <c r="B37" s="771" t="s">
        <v>1180</v>
      </c>
      <c r="C37" s="772"/>
      <c r="D37" s="773">
        <f>D35/D36</f>
        <v>14.865536226995493</v>
      </c>
      <c r="E37" s="774"/>
      <c r="F37" s="773">
        <f>F35/F36</f>
        <v>13.89062853175235</v>
      </c>
      <c r="G37" s="806"/>
      <c r="H37" s="2"/>
    </row>
    <row r="38" spans="2:8" ht="13.2">
      <c r="H38" s="2"/>
    </row>
    <row r="39" spans="2:8" ht="13.2">
      <c r="B39" s="16" t="s">
        <v>1500</v>
      </c>
      <c r="C39" s="15"/>
      <c r="D39" s="447">
        <f>'Comps - Dataset'!AF35</f>
        <v>31</v>
      </c>
      <c r="E39" s="447"/>
      <c r="F39" s="447">
        <f>'Comps - Dataset'!AJ35</f>
        <v>35</v>
      </c>
      <c r="G39" s="733"/>
      <c r="H39" s="2"/>
    </row>
    <row r="40" spans="2:8" ht="13.2">
      <c r="H40" s="2"/>
    </row>
    <row r="41" spans="2:8" ht="13.2" hidden="1">
      <c r="H41" s="2"/>
    </row>
    <row r="42" spans="2:8" ht="13.2" hidden="1">
      <c r="H42" s="2"/>
    </row>
    <row r="43" spans="2:8" ht="13.2" hidden="1">
      <c r="H43" s="2"/>
    </row>
    <row r="44" spans="2:8" ht="13.2" hidden="1">
      <c r="H44" s="2"/>
    </row>
    <row r="45" spans="2:8" ht="13.2" hidden="1">
      <c r="H45" s="2"/>
    </row>
    <row r="46" spans="2:8" ht="13.2" hidden="1">
      <c r="H46" s="2"/>
    </row>
    <row r="47" spans="2:8" ht="13.2" hidden="1">
      <c r="H47" s="2"/>
    </row>
    <row r="48" spans="2:8" ht="13.2" hidden="1">
      <c r="H48" s="2"/>
    </row>
    <row r="49" spans="8:8" ht="13.2" hidden="1">
      <c r="H49" s="2"/>
    </row>
    <row r="50" spans="8:8" ht="13.2" hidden="1">
      <c r="H50" s="2"/>
    </row>
    <row r="51" spans="8:8" ht="13.2" hidden="1">
      <c r="H51" s="2"/>
    </row>
    <row r="52" spans="8:8" ht="13.2" hidden="1">
      <c r="H52" s="2"/>
    </row>
    <row r="53" spans="8:8" ht="13.2" hidden="1">
      <c r="H53" s="2"/>
    </row>
    <row r="54" spans="8:8" ht="13.2" hidden="1">
      <c r="H54" s="2"/>
    </row>
    <row r="55" spans="8:8" ht="13.2" hidden="1">
      <c r="H55" s="2"/>
    </row>
    <row r="56" spans="8:8" ht="13.2" hidden="1">
      <c r="H56" s="2"/>
    </row>
    <row r="57" spans="8:8" ht="13.2" hidden="1">
      <c r="H57" s="2"/>
    </row>
    <row r="58" spans="8:8" ht="13.2" hidden="1">
      <c r="H58" s="2"/>
    </row>
    <row r="59" spans="8:8" ht="13.2" hidden="1">
      <c r="H59" s="2"/>
    </row>
    <row r="60" spans="8:8" ht="13.2" hidden="1">
      <c r="H60" s="2"/>
    </row>
    <row r="61" spans="8:8" ht="13.2" hidden="1">
      <c r="H61" s="2"/>
    </row>
    <row r="62" spans="8:8" ht="13.2" hidden="1">
      <c r="H62" s="2"/>
    </row>
    <row r="63" spans="8:8" ht="13.2" hidden="1">
      <c r="H63" s="2"/>
    </row>
    <row r="64" spans="8:8" ht="13.2" hidden="1">
      <c r="H64" s="2"/>
    </row>
    <row r="65" spans="8:8" ht="13.2" hidden="1">
      <c r="H65" s="2"/>
    </row>
    <row r="66" spans="8:8" ht="13.2" hidden="1">
      <c r="H66" s="2"/>
    </row>
    <row r="67" spans="8:8" ht="13.2" hidden="1">
      <c r="H67" s="2"/>
    </row>
    <row r="68" spans="8:8" ht="13.2" hidden="1">
      <c r="H68" s="2"/>
    </row>
    <row r="69" spans="8:8" ht="13.2" hidden="1">
      <c r="H69" s="2"/>
    </row>
    <row r="70" spans="8:8" ht="13.2" hidden="1">
      <c r="H70" s="2"/>
    </row>
    <row r="71" spans="8:8" ht="13.2" hidden="1">
      <c r="H71" s="2"/>
    </row>
    <row r="72" spans="8:8" ht="13.2" hidden="1">
      <c r="H72" s="2"/>
    </row>
    <row r="73" spans="8:8" ht="13.2" hidden="1">
      <c r="H73" s="2"/>
    </row>
    <row r="74" spans="8:8" ht="13.2" hidden="1">
      <c r="H74" s="2"/>
    </row>
    <row r="75" spans="8:8" ht="13.2" hidden="1">
      <c r="H75" s="2"/>
    </row>
    <row r="76" spans="8:8" ht="13.2" hidden="1">
      <c r="H76" s="2"/>
    </row>
    <row r="77" spans="8:8" ht="13.2" hidden="1">
      <c r="H77" s="2"/>
    </row>
    <row r="78" spans="8:8" ht="13.2" hidden="1">
      <c r="H78" s="2"/>
    </row>
    <row r="79" spans="8:8" ht="13.2" hidden="1">
      <c r="H79" s="2"/>
    </row>
    <row r="80" spans="8:8" ht="13.2" hidden="1">
      <c r="H80" s="2"/>
    </row>
    <row r="81" spans="8:8" ht="13.2" hidden="1">
      <c r="H81" s="2"/>
    </row>
    <row r="82" spans="8:8" ht="13.2" hidden="1">
      <c r="H82" s="2"/>
    </row>
    <row r="83" spans="8:8" ht="13.2" hidden="1">
      <c r="H83" s="2"/>
    </row>
    <row r="84" spans="8:8" ht="13.2" hidden="1">
      <c r="H84" s="2"/>
    </row>
    <row r="85" spans="8:8" ht="13.2" hidden="1">
      <c r="H85" s="2"/>
    </row>
    <row r="86" spans="8:8" ht="13.2" hidden="1">
      <c r="H86" s="2"/>
    </row>
    <row r="87" spans="8:8" ht="13.2" hidden="1">
      <c r="H87" s="2"/>
    </row>
    <row r="88" spans="8:8" ht="13.2" hidden="1">
      <c r="H88" s="2"/>
    </row>
    <row r="89" spans="8:8" ht="13.2" hidden="1">
      <c r="H89" s="2"/>
    </row>
    <row r="90" spans="8:8" ht="13.2" hidden="1">
      <c r="H90" s="2"/>
    </row>
    <row r="91" spans="8:8" ht="13.2" hidden="1">
      <c r="H91" s="2"/>
    </row>
    <row r="92" spans="8:8" ht="13.2" hidden="1">
      <c r="H92" s="2"/>
    </row>
    <row r="93" spans="8:8" ht="13.2" hidden="1">
      <c r="H93" s="2"/>
    </row>
    <row r="94" spans="8:8" ht="13.2" hidden="1">
      <c r="H94" s="2"/>
    </row>
    <row r="95" spans="8:8" ht="13.2" hidden="1">
      <c r="H95" s="2"/>
    </row>
    <row r="96" spans="8:8" ht="13.2" hidden="1">
      <c r="H96" s="2"/>
    </row>
    <row r="97" spans="8:8" ht="13.2" hidden="1">
      <c r="H97" s="2"/>
    </row>
    <row r="98" spans="8:8" ht="13.2" hidden="1">
      <c r="H98" s="2"/>
    </row>
    <row r="99" spans="8:8" ht="13.2" hidden="1">
      <c r="H99" s="2"/>
    </row>
    <row r="100" spans="8:8" ht="13.2" hidden="1">
      <c r="H100" s="2"/>
    </row>
    <row r="101" spans="8:8" ht="13.2" hidden="1">
      <c r="H101" s="2"/>
    </row>
    <row r="102" spans="8:8" ht="13.2" hidden="1">
      <c r="H102" s="2"/>
    </row>
    <row r="103" spans="8:8" ht="13.2" hidden="1">
      <c r="H103" s="2"/>
    </row>
    <row r="104" spans="8:8" ht="13.2" hidden="1">
      <c r="H104" s="2"/>
    </row>
    <row r="105" spans="8:8" ht="13.2" hidden="1">
      <c r="H105" s="2"/>
    </row>
    <row r="106" spans="8:8" ht="13.2" hidden="1">
      <c r="H106" s="2"/>
    </row>
    <row r="107" spans="8:8" ht="13.2" hidden="1">
      <c r="H107" s="2"/>
    </row>
    <row r="108" spans="8:8" ht="13.2" hidden="1">
      <c r="H108" s="2"/>
    </row>
    <row r="109" spans="8:8" ht="13.2" hidden="1">
      <c r="H109" s="2"/>
    </row>
    <row r="110" spans="8:8" ht="13.2" hidden="1">
      <c r="H110" s="2"/>
    </row>
    <row r="111" spans="8:8" ht="13.2" hidden="1">
      <c r="H111" s="2"/>
    </row>
    <row r="112" spans="8:8" ht="13.2" hidden="1">
      <c r="H112" s="2"/>
    </row>
    <row r="113" spans="8:8" ht="13.2" hidden="1">
      <c r="H113" s="2"/>
    </row>
    <row r="114" spans="8:8" ht="13.2" hidden="1">
      <c r="H114" s="2"/>
    </row>
    <row r="115" spans="8:8" ht="13.2" hidden="1">
      <c r="H115" s="2"/>
    </row>
    <row r="116" spans="8:8" ht="13.2" hidden="1">
      <c r="H116" s="2"/>
    </row>
    <row r="117" spans="8:8" ht="13.2" hidden="1">
      <c r="H117" s="2"/>
    </row>
    <row r="118" spans="8:8" ht="13.2" hidden="1">
      <c r="H118" s="2"/>
    </row>
    <row r="119" spans="8:8" ht="13.2" hidden="1">
      <c r="H119" s="2"/>
    </row>
    <row r="120" spans="8:8" ht="13.2" hidden="1">
      <c r="H120" s="2"/>
    </row>
    <row r="121" spans="8:8" ht="13.2" hidden="1">
      <c r="H121" s="2"/>
    </row>
    <row r="122" spans="8:8" ht="13.2" hidden="1">
      <c r="H122" s="2"/>
    </row>
    <row r="123" spans="8:8" ht="13.2" hidden="1">
      <c r="H123" s="2"/>
    </row>
    <row r="124" spans="8:8" ht="13.2" hidden="1">
      <c r="H124" s="2"/>
    </row>
    <row r="125" spans="8:8" ht="13.2" hidden="1">
      <c r="H125" s="2"/>
    </row>
    <row r="126" spans="8:8" ht="13.2" hidden="1">
      <c r="H126" s="2"/>
    </row>
    <row r="127" spans="8:8" ht="13.2" hidden="1">
      <c r="H127" s="2"/>
    </row>
    <row r="128" spans="8:8" ht="13.2" hidden="1">
      <c r="H128" s="2"/>
    </row>
    <row r="129" spans="8:8" ht="13.2" hidden="1">
      <c r="H129" s="2"/>
    </row>
    <row r="130" spans="8:8" ht="13.2" hidden="1">
      <c r="H130" s="2"/>
    </row>
    <row r="131" spans="8:8" ht="13.2" hidden="1">
      <c r="H131" s="2"/>
    </row>
    <row r="132" spans="8:8" ht="13.2" hidden="1">
      <c r="H132" s="2"/>
    </row>
    <row r="133" spans="8:8" ht="13.2" hidden="1">
      <c r="H133" s="2"/>
    </row>
    <row r="134" spans="8:8" ht="13.2" hidden="1">
      <c r="H134" s="2"/>
    </row>
    <row r="135" spans="8:8" ht="13.2" hidden="1">
      <c r="H135" s="2"/>
    </row>
    <row r="136" spans="8:8" ht="13.2" hidden="1">
      <c r="H136" s="2"/>
    </row>
    <row r="137" spans="8:8" ht="13.2" hidden="1">
      <c r="H137" s="2"/>
    </row>
    <row r="138" spans="8:8" ht="13.2" hidden="1">
      <c r="H138" s="2"/>
    </row>
    <row r="139" spans="8:8" ht="13.2" hidden="1">
      <c r="H139" s="2"/>
    </row>
    <row r="140" spans="8:8" ht="13.2" hidden="1">
      <c r="H140" s="2"/>
    </row>
    <row r="141" spans="8:8" ht="13.2" hidden="1">
      <c r="H141" s="2"/>
    </row>
    <row r="142" spans="8:8" ht="13.2" hidden="1">
      <c r="H142" s="2"/>
    </row>
    <row r="143" spans="8:8" ht="13.2" hidden="1">
      <c r="H143" s="2"/>
    </row>
    <row r="144" spans="8:8" ht="13.2" hidden="1">
      <c r="H144" s="2"/>
    </row>
    <row r="145" spans="8:8" ht="13.2" hidden="1">
      <c r="H145" s="2"/>
    </row>
    <row r="146" spans="8:8" ht="13.2" hidden="1">
      <c r="H146" s="2"/>
    </row>
    <row r="147" spans="8:8" ht="13.2" hidden="1">
      <c r="H147" s="2"/>
    </row>
    <row r="148" spans="8:8" ht="13.2" hidden="1">
      <c r="H148" s="2"/>
    </row>
    <row r="149" spans="8:8" ht="13.2" hidden="1">
      <c r="H149" s="2"/>
    </row>
    <row r="150" spans="8:8" ht="13.2" hidden="1">
      <c r="H150" s="2"/>
    </row>
    <row r="151" spans="8:8" ht="13.2" hidden="1">
      <c r="H151" s="2"/>
    </row>
    <row r="152" spans="8:8" ht="13.2" hidden="1">
      <c r="H152" s="2"/>
    </row>
    <row r="153" spans="8:8" ht="13.2" hidden="1">
      <c r="H153" s="2"/>
    </row>
    <row r="154" spans="8:8" ht="13.2" hidden="1">
      <c r="H154" s="2"/>
    </row>
    <row r="155" spans="8:8" ht="13.2" hidden="1">
      <c r="H155" s="2"/>
    </row>
    <row r="156" spans="8:8" ht="13.2" hidden="1">
      <c r="H156" s="2"/>
    </row>
    <row r="157" spans="8:8" ht="13.2" hidden="1">
      <c r="H157" s="2"/>
    </row>
    <row r="158" spans="8:8" ht="13.2" hidden="1">
      <c r="H158" s="2"/>
    </row>
    <row r="159" spans="8:8" ht="13.2" hidden="1">
      <c r="H159" s="2"/>
    </row>
    <row r="160" spans="8:8" ht="13.2" hidden="1">
      <c r="H160" s="2"/>
    </row>
    <row r="161" spans="8:8" ht="13.2" hidden="1">
      <c r="H161" s="2"/>
    </row>
    <row r="162" spans="8:8" ht="13.2" hidden="1">
      <c r="H162" s="2"/>
    </row>
    <row r="163" spans="8:8" ht="13.2" hidden="1">
      <c r="H163" s="2"/>
    </row>
    <row r="164" spans="8:8" ht="13.2" hidden="1">
      <c r="H164" s="2"/>
    </row>
    <row r="165" spans="8:8" ht="13.2" hidden="1">
      <c r="H165" s="2"/>
    </row>
    <row r="166" spans="8:8" ht="13.2" hidden="1">
      <c r="H166" s="2"/>
    </row>
    <row r="167" spans="8:8" ht="13.2" hidden="1">
      <c r="H167" s="2"/>
    </row>
    <row r="168" spans="8:8" ht="13.2" hidden="1">
      <c r="H168" s="2"/>
    </row>
    <row r="169" spans="8:8" ht="13.2" hidden="1">
      <c r="H169" s="2"/>
    </row>
    <row r="170" spans="8:8" ht="13.2" hidden="1">
      <c r="H170" s="2"/>
    </row>
    <row r="171" spans="8:8" ht="13.2" hidden="1">
      <c r="H171" s="2"/>
    </row>
    <row r="172" spans="8:8" ht="13.2" hidden="1">
      <c r="H172" s="2"/>
    </row>
    <row r="173" spans="8:8" ht="13.2" hidden="1">
      <c r="H173" s="2"/>
    </row>
    <row r="174" spans="8:8" ht="13.2" hidden="1">
      <c r="H174" s="2"/>
    </row>
    <row r="175" spans="8:8" ht="13.2" hidden="1">
      <c r="H175" s="2"/>
    </row>
    <row r="176" spans="8:8" ht="13.2" hidden="1">
      <c r="H176" s="2"/>
    </row>
    <row r="177" spans="8:8" ht="13.2" hidden="1">
      <c r="H177" s="2"/>
    </row>
    <row r="178" spans="8:8" ht="13.2" hidden="1">
      <c r="H178" s="2"/>
    </row>
    <row r="179" spans="8:8" ht="13.2" hidden="1">
      <c r="H179" s="2"/>
    </row>
    <row r="180" spans="8:8" ht="13.2" hidden="1">
      <c r="H180" s="2"/>
    </row>
    <row r="181" spans="8:8" ht="13.2" hidden="1">
      <c r="H181" s="2"/>
    </row>
    <row r="182" spans="8:8" ht="13.2" hidden="1">
      <c r="H182" s="2"/>
    </row>
    <row r="183" spans="8:8" ht="13.2" hidden="1">
      <c r="H183" s="2"/>
    </row>
    <row r="184" spans="8:8" ht="13.2" hidden="1">
      <c r="H184" s="2"/>
    </row>
    <row r="185" spans="8:8" ht="13.2" hidden="1">
      <c r="H185" s="2"/>
    </row>
    <row r="186" spans="8:8" ht="13.2" hidden="1">
      <c r="H186" s="2"/>
    </row>
    <row r="187" spans="8:8" ht="13.2" hidden="1">
      <c r="H187" s="2"/>
    </row>
    <row r="188" spans="8:8" ht="13.2" hidden="1">
      <c r="H188" s="2"/>
    </row>
    <row r="189" spans="8:8" ht="13.2" hidden="1">
      <c r="H189" s="2"/>
    </row>
    <row r="190" spans="8:8" ht="13.2" hidden="1">
      <c r="H190" s="2"/>
    </row>
    <row r="191" spans="8:8" ht="13.2" hidden="1">
      <c r="H191" s="2"/>
    </row>
    <row r="192" spans="8:8" ht="13.2" hidden="1">
      <c r="H192" s="2"/>
    </row>
    <row r="193" spans="8:8" ht="13.2" hidden="1">
      <c r="H193" s="2"/>
    </row>
    <row r="194" spans="8:8" ht="13.2" hidden="1">
      <c r="H194" s="2"/>
    </row>
    <row r="195" spans="8:8" ht="13.2" hidden="1">
      <c r="H195" s="2"/>
    </row>
    <row r="196" spans="8:8" ht="13.2" hidden="1">
      <c r="H196" s="2"/>
    </row>
    <row r="197" spans="8:8" ht="13.2" hidden="1">
      <c r="H197" s="2"/>
    </row>
    <row r="198" spans="8:8" ht="13.2" hidden="1">
      <c r="H198" s="2"/>
    </row>
    <row r="199" spans="8:8" ht="13.2" hidden="1">
      <c r="H199" s="2"/>
    </row>
    <row r="200" spans="8:8" ht="13.2" hidden="1">
      <c r="H200" s="2"/>
    </row>
    <row r="201" spans="8:8" ht="13.2" hidden="1">
      <c r="H201" s="2"/>
    </row>
    <row r="202" spans="8:8" ht="13.2" hidden="1">
      <c r="H202" s="2"/>
    </row>
    <row r="203" spans="8:8" ht="13.2" hidden="1">
      <c r="H203" s="2"/>
    </row>
    <row r="204" spans="8:8" ht="13.2" hidden="1">
      <c r="H204" s="2"/>
    </row>
    <row r="205" spans="8:8" ht="13.2" hidden="1">
      <c r="H205" s="2"/>
    </row>
    <row r="206" spans="8:8" ht="13.2" hidden="1">
      <c r="H206" s="2"/>
    </row>
    <row r="207" spans="8:8" ht="13.2" hidden="1">
      <c r="H207" s="2"/>
    </row>
    <row r="208" spans="8:8" ht="13.2" hidden="1">
      <c r="H208" s="2"/>
    </row>
    <row r="209" spans="8:8" ht="13.2" hidden="1">
      <c r="H209" s="2"/>
    </row>
    <row r="210" spans="8:8" ht="13.2" hidden="1">
      <c r="H210" s="2"/>
    </row>
    <row r="211" spans="8:8" ht="13.2" hidden="1">
      <c r="H211" s="2"/>
    </row>
    <row r="212" spans="8:8" ht="13.2" hidden="1">
      <c r="H212" s="2"/>
    </row>
    <row r="213" spans="8:8" ht="13.2" hidden="1">
      <c r="H213" s="2"/>
    </row>
    <row r="214" spans="8:8" ht="13.2" hidden="1">
      <c r="H214" s="2"/>
    </row>
    <row r="215" spans="8:8" ht="13.2" hidden="1">
      <c r="H215" s="2"/>
    </row>
    <row r="216" spans="8:8" ht="13.2" hidden="1">
      <c r="H216" s="2"/>
    </row>
    <row r="217" spans="8:8" ht="13.2" hidden="1">
      <c r="H217" s="2"/>
    </row>
    <row r="218" spans="8:8" ht="13.2" hidden="1">
      <c r="H218" s="2"/>
    </row>
    <row r="219" spans="8:8" ht="13.2" hidden="1">
      <c r="H219" s="2"/>
    </row>
    <row r="220" spans="8:8" ht="13.2" hidden="1">
      <c r="H220" s="2"/>
    </row>
    <row r="221" spans="8:8" ht="13.2" hidden="1">
      <c r="H221" s="2"/>
    </row>
    <row r="222" spans="8:8" ht="13.2" hidden="1">
      <c r="H222" s="2"/>
    </row>
    <row r="223" spans="8:8" ht="13.2" hidden="1">
      <c r="H223" s="2"/>
    </row>
    <row r="224" spans="8:8" ht="13.2" hidden="1">
      <c r="H224" s="2"/>
    </row>
    <row r="225" spans="8:8" ht="13.2" hidden="1">
      <c r="H225" s="2"/>
    </row>
    <row r="226" spans="8:8" ht="13.2" hidden="1">
      <c r="H226" s="2"/>
    </row>
    <row r="227" spans="8:8" ht="13.2" hidden="1">
      <c r="H227" s="2"/>
    </row>
    <row r="228" spans="8:8" ht="13.2" hidden="1">
      <c r="H228" s="2"/>
    </row>
    <row r="229" spans="8:8" ht="13.2" hidden="1">
      <c r="H229" s="2"/>
    </row>
    <row r="230" spans="8:8" ht="13.2" hidden="1">
      <c r="H230" s="2"/>
    </row>
    <row r="231" spans="8:8" ht="13.2" hidden="1">
      <c r="H231" s="2"/>
    </row>
    <row r="232" spans="8:8" ht="13.2" hidden="1">
      <c r="H232" s="2"/>
    </row>
    <row r="233" spans="8:8" ht="13.2" hidden="1">
      <c r="H233" s="2"/>
    </row>
    <row r="234" spans="8:8" ht="13.2" hidden="1">
      <c r="H234" s="2"/>
    </row>
    <row r="235" spans="8:8" ht="13.2" hidden="1">
      <c r="H235" s="2"/>
    </row>
    <row r="236" spans="8:8" ht="13.2" hidden="1">
      <c r="H236" s="2"/>
    </row>
    <row r="237" spans="8:8" ht="13.2" hidden="1">
      <c r="H237" s="2"/>
    </row>
    <row r="238" spans="8:8" ht="13.2" hidden="1">
      <c r="H238" s="2"/>
    </row>
    <row r="239" spans="8:8" ht="13.2" hidden="1">
      <c r="H239" s="2"/>
    </row>
    <row r="240" spans="8:8" ht="13.2" hidden="1">
      <c r="H240" s="2"/>
    </row>
    <row r="241" spans="8:8" ht="13.2" hidden="1">
      <c r="H241" s="2"/>
    </row>
    <row r="242" spans="8:8" ht="13.2" hidden="1">
      <c r="H242" s="2"/>
    </row>
    <row r="243" spans="8:8" ht="13.2" hidden="1">
      <c r="H243" s="2"/>
    </row>
    <row r="244" spans="8:8" ht="13.2" hidden="1">
      <c r="H244" s="2"/>
    </row>
    <row r="245" spans="8:8" ht="13.2" hidden="1">
      <c r="H245" s="2"/>
    </row>
    <row r="246" spans="8:8" ht="13.2" hidden="1">
      <c r="H246" s="2"/>
    </row>
    <row r="247" spans="8:8" ht="13.2" hidden="1">
      <c r="H247" s="2"/>
    </row>
    <row r="248" spans="8:8" ht="13.2" hidden="1">
      <c r="H248" s="2"/>
    </row>
    <row r="249" spans="8:8" ht="13.2" hidden="1">
      <c r="H249" s="2"/>
    </row>
    <row r="250" spans="8:8" ht="13.2" hidden="1">
      <c r="H250" s="2"/>
    </row>
    <row r="251" spans="8:8" ht="13.2" hidden="1">
      <c r="H251" s="2"/>
    </row>
    <row r="252" spans="8:8" ht="13.2" hidden="1">
      <c r="H252" s="2"/>
    </row>
    <row r="253" spans="8:8" ht="13.2" hidden="1">
      <c r="H253" s="2"/>
    </row>
    <row r="254" spans="8:8" ht="13.2" hidden="1">
      <c r="H254" s="2"/>
    </row>
    <row r="255" spans="8:8" ht="13.2" hidden="1">
      <c r="H255" s="2"/>
    </row>
    <row r="256" spans="8:8" ht="13.2" hidden="1">
      <c r="H256" s="2"/>
    </row>
    <row r="257" spans="8:8" ht="13.2" hidden="1">
      <c r="H257" s="2"/>
    </row>
    <row r="258" spans="8:8" ht="13.2" hidden="1">
      <c r="H258" s="2"/>
    </row>
    <row r="259" spans="8:8" ht="13.2" hidden="1">
      <c r="H259" s="2"/>
    </row>
    <row r="260" spans="8:8" ht="13.2" hidden="1">
      <c r="H260" s="2"/>
    </row>
    <row r="261" spans="8:8" ht="13.2" hidden="1">
      <c r="H261" s="2"/>
    </row>
    <row r="262" spans="8:8" ht="13.2" hidden="1">
      <c r="H262" s="2"/>
    </row>
    <row r="263" spans="8:8" ht="13.2" hidden="1">
      <c r="H263" s="2"/>
    </row>
    <row r="264" spans="8:8" ht="13.2" hidden="1">
      <c r="H264" s="2"/>
    </row>
    <row r="265" spans="8:8" ht="13.2" hidden="1">
      <c r="H265" s="2"/>
    </row>
    <row r="266" spans="8:8" ht="13.2" hidden="1">
      <c r="H266" s="2"/>
    </row>
    <row r="267" spans="8:8" ht="13.2" hidden="1">
      <c r="H267" s="2"/>
    </row>
    <row r="268" spans="8:8" ht="13.2" hidden="1">
      <c r="H268" s="2"/>
    </row>
    <row r="269" spans="8:8" ht="13.2" hidden="1">
      <c r="H269" s="2"/>
    </row>
    <row r="270" spans="8:8" ht="13.2" hidden="1">
      <c r="H270" s="2"/>
    </row>
    <row r="271" spans="8:8" ht="13.2" hidden="1">
      <c r="H271" s="2"/>
    </row>
    <row r="272" spans="8:8" ht="13.2" hidden="1">
      <c r="H272" s="2"/>
    </row>
    <row r="273" spans="8:8" ht="13.2" hidden="1">
      <c r="H273" s="2"/>
    </row>
    <row r="274" spans="8:8" ht="13.2" hidden="1">
      <c r="H274" s="2"/>
    </row>
    <row r="275" spans="8:8" ht="13.2" hidden="1">
      <c r="H275" s="2"/>
    </row>
    <row r="276" spans="8:8" ht="13.2" hidden="1">
      <c r="H276" s="2"/>
    </row>
    <row r="277" spans="8:8" ht="13.2" hidden="1">
      <c r="H277" s="2"/>
    </row>
    <row r="278" spans="8:8" ht="13.2" hidden="1">
      <c r="H278" s="2"/>
    </row>
    <row r="279" spans="8:8" ht="13.2" hidden="1">
      <c r="H279" s="2"/>
    </row>
    <row r="280" spans="8:8" ht="13.2" hidden="1">
      <c r="H280" s="2"/>
    </row>
    <row r="281" spans="8:8" ht="13.2" hidden="1">
      <c r="H281" s="2"/>
    </row>
    <row r="282" spans="8:8" ht="13.2" hidden="1">
      <c r="H282" s="2"/>
    </row>
    <row r="283" spans="8:8" ht="13.2" hidden="1">
      <c r="H283" s="2"/>
    </row>
    <row r="284" spans="8:8" ht="13.2" hidden="1">
      <c r="H284" s="2"/>
    </row>
    <row r="285" spans="8:8" ht="13.2" hidden="1">
      <c r="H285" s="2"/>
    </row>
    <row r="286" spans="8:8" ht="13.2" hidden="1">
      <c r="H286" s="2"/>
    </row>
    <row r="287" spans="8:8" ht="13.2" hidden="1">
      <c r="H287" s="2"/>
    </row>
    <row r="288" spans="8:8" ht="13.2" hidden="1">
      <c r="H288" s="2"/>
    </row>
    <row r="289" spans="8:8" ht="13.2" hidden="1">
      <c r="H289" s="2"/>
    </row>
    <row r="290" spans="8:8" ht="13.2" hidden="1">
      <c r="H290" s="2"/>
    </row>
    <row r="291" spans="8:8" ht="13.2" hidden="1">
      <c r="H291" s="2"/>
    </row>
    <row r="292" spans="8:8" ht="13.2" hidden="1">
      <c r="H292" s="2"/>
    </row>
    <row r="293" spans="8:8" ht="13.2" hidden="1">
      <c r="H293" s="2"/>
    </row>
    <row r="294" spans="8:8" ht="13.2" hidden="1">
      <c r="H294" s="2"/>
    </row>
    <row r="295" spans="8:8" ht="13.2" hidden="1">
      <c r="H295" s="2"/>
    </row>
    <row r="296" spans="8:8" ht="13.2" hidden="1">
      <c r="H296" s="2"/>
    </row>
    <row r="297" spans="8:8" ht="13.2" hidden="1">
      <c r="H297" s="2"/>
    </row>
    <row r="298" spans="8:8" ht="13.2" hidden="1">
      <c r="H298" s="2"/>
    </row>
    <row r="299" spans="8:8" ht="13.2" hidden="1">
      <c r="H299" s="2"/>
    </row>
    <row r="300" spans="8:8" ht="13.2" hidden="1">
      <c r="H300" s="2"/>
    </row>
    <row r="301" spans="8:8" ht="13.2" hidden="1">
      <c r="H301" s="2"/>
    </row>
    <row r="302" spans="8:8" ht="13.2" hidden="1">
      <c r="H302" s="2"/>
    </row>
    <row r="303" spans="8:8" ht="13.2" hidden="1">
      <c r="H303" s="2"/>
    </row>
    <row r="304" spans="8:8" ht="13.2" hidden="1">
      <c r="H304" s="2"/>
    </row>
    <row r="305" spans="8:8" ht="13.2" hidden="1">
      <c r="H305" s="2"/>
    </row>
    <row r="306" spans="8:8" ht="13.2" hidden="1">
      <c r="H306" s="2"/>
    </row>
    <row r="307" spans="8:8" ht="13.2" hidden="1">
      <c r="H307" s="2"/>
    </row>
    <row r="308" spans="8:8" ht="13.2" hidden="1">
      <c r="H308" s="2"/>
    </row>
    <row r="309" spans="8:8" ht="13.2" hidden="1">
      <c r="H309" s="2"/>
    </row>
    <row r="310" spans="8:8" ht="13.2" hidden="1">
      <c r="H310" s="2"/>
    </row>
  </sheetData>
  <conditionalFormatting sqref="E10:E21">
    <cfRule type="cellIs" dxfId="28" priority="2" operator="equal">
      <formula>0</formula>
    </cfRule>
  </conditionalFormatting>
  <conditionalFormatting sqref="G10:G21">
    <cfRule type="cellIs" dxfId="27" priority="1" operator="equal">
      <formula>0</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tint="-0.499984740745262"/>
  </sheetPr>
  <dimension ref="A1:Z297"/>
  <sheetViews>
    <sheetView showGridLines="0" topLeftCell="H10" zoomScale="189" zoomScaleNormal="90" workbookViewId="0">
      <selection activeCell="T24" sqref="T24"/>
    </sheetView>
  </sheetViews>
  <sheetFormatPr defaultColWidth="0" defaultRowHeight="10.199999999999999" zeroHeight="1"/>
  <cols>
    <col min="1" max="1" width="2.44140625" style="3" customWidth="1"/>
    <col min="2" max="2" width="30.44140625" style="3" customWidth="1"/>
    <col min="3" max="3" width="1.109375" style="3" customWidth="1"/>
    <col min="4" max="10" width="10.44140625" style="294" customWidth="1"/>
    <col min="11" max="19" width="10.44140625" style="3" customWidth="1"/>
    <col min="20" max="20" width="10.44140625" style="6" customWidth="1"/>
    <col min="21" max="21" width="2.44140625" style="6" customWidth="1"/>
    <col min="22" max="26" width="0" style="3" hidden="1" customWidth="1"/>
    <col min="27" max="29" width="9.109375" style="3" hidden="1" customWidth="1"/>
    <col min="30" max="16384" width="9.109375" style="3" hidden="1"/>
  </cols>
  <sheetData>
    <row r="1" spans="1:24" s="28" customFormat="1" ht="13.2">
      <c r="A1" s="716"/>
      <c r="B1" s="716" t="str">
        <f>'DCF - Assumptions'!$F$8&amp;" | Trading Comparables  - Outputs"</f>
        <v>Bumble INC | Trading Comparables  - Outputs</v>
      </c>
      <c r="D1" s="717"/>
      <c r="E1" s="717"/>
      <c r="F1" s="717"/>
      <c r="G1" s="717"/>
      <c r="H1" s="717"/>
      <c r="I1" s="717"/>
      <c r="J1" s="717"/>
      <c r="T1" s="402"/>
      <c r="U1" s="402"/>
    </row>
    <row r="2" spans="1:24" ht="15.6">
      <c r="A2" s="115"/>
      <c r="O2" s="2"/>
      <c r="P2" s="2"/>
      <c r="R2" s="2"/>
      <c r="S2" s="2"/>
      <c r="T2" s="2"/>
      <c r="U2" s="2"/>
      <c r="V2" s="2"/>
      <c r="W2" s="2"/>
      <c r="X2" s="2"/>
    </row>
    <row r="3" spans="1:24" s="400" customFormat="1" ht="14.4">
      <c r="A3" s="205" t="s">
        <v>1472</v>
      </c>
      <c r="B3" s="1304" t="s">
        <v>1018</v>
      </c>
      <c r="C3" s="1305"/>
      <c r="D3" s="1306" t="str">
        <f>'Comps - Dataset'!H$5</f>
        <v>Market</v>
      </c>
      <c r="E3" s="1306" t="str">
        <f>'Comps - Dataset'!I$5</f>
        <v>Enterprise</v>
      </c>
      <c r="F3" s="1306" t="str">
        <f>'Comps - Dataset'!J$5</f>
        <v>Total</v>
      </c>
      <c r="G3" s="1306" t="s">
        <v>1501</v>
      </c>
      <c r="H3" s="1306" t="str">
        <f>'Comps - Dataset'!L$5</f>
        <v>Revenue</v>
      </c>
      <c r="I3" s="1306" t="str">
        <f>'Comps - Dataset'!M$5</f>
        <v>EBITDA</v>
      </c>
      <c r="J3" s="1306" t="str">
        <f>'Comps - Dataset'!N$5</f>
        <v>Earnings</v>
      </c>
      <c r="K3" s="1307" t="str">
        <f>'Comps - Dataset'!AB$5</f>
        <v>Net Debt /</v>
      </c>
      <c r="L3" s="1307" t="s">
        <v>1473</v>
      </c>
      <c r="M3" s="1308"/>
      <c r="N3" s="1308"/>
      <c r="O3" s="1307" t="s">
        <v>1475</v>
      </c>
      <c r="P3" s="1308"/>
      <c r="Q3" s="1308"/>
      <c r="R3" s="1307" t="s">
        <v>1502</v>
      </c>
      <c r="S3" s="1308"/>
      <c r="T3" s="1309" t="str">
        <f>'Comps - Dataset'!AQ$5</f>
        <v xml:space="preserve">EBITDA </v>
      </c>
      <c r="U3" s="2"/>
    </row>
    <row r="4" spans="1:24" s="400" customFormat="1" ht="14.4">
      <c r="A4" s="205"/>
      <c r="B4" s="1310"/>
      <c r="C4" s="1301"/>
      <c r="D4" s="1311" t="s">
        <v>1503</v>
      </c>
      <c r="E4" s="1311" t="s">
        <v>1504</v>
      </c>
      <c r="F4" s="1311" t="str">
        <f>'Comps - Dataset'!J$6</f>
        <v>Debt</v>
      </c>
      <c r="G4" s="1311" t="s">
        <v>1505</v>
      </c>
      <c r="H4" s="1311" t="str">
        <f>'Comps - Dataset'!L$6</f>
        <v>NTM</v>
      </c>
      <c r="I4" s="1311" t="str">
        <f>'Comps - Dataset'!M$6</f>
        <v>NTM</v>
      </c>
      <c r="J4" s="1311" t="str">
        <f>'Comps - Dataset'!N$6</f>
        <v>NTM</v>
      </c>
      <c r="K4" s="1301" t="str">
        <f>'Comps - Dataset'!AB$6</f>
        <v>EV</v>
      </c>
      <c r="L4" s="1301" t="str">
        <f>'Comps - Dataset'!AE$6</f>
        <v>LTM</v>
      </c>
      <c r="M4" s="1301" t="str">
        <f>'Comps - Dataset'!AF$6</f>
        <v>NTM</v>
      </c>
      <c r="N4" s="1301" t="str">
        <f>'Comps - Dataset'!AG$6</f>
        <v>2024E</v>
      </c>
      <c r="O4" s="1301" t="str">
        <f>'Comps - Dataset'!AI$6</f>
        <v>LTM</v>
      </c>
      <c r="P4" s="1301" t="str">
        <f>'Comps - Dataset'!AJ$6</f>
        <v>NTM</v>
      </c>
      <c r="Q4" s="1301" t="str">
        <f>'Comps - Dataset'!AK$6</f>
        <v>2024E</v>
      </c>
      <c r="R4" s="1301" t="str">
        <f>'Comps - Dataset'!AM$6</f>
        <v>LTM</v>
      </c>
      <c r="S4" s="1301" t="str">
        <f>'Comps - Dataset'!AN$6</f>
        <v>NTM</v>
      </c>
      <c r="T4" s="1312" t="str">
        <f>'Comps - Dataset'!AQ$6</f>
        <v>Margin (%)</v>
      </c>
      <c r="U4" s="2"/>
    </row>
    <row r="5" spans="1:24" ht="13.2">
      <c r="B5" s="1026" t="s">
        <v>1478</v>
      </c>
      <c r="T5" s="1034"/>
      <c r="U5" s="2"/>
    </row>
    <row r="6" spans="1:24" ht="13.2">
      <c r="B6" s="1035" t="str">
        <f>'Comps - Dataset'!B8</f>
        <v>Comparable Companies</v>
      </c>
      <c r="M6" s="253"/>
      <c r="P6" s="253"/>
      <c r="Q6" s="253"/>
      <c r="T6" s="1034"/>
      <c r="U6" s="2"/>
    </row>
    <row r="7" spans="1:24" ht="6" customHeight="1">
      <c r="B7" s="1036"/>
      <c r="C7" s="74"/>
      <c r="D7" s="737"/>
      <c r="E7" s="737"/>
      <c r="F7" s="737"/>
      <c r="G7" s="737"/>
      <c r="H7" s="737"/>
      <c r="I7" s="737"/>
      <c r="J7" s="737"/>
      <c r="K7" s="738"/>
      <c r="L7" s="739"/>
      <c r="M7" s="739"/>
      <c r="N7" s="739"/>
      <c r="O7" s="739"/>
      <c r="P7" s="739"/>
      <c r="Q7" s="739"/>
      <c r="R7" s="739"/>
      <c r="S7" s="739"/>
      <c r="T7" s="1037"/>
      <c r="U7" s="2"/>
    </row>
    <row r="8" spans="1:24" ht="13.2">
      <c r="B8" s="1038" t="str">
        <f>'Comps - Dataset'!B9</f>
        <v xml:space="preserve">Meta Platforms, Inc. </v>
      </c>
      <c r="D8" s="1039">
        <f>VLOOKUP($B8,'Comps - Dataset'!$B$5:$AT$24,'Comps - Outputs'!D$26,0)</f>
        <v>1398768.6</v>
      </c>
      <c r="E8" s="1039">
        <f>VLOOKUP($B8,'Comps - Dataset'!$B$5:$AT$24,'Comps - Outputs'!E$26,0)</f>
        <v>1376915.6</v>
      </c>
      <c r="F8" s="1039">
        <f>VLOOKUP($B8,'Comps - Dataset'!$B$5:$AT$24,'Comps - Outputs'!F$26,0)</f>
        <v>49047</v>
      </c>
      <c r="G8" s="1039">
        <f>VLOOKUP($B8,'Comps - Dataset'!$B$5:$AT$24,'Comps - Outputs'!G$26,0)</f>
        <v>70900</v>
      </c>
      <c r="H8" s="1039">
        <f>VLOOKUP($B8,'Comps - Dataset'!$B$5:$AT$24,'Comps - Outputs'!H$26,0)</f>
        <v>180339.92</v>
      </c>
      <c r="I8" s="1039">
        <f>VLOOKUP($B8,'Comps - Dataset'!$B$5:$AT$24,'Comps - Outputs'!I$26,0)</f>
        <v>110746.7</v>
      </c>
      <c r="J8" s="1039">
        <f>VLOOKUP($B8,'Comps - Dataset'!$B$5:$AT$24,'Comps - Outputs'!J$26,0)</f>
        <v>62653.77</v>
      </c>
      <c r="K8" s="830">
        <f>VLOOKUP($B8,'Comps - Dataset'!$B$5:$AT$24,'Comps - Outputs'!K$26,0)</f>
        <v>-1.5870980036830143E-2</v>
      </c>
      <c r="L8" s="1006">
        <f>VLOOKUP($B8,'Comps - Dataset'!$B$5:$AT$24,'Comps - Outputs'!L$26,0)</f>
        <v>8.8135571956191949</v>
      </c>
      <c r="M8" s="1006">
        <f>VLOOKUP($B8,'Comps - Dataset'!$B$5:$AT$24,'Comps - Outputs'!M$26,0)</f>
        <v>7.6351126250915495</v>
      </c>
      <c r="N8" s="831">
        <f>VLOOKUP($B8,'Comps - Dataset'!$B$5:$AT$24,'Comps - Outputs'!N$26,0)</f>
        <v>7.3792576022534648</v>
      </c>
      <c r="O8" s="1006">
        <f>VLOOKUP($B8,'Comps - Dataset'!$B$5:$AT$24,'Comps - Outputs'!O$26,0)</f>
        <v>17.383322602229544</v>
      </c>
      <c r="P8" s="1006">
        <f>VLOOKUP($B8,'Comps - Dataset'!$B$5:$AT$24,'Comps - Outputs'!P$26,0)</f>
        <v>22.432277089001484</v>
      </c>
      <c r="Q8" s="831">
        <f>VLOOKUP($B8,'Comps - Dataset'!$B$5:$AT$24,'Comps - Outputs'!Q$26,0)</f>
        <v>12.03929685497153</v>
      </c>
      <c r="R8" s="1006">
        <f>VLOOKUP($B8,'Comps - Dataset'!$B$5:$AT$24,'Comps - Outputs'!R$26,0)</f>
        <v>25.185340031329339</v>
      </c>
      <c r="S8" s="831">
        <f>VLOOKUP($B8,'Comps - Dataset'!$B$5:$AT$24,'Comps - Outputs'!S$26,0)</f>
        <v>22.325370045569485</v>
      </c>
      <c r="T8" s="1040">
        <f>VLOOKUP($B8,'Comps - Dataset'!$B$5:$AT$24,'Comps - Outputs'!T$26,0)</f>
        <v>0.61409975118099192</v>
      </c>
      <c r="U8" s="2"/>
    </row>
    <row r="9" spans="1:24" ht="13.2">
      <c r="B9" s="1038" t="str">
        <f>'Comps - Dataset'!B10</f>
        <v xml:space="preserve">Tencent Holdings Limited </v>
      </c>
      <c r="D9" s="1039">
        <f>VLOOKUP($B9,'Comps - Dataset'!$B$5:$AT$24,'Comps - Outputs'!D$26,0)</f>
        <v>472467.20000000001</v>
      </c>
      <c r="E9" s="1039">
        <f>VLOOKUP($B9,'Comps - Dataset'!$B$5:$AT$24,'Comps - Outputs'!E$26,0)</f>
        <v>480613.9</v>
      </c>
      <c r="F9" s="1039">
        <f>VLOOKUP($B9,'Comps - Dataset'!$B$5:$AT$24,'Comps - Outputs'!F$26,0)</f>
        <v>48492.6</v>
      </c>
      <c r="G9" s="1039">
        <f>VLOOKUP($B9,'Comps - Dataset'!$B$5:$AT$24,'Comps - Outputs'!G$26,0)</f>
        <v>49970.6</v>
      </c>
      <c r="H9" s="1039">
        <f>VLOOKUP($B9,'Comps - Dataset'!$B$5:$AT$24,'Comps - Outputs'!H$26,0)</f>
        <v>96594.57</v>
      </c>
      <c r="I9" s="1039">
        <f>VLOOKUP($B9,'Comps - Dataset'!$B$5:$AT$24,'Comps - Outputs'!I$26,0)</f>
        <v>40086.04</v>
      </c>
      <c r="J9" s="1039">
        <f>VLOOKUP($B9,'Comps - Dataset'!$B$5:$AT$24,'Comps - Outputs'!J$26,0)</f>
        <v>30817.05</v>
      </c>
      <c r="K9" s="830">
        <f>VLOOKUP($B9,'Comps - Dataset'!$B$5:$AT$24,'Comps - Outputs'!K$26,0)</f>
        <v>-3.0752335710640078E-3</v>
      </c>
      <c r="L9" s="1006">
        <f>VLOOKUP($B9,'Comps - Dataset'!$B$5:$AT$24,'Comps - Outputs'!L$26,0)</f>
        <v>5.4523597677402762</v>
      </c>
      <c r="M9" s="1006">
        <f>VLOOKUP($B9,'Comps - Dataset'!$B$5:$AT$24,'Comps - Outputs'!M$26,0)</f>
        <v>4.9755788550018911</v>
      </c>
      <c r="N9" s="831">
        <f>VLOOKUP($B9,'Comps - Dataset'!$B$5:$AT$24,'Comps - Outputs'!N$26,0)</f>
        <v>4.8413472134752782</v>
      </c>
      <c r="O9" s="1006">
        <f>VLOOKUP($B9,'Comps - Dataset'!$B$5:$AT$24,'Comps - Outputs'!O$26,0)</f>
        <v>15.573655166603482</v>
      </c>
      <c r="P9" s="1006">
        <f>VLOOKUP($B9,'Comps - Dataset'!$B$5:$AT$24,'Comps - Outputs'!P$26,0)</f>
        <v>18.840732595563189</v>
      </c>
      <c r="Q9" s="831">
        <f>VLOOKUP($B9,'Comps - Dataset'!$B$5:$AT$24,'Comps - Outputs'!Q$26,0)</f>
        <v>11.862683658330038</v>
      </c>
      <c r="R9" s="1006">
        <f>VLOOKUP($B9,'Comps - Dataset'!$B$5:$AT$24,'Comps - Outputs'!R$26,0)</f>
        <v>20.066476676675826</v>
      </c>
      <c r="S9" s="831">
        <f>VLOOKUP($B9,'Comps - Dataset'!$B$5:$AT$24,'Comps - Outputs'!S$26,0)</f>
        <v>15.331357154562166</v>
      </c>
      <c r="T9" s="1040">
        <f>VLOOKUP($B9,'Comps - Dataset'!$B$5:$AT$24,'Comps - Outputs'!T$26,0)</f>
        <v>0.41499268540664341</v>
      </c>
      <c r="U9" s="2"/>
    </row>
    <row r="10" spans="1:24" ht="13.2">
      <c r="B10" s="1038" t="str">
        <f>'Comps - Dataset'!B11</f>
        <v xml:space="preserve">Kuaishou Technology </v>
      </c>
      <c r="D10" s="1039">
        <f>VLOOKUP($B10,'Comps - Dataset'!$B$5:$AT$24,'Comps - Outputs'!D$26,0)</f>
        <v>28457</v>
      </c>
      <c r="E10" s="1039">
        <f>VLOOKUP($B10,'Comps - Dataset'!$B$5:$AT$24,'Comps - Outputs'!E$26,0)</f>
        <v>23168</v>
      </c>
      <c r="F10" s="1039">
        <f>VLOOKUP($B10,'Comps - Dataset'!$B$5:$AT$24,'Comps - Outputs'!F$26,0)</f>
        <v>2058.4</v>
      </c>
      <c r="G10" s="1039">
        <f>VLOOKUP($B10,'Comps - Dataset'!$B$5:$AT$24,'Comps - Outputs'!G$26,0)</f>
        <v>7374.98</v>
      </c>
      <c r="H10" s="1039">
        <f>VLOOKUP($B10,'Comps - Dataset'!$B$5:$AT$24,'Comps - Outputs'!H$26,0)</f>
        <v>18594.45</v>
      </c>
      <c r="I10" s="1039">
        <f>VLOOKUP($B10,'Comps - Dataset'!$B$5:$AT$24,'Comps - Outputs'!I$26,0)</f>
        <v>3730.35</v>
      </c>
      <c r="J10" s="1039">
        <f>VLOOKUP($B10,'Comps - Dataset'!$B$5:$AT$24,'Comps - Outputs'!J$26,0)</f>
        <v>2791.19</v>
      </c>
      <c r="K10" s="830">
        <f>VLOOKUP($B10,'Comps - Dataset'!$B$5:$AT$24,'Comps - Outputs'!K$26,0)</f>
        <v>-0.22947945441988951</v>
      </c>
      <c r="L10" s="1006">
        <f>VLOOKUP($B10,'Comps - Dataset'!$B$5:$AT$24,'Comps - Outputs'!L$26,0)</f>
        <v>1.3818549231265662</v>
      </c>
      <c r="M10" s="1006">
        <f>VLOOKUP($B10,'Comps - Dataset'!$B$5:$AT$24,'Comps - Outputs'!M$26,0)</f>
        <v>1.24596317718459</v>
      </c>
      <c r="N10" s="831">
        <f>VLOOKUP($B10,'Comps - Dataset'!$B$5:$AT$24,'Comps - Outputs'!N$26,0)</f>
        <v>1.1853113079353645</v>
      </c>
      <c r="O10" s="1006">
        <f>VLOOKUP($B10,'Comps - Dataset'!$B$5:$AT$24,'Comps - Outputs'!O$26,0)</f>
        <v>9.9896516040013807</v>
      </c>
      <c r="P10" s="1006">
        <f>VLOOKUP($B10,'Comps - Dataset'!$B$5:$AT$24,'Comps - Outputs'!P$26,0)</f>
        <v>16.62218395752619</v>
      </c>
      <c r="Q10" s="831">
        <f>VLOOKUP($B10,'Comps - Dataset'!$B$5:$AT$24,'Comps - Outputs'!Q$26,0)</f>
        <v>5.5432733258682907</v>
      </c>
      <c r="R10" s="1006">
        <f>VLOOKUP($B10,'Comps - Dataset'!$B$5:$AT$24,'Comps - Outputs'!R$26,0)</f>
        <v>14.775948907004517</v>
      </c>
      <c r="S10" s="831">
        <f>VLOOKUP($B10,'Comps - Dataset'!$B$5:$AT$24,'Comps - Outputs'!S$26,0)</f>
        <v>10.195293047051615</v>
      </c>
      <c r="T10" s="1040">
        <f>VLOOKUP($B10,'Comps - Dataset'!$B$5:$AT$24,'Comps - Outputs'!T$26,0)</f>
        <v>0.20061631293208457</v>
      </c>
      <c r="U10" s="2"/>
    </row>
    <row r="11" spans="1:24" ht="13.2">
      <c r="B11" s="1038" t="str">
        <f>'Comps - Dataset'!B12</f>
        <v xml:space="preserve">Reddit, Inc. </v>
      </c>
      <c r="D11" s="1039">
        <f>VLOOKUP($B11,'Comps - Dataset'!$B$5:$AT$24,'Comps - Outputs'!D$26,0)</f>
        <v>21908.7</v>
      </c>
      <c r="E11" s="1039">
        <f>VLOOKUP($B11,'Comps - Dataset'!$B$5:$AT$24,'Comps - Outputs'!E$26,0)</f>
        <v>20190.7</v>
      </c>
      <c r="F11" s="1039">
        <f>VLOOKUP($B11,'Comps - Dataset'!$B$5:$AT$24,'Comps - Outputs'!F$26,0)</f>
        <v>27</v>
      </c>
      <c r="G11" s="1039">
        <f>VLOOKUP($B11,'Comps - Dataset'!$B$5:$AT$24,'Comps - Outputs'!G$26,0)</f>
        <v>1744.97</v>
      </c>
      <c r="H11" s="1039">
        <f>VLOOKUP($B11,'Comps - Dataset'!$B$5:$AT$24,'Comps - Outputs'!H$26,0)</f>
        <v>1560.34</v>
      </c>
      <c r="I11" s="1039">
        <f>VLOOKUP($B11,'Comps - Dataset'!$B$5:$AT$24,'Comps - Outputs'!I$26,0)</f>
        <v>409.36</v>
      </c>
      <c r="J11" s="1039">
        <f>VLOOKUP($B11,'Comps - Dataset'!$B$5:$AT$24,'Comps - Outputs'!J$26,0)</f>
        <v>452.65</v>
      </c>
      <c r="K11" s="830">
        <f>VLOOKUP($B11,'Comps - Dataset'!$B$5:$AT$24,'Comps - Outputs'!K$26,0)</f>
        <v>-8.5087193608938766E-2</v>
      </c>
      <c r="L11" s="1006">
        <f>VLOOKUP($B11,'Comps - Dataset'!$B$5:$AT$24,'Comps - Outputs'!L$26,0)</f>
        <v>17.991267542882603</v>
      </c>
      <c r="M11" s="1006">
        <f>VLOOKUP($B11,'Comps - Dataset'!$B$5:$AT$24,'Comps - Outputs'!M$26,0)</f>
        <v>12.93993616775831</v>
      </c>
      <c r="N11" s="831">
        <f>VLOOKUP($B11,'Comps - Dataset'!$B$5:$AT$24,'Comps - Outputs'!N$26,0)</f>
        <v>12.277638931961496</v>
      </c>
      <c r="O11" s="1006">
        <f>VLOOKUP($B11,'Comps - Dataset'!$B$5:$AT$24,'Comps - Outputs'!O$26,0)</f>
        <v>-33.922547043010752</v>
      </c>
      <c r="P11" s="1006">
        <f>VLOOKUP($B11,'Comps - Dataset'!$B$5:$AT$24,'Comps - Outputs'!P$26,0)</f>
        <v>-159.61027667984192</v>
      </c>
      <c r="Q11" s="831">
        <f>VLOOKUP($B11,'Comps - Dataset'!$B$5:$AT$24,'Comps - Outputs'!Q$26,0)</f>
        <v>45.168340753003292</v>
      </c>
      <c r="R11" s="1006">
        <f>VLOOKUP($B11,'Comps - Dataset'!$B$5:$AT$24,'Comps - Outputs'!R$26,0)</f>
        <v>-40.813524590163937</v>
      </c>
      <c r="S11" s="831">
        <f>VLOOKUP($B11,'Comps - Dataset'!$B$5:$AT$24,'Comps - Outputs'!S$26,0)</f>
        <v>48.400972053462944</v>
      </c>
      <c r="T11" s="1040">
        <f>VLOOKUP($B11,'Comps - Dataset'!$B$5:$AT$24,'Comps - Outputs'!T$26,0)</f>
        <v>0.26235307689349757</v>
      </c>
      <c r="U11" s="2"/>
    </row>
    <row r="12" spans="1:24" ht="13.2">
      <c r="B12" s="1038" t="str">
        <f>'Comps - Dataset'!B13</f>
        <v xml:space="preserve">Pinterest, Inc. </v>
      </c>
      <c r="D12" s="1039">
        <f>VLOOKUP($B12,'Comps - Dataset'!$B$5:$AT$24,'Comps - Outputs'!D$26,0)</f>
        <v>19085.3</v>
      </c>
      <c r="E12" s="1039">
        <f>VLOOKUP($B12,'Comps - Dataset'!$B$5:$AT$24,'Comps - Outputs'!E$26,0)</f>
        <v>16797.2</v>
      </c>
      <c r="F12" s="1039">
        <f>VLOOKUP($B12,'Comps - Dataset'!$B$5:$AT$24,'Comps - Outputs'!F$26,0)</f>
        <v>154.4</v>
      </c>
      <c r="G12" s="1039">
        <f>VLOOKUP($B12,'Comps - Dataset'!$B$5:$AT$24,'Comps - Outputs'!G$26,0)</f>
        <v>2442.56</v>
      </c>
      <c r="H12" s="1039">
        <f>VLOOKUP($B12,'Comps - Dataset'!$B$5:$AT$24,'Comps - Outputs'!H$26,0)</f>
        <v>4010.93</v>
      </c>
      <c r="I12" s="1039">
        <f>VLOOKUP($B12,'Comps - Dataset'!$B$5:$AT$24,'Comps - Outputs'!I$26,0)</f>
        <v>1123.42</v>
      </c>
      <c r="J12" s="1039">
        <f>VLOOKUP($B12,'Comps - Dataset'!$B$5:$AT$24,'Comps - Outputs'!J$26,0)</f>
        <v>1184.96</v>
      </c>
      <c r="K12" s="830">
        <f>VLOOKUP($B12,'Comps - Dataset'!$B$5:$AT$24,'Comps - Outputs'!K$26,0)</f>
        <v>-0.13622270378396398</v>
      </c>
      <c r="L12" s="1006">
        <f>VLOOKUP($B12,'Comps - Dataset'!$B$5:$AT$24,'Comps - Outputs'!L$26,0)</f>
        <v>4.8360924768951721</v>
      </c>
      <c r="M12" s="1006">
        <f>VLOOKUP($B12,'Comps - Dataset'!$B$5:$AT$24,'Comps - Outputs'!M$26,0)</f>
        <v>4.1878566816174807</v>
      </c>
      <c r="N12" s="831">
        <f>VLOOKUP($B12,'Comps - Dataset'!$B$5:$AT$24,'Comps - Outputs'!N$26,0)</f>
        <v>4.0002857823291258</v>
      </c>
      <c r="O12" s="1006">
        <f>VLOOKUP($B12,'Comps - Dataset'!$B$5:$AT$24,'Comps - Outputs'!O$26,0)</f>
        <v>94.845849802371546</v>
      </c>
      <c r="P12" s="1006">
        <f>VLOOKUP($B12,'Comps - Dataset'!$B$5:$AT$24,'Comps - Outputs'!P$26,0)</f>
        <v>739.9647577092511</v>
      </c>
      <c r="Q12" s="831">
        <f>VLOOKUP($B12,'Comps - Dataset'!$B$5:$AT$24,'Comps - Outputs'!Q$26,0)</f>
        <v>13.744763026970412</v>
      </c>
      <c r="R12" s="1006">
        <f>VLOOKUP($B12,'Comps - Dataset'!$B$5:$AT$24,'Comps - Outputs'!R$26,0)</f>
        <v>88.439759036144565</v>
      </c>
      <c r="S12" s="831">
        <f>VLOOKUP($B12,'Comps - Dataset'!$B$5:$AT$24,'Comps - Outputs'!S$26,0)</f>
        <v>16.106282068593032</v>
      </c>
      <c r="T12" s="1040">
        <f>VLOOKUP($B12,'Comps - Dataset'!$B$5:$AT$24,'Comps - Outputs'!T$26,0)</f>
        <v>0.28008965501766425</v>
      </c>
      <c r="U12" s="2"/>
    </row>
    <row r="13" spans="1:24" ht="13.2">
      <c r="B13" s="1038" t="str">
        <f>'Comps - Dataset'!B14</f>
        <v xml:space="preserve">Snap Inc. </v>
      </c>
      <c r="D13" s="1039">
        <f>VLOOKUP($B13,'Comps - Dataset'!$B$5:$AT$24,'Comps - Outputs'!D$26,0)</f>
        <v>17778.400000000001</v>
      </c>
      <c r="E13" s="1039">
        <f>VLOOKUP($B13,'Comps - Dataset'!$B$5:$AT$24,'Comps - Outputs'!E$26,0)</f>
        <v>18826.8</v>
      </c>
      <c r="F13" s="1039">
        <f>VLOOKUP($B13,'Comps - Dataset'!$B$5:$AT$24,'Comps - Outputs'!F$26,0)</f>
        <v>4240.6000000000004</v>
      </c>
      <c r="G13" s="1039">
        <f>VLOOKUP($B13,'Comps - Dataset'!$B$5:$AT$24,'Comps - Outputs'!G$26,0)</f>
        <v>3192.13</v>
      </c>
      <c r="H13" s="1039">
        <f>VLOOKUP($B13,'Comps - Dataset'!$B$5:$AT$24,'Comps - Outputs'!H$26,0)</f>
        <v>5869.12</v>
      </c>
      <c r="I13" s="1039">
        <f>VLOOKUP($B13,'Comps - Dataset'!$B$5:$AT$24,'Comps - Outputs'!I$26,0)</f>
        <v>651.83000000000004</v>
      </c>
      <c r="J13" s="1039">
        <f>VLOOKUP($B13,'Comps - Dataset'!$B$5:$AT$24,'Comps - Outputs'!J$26,0)</f>
        <v>633.03</v>
      </c>
      <c r="K13" s="830">
        <f>VLOOKUP($B13,'Comps - Dataset'!$B$5:$AT$24,'Comps - Outputs'!K$26,0)</f>
        <v>5.5690292561667423E-2</v>
      </c>
      <c r="L13" s="1006">
        <f>VLOOKUP($B13,'Comps - Dataset'!$B$5:$AT$24,'Comps - Outputs'!L$26,0)</f>
        <v>3.6447903356952027</v>
      </c>
      <c r="M13" s="1006">
        <f>VLOOKUP($B13,'Comps - Dataset'!$B$5:$AT$24,'Comps - Outputs'!M$26,0)</f>
        <v>3.2077722043509076</v>
      </c>
      <c r="N13" s="831">
        <f>VLOOKUP($B13,'Comps - Dataset'!$B$5:$AT$24,'Comps - Outputs'!N$26,0)</f>
        <v>3.097256907086241</v>
      </c>
      <c r="O13" s="1006">
        <f>VLOOKUP($B13,'Comps - Dataset'!$B$5:$AT$24,'Comps - Outputs'!O$26,0)</f>
        <v>-24.507680291590731</v>
      </c>
      <c r="P13" s="1006">
        <f>VLOOKUP($B13,'Comps - Dataset'!$B$5:$AT$24,'Comps - Outputs'!P$26,0)</f>
        <v>-15.307585982600211</v>
      </c>
      <c r="Q13" s="831">
        <f>VLOOKUP($B13,'Comps - Dataset'!$B$5:$AT$24,'Comps - Outputs'!Q$26,0)</f>
        <v>24.872905987422712</v>
      </c>
      <c r="R13" s="1006">
        <f>VLOOKUP($B13,'Comps - Dataset'!$B$5:$AT$24,'Comps - Outputs'!R$26,0)</f>
        <v>-18.612227805695142</v>
      </c>
      <c r="S13" s="831">
        <f>VLOOKUP($B13,'Comps - Dataset'!$B$5:$AT$24,'Comps - Outputs'!S$26,0)</f>
        <v>28.084608944283843</v>
      </c>
      <c r="T13" s="1040">
        <f>VLOOKUP($B13,'Comps - Dataset'!$B$5:$AT$24,'Comps - Outputs'!T$26,0)</f>
        <v>0.11106094269669048</v>
      </c>
      <c r="U13" s="2"/>
    </row>
    <row r="14" spans="1:24" ht="13.2">
      <c r="B14" s="1038" t="str">
        <f>'Comps - Dataset'!B15</f>
        <v xml:space="preserve">Kakao Corp. </v>
      </c>
      <c r="D14" s="1039">
        <f>VLOOKUP($B14,'Comps - Dataset'!$B$5:$AT$24,'Comps - Outputs'!D$26,0)</f>
        <v>1917965.4089858793</v>
      </c>
      <c r="E14" s="1039">
        <f>VLOOKUP($B14,'Comps - Dataset'!$B$5:$AT$24,'Comps - Outputs'!E$26,0)</f>
        <v>2096980.0534017973</v>
      </c>
      <c r="F14" s="1039">
        <f>VLOOKUP($B14,'Comps - Dataset'!$B$5:$AT$24,'Comps - Outputs'!F$26,0)</f>
        <v>598077.35455712455</v>
      </c>
      <c r="G14" s="1039">
        <f>VLOOKUP($B14,'Comps - Dataset'!$B$5:$AT$24,'Comps - Outputs'!G$26,0)</f>
        <v>943846.20097560994</v>
      </c>
      <c r="H14" s="1039">
        <f>VLOOKUP($B14,'Comps - Dataset'!$B$5:$AT$24,'Comps - Outputs'!H$26,0)</f>
        <v>1055777.8401026959</v>
      </c>
      <c r="I14" s="1039">
        <f>VLOOKUP($B14,'Comps - Dataset'!$B$5:$AT$24,'Comps - Outputs'!I$26,0)</f>
        <v>180591.55019255454</v>
      </c>
      <c r="J14" s="1039">
        <f>VLOOKUP($B14,'Comps - Dataset'!$B$5:$AT$24,'Comps - Outputs'!J$26,0)</f>
        <v>60056.814890885747</v>
      </c>
      <c r="K14" s="830">
        <f>VLOOKUP($B14,'Comps - Dataset'!$B$5:$AT$24,'Comps - Outputs'!K$26,0)</f>
        <v>-0.16488895345359467</v>
      </c>
      <c r="L14" s="1006">
        <f>VLOOKUP($B14,'Comps - Dataset'!$B$5:$AT$24,'Comps - Outputs'!L$26,0)</f>
        <v>2.041534443686531</v>
      </c>
      <c r="M14" s="1006">
        <f>VLOOKUP($B14,'Comps - Dataset'!$B$5:$AT$24,'Comps - Outputs'!M$26,0)</f>
        <v>1.9861944187025402</v>
      </c>
      <c r="N14" s="831">
        <f>VLOOKUP($B14,'Comps - Dataset'!$B$5:$AT$24,'Comps - Outputs'!N$26,0)</f>
        <v>1.8806700297794585</v>
      </c>
      <c r="O14" s="1006">
        <f>VLOOKUP($B14,'Comps - Dataset'!$B$5:$AT$24,'Comps - Outputs'!O$26,0)</f>
        <v>12.18228190714137</v>
      </c>
      <c r="P14" s="1006">
        <f>VLOOKUP($B14,'Comps - Dataset'!$B$5:$AT$24,'Comps - Outputs'!P$26,0)</f>
        <v>13.608908012559601</v>
      </c>
      <c r="Q14" s="831">
        <f>VLOOKUP($B14,'Comps - Dataset'!$B$5:$AT$24,'Comps - Outputs'!Q$26,0)</f>
        <v>11.431711391366358</v>
      </c>
      <c r="R14" s="1006">
        <f>VLOOKUP($B14,'Comps - Dataset'!$B$5:$AT$24,'Comps - Outputs'!R$26,0)</f>
        <v>-16.320982006709364</v>
      </c>
      <c r="S14" s="831">
        <f>VLOOKUP($B14,'Comps - Dataset'!$B$5:$AT$24,'Comps - Outputs'!S$26,0)</f>
        <v>31.935849619573325</v>
      </c>
      <c r="T14" s="1040">
        <f>VLOOKUP($B14,'Comps - Dataset'!$B$5:$AT$24,'Comps - Outputs'!T$26,0)</f>
        <v>0.17105071098573951</v>
      </c>
      <c r="U14" s="2"/>
    </row>
    <row r="15" spans="1:24" ht="13.2">
      <c r="B15" s="1038" t="str">
        <f>'Comps - Dataset'!B16</f>
        <v xml:space="preserve">Match Group, Inc. </v>
      </c>
      <c r="D15" s="1039">
        <f>VLOOKUP($B15,'Comps - Dataset'!$B$5:$AT$24,'Comps - Outputs'!D$26,0)</f>
        <v>7711</v>
      </c>
      <c r="E15" s="1039">
        <f>VLOOKUP($B15,'Comps - Dataset'!$B$5:$AT$24,'Comps - Outputs'!E$26,0)</f>
        <v>10790.1</v>
      </c>
      <c r="F15" s="1039">
        <f>VLOOKUP($B15,'Comps - Dataset'!$B$5:$AT$24,'Comps - Outputs'!F$26,0)</f>
        <v>3939.9</v>
      </c>
      <c r="G15" s="1039">
        <f>VLOOKUP($B15,'Comps - Dataset'!$B$5:$AT$24,'Comps - Outputs'!G$26,0)</f>
        <v>860.86</v>
      </c>
      <c r="H15" s="1039">
        <f>VLOOKUP($B15,'Comps - Dataset'!$B$5:$AT$24,'Comps - Outputs'!H$26,0)</f>
        <v>3556.71</v>
      </c>
      <c r="I15" s="1039">
        <f>VLOOKUP($B15,'Comps - Dataset'!$B$5:$AT$24,'Comps - Outputs'!I$26,0)</f>
        <v>1314.83</v>
      </c>
      <c r="J15" s="1039">
        <f>VLOOKUP($B15,'Comps - Dataset'!$B$5:$AT$24,'Comps - Outputs'!J$26,0)</f>
        <v>916.13</v>
      </c>
      <c r="K15" s="830">
        <f>VLOOKUP($B15,'Comps - Dataset'!$B$5:$AT$24,'Comps - Outputs'!K$26,0)</f>
        <v>0.28535787434778176</v>
      </c>
      <c r="L15" s="1006">
        <f>VLOOKUP($B15,'Comps - Dataset'!$B$5:$AT$24,'Comps - Outputs'!L$26,0)</f>
        <v>3.0957729749270539</v>
      </c>
      <c r="M15" s="1006">
        <f>VLOOKUP($B15,'Comps - Dataset'!$B$5:$AT$24,'Comps - Outputs'!M$26,0)</f>
        <v>3.0337306105923734</v>
      </c>
      <c r="N15" s="831">
        <f>VLOOKUP($B15,'Comps - Dataset'!$B$5:$AT$24,'Comps - Outputs'!N$26,0)</f>
        <v>2.9706871061260562</v>
      </c>
      <c r="O15" s="1006">
        <f>VLOOKUP($B15,'Comps - Dataset'!$B$5:$AT$24,'Comps - Outputs'!O$26,0)</f>
        <v>10.865068975933944</v>
      </c>
      <c r="P15" s="1006">
        <f>VLOOKUP($B15,'Comps - Dataset'!$B$5:$AT$24,'Comps - Outputs'!P$26,0)</f>
        <v>10.512568199532346</v>
      </c>
      <c r="Q15" s="831">
        <f>VLOOKUP($B15,'Comps - Dataset'!$B$5:$AT$24,'Comps - Outputs'!Q$26,0)</f>
        <v>8.0311567289156187</v>
      </c>
      <c r="R15" s="1006">
        <f>VLOOKUP($B15,'Comps - Dataset'!$B$5:$AT$24,'Comps - Outputs'!R$26,0)</f>
        <v>12.385159010600706</v>
      </c>
      <c r="S15" s="831">
        <f>VLOOKUP($B15,'Comps - Dataset'!$B$5:$AT$24,'Comps - Outputs'!S$26,0)</f>
        <v>8.4169277285974697</v>
      </c>
      <c r="T15" s="1040">
        <f>VLOOKUP($B15,'Comps - Dataset'!$B$5:$AT$24,'Comps - Outputs'!T$26,0)</f>
        <v>0.36967590835350644</v>
      </c>
      <c r="U15" s="2"/>
    </row>
    <row r="16" spans="1:24" ht="13.2">
      <c r="B16" s="1038" t="str">
        <f>'Comps - Dataset'!B17</f>
        <v xml:space="preserve">Yelp Inc. </v>
      </c>
      <c r="D16" s="1039">
        <f>VLOOKUP($B16,'Comps - Dataset'!$B$5:$AT$24,'Comps - Outputs'!D$26,0)</f>
        <v>2366.1</v>
      </c>
      <c r="E16" s="1039">
        <f>VLOOKUP($B16,'Comps - Dataset'!$B$5:$AT$24,'Comps - Outputs'!E$26,0)</f>
        <v>2015.6</v>
      </c>
      <c r="F16" s="1039">
        <f>VLOOKUP($B16,'Comps - Dataset'!$B$5:$AT$24,'Comps - Outputs'!F$26,0)</f>
        <v>53.9</v>
      </c>
      <c r="G16" s="1039">
        <f>VLOOKUP($B16,'Comps - Dataset'!$B$5:$AT$24,'Comps - Outputs'!G$26,0)</f>
        <v>404.51</v>
      </c>
      <c r="H16" s="1039">
        <f>VLOOKUP($B16,'Comps - Dataset'!$B$5:$AT$24,'Comps - Outputs'!H$26,0)</f>
        <v>1448.22</v>
      </c>
      <c r="I16" s="1039">
        <f>VLOOKUP($B16,'Comps - Dataset'!$B$5:$AT$24,'Comps - Outputs'!I$26,0)</f>
        <v>353.69</v>
      </c>
      <c r="J16" s="1039">
        <f>VLOOKUP($B16,'Comps - Dataset'!$B$5:$AT$24,'Comps - Outputs'!J$26,0)</f>
        <v>282.3</v>
      </c>
      <c r="K16" s="830">
        <f>VLOOKUP($B16,'Comps - Dataset'!$B$5:$AT$24,'Comps - Outputs'!K$26,0)</f>
        <v>-0.1739482040087319</v>
      </c>
      <c r="L16" s="1006">
        <f>VLOOKUP($B16,'Comps - Dataset'!$B$5:$AT$24,'Comps - Outputs'!L$26,0)</f>
        <v>1.4474789765097056</v>
      </c>
      <c r="M16" s="1006">
        <f>VLOOKUP($B16,'Comps - Dataset'!$B$5:$AT$24,'Comps - Outputs'!M$26,0)</f>
        <v>1.3917774923699437</v>
      </c>
      <c r="N16" s="831">
        <f>VLOOKUP($B16,'Comps - Dataset'!$B$5:$AT$24,'Comps - Outputs'!N$26,0)</f>
        <v>1.3667864650437376</v>
      </c>
      <c r="O16" s="1006">
        <f>VLOOKUP($B16,'Comps - Dataset'!$B$5:$AT$24,'Comps - Outputs'!O$26,0)</f>
        <v>12.676729559748427</v>
      </c>
      <c r="P16" s="1006">
        <f>VLOOKUP($B16,'Comps - Dataset'!$B$5:$AT$24,'Comps - Outputs'!P$26,0)</f>
        <v>15.858379228953579</v>
      </c>
      <c r="Q16" s="831">
        <f>VLOOKUP($B16,'Comps - Dataset'!$B$5:$AT$24,'Comps - Outputs'!Q$26,0)</f>
        <v>5.6309540438608741</v>
      </c>
      <c r="R16" s="1006">
        <f>VLOOKUP($B16,'Comps - Dataset'!$B$5:$AT$24,'Comps - Outputs'!R$26,0)</f>
        <v>20.051694915254238</v>
      </c>
      <c r="S16" s="831">
        <f>VLOOKUP($B16,'Comps - Dataset'!$B$5:$AT$24,'Comps - Outputs'!S$26,0)</f>
        <v>8.3815090329436757</v>
      </c>
      <c r="T16" s="1040">
        <f>VLOOKUP($B16,'Comps - Dataset'!$B$5:$AT$24,'Comps - Outputs'!T$26,0)</f>
        <v>0.24422394387593044</v>
      </c>
      <c r="U16" s="2"/>
    </row>
    <row r="17" spans="1:24" ht="13.2">
      <c r="B17" s="1038" t="str">
        <f>'Comps - Dataset'!B18</f>
        <v xml:space="preserve">Weibo Corporation </v>
      </c>
      <c r="D17" s="1039">
        <f>VLOOKUP($B17,'Comps - Dataset'!$B$5:$AT$24,'Comps - Outputs'!D$26,0)</f>
        <v>2031.7</v>
      </c>
      <c r="E17" s="1039">
        <f>VLOOKUP($B17,'Comps - Dataset'!$B$5:$AT$24,'Comps - Outputs'!E$26,0)</f>
        <v>1938.5</v>
      </c>
      <c r="F17" s="1039">
        <f>VLOOKUP($B17,'Comps - Dataset'!$B$5:$AT$24,'Comps - Outputs'!F$26,0)</f>
        <v>2656.9</v>
      </c>
      <c r="G17" s="1039">
        <f>VLOOKUP($B17,'Comps - Dataset'!$B$5:$AT$24,'Comps - Outputs'!G$26,0)</f>
        <v>2838.01</v>
      </c>
      <c r="H17" s="1039">
        <f>VLOOKUP($B17,'Comps - Dataset'!$B$5:$AT$24,'Comps - Outputs'!H$26,0)</f>
        <v>1747.98</v>
      </c>
      <c r="I17" s="1039">
        <f>VLOOKUP($B17,'Comps - Dataset'!$B$5:$AT$24,'Comps - Outputs'!I$26,0)</f>
        <v>531.99</v>
      </c>
      <c r="J17" s="1039">
        <f>VLOOKUP($B17,'Comps - Dataset'!$B$5:$AT$24,'Comps - Outputs'!J$26,0)</f>
        <v>464.39</v>
      </c>
      <c r="K17" s="830">
        <f>VLOOKUP($B17,'Comps - Dataset'!$B$5:$AT$24,'Comps - Outputs'!K$26,0)</f>
        <v>-9.3427908176425142E-2</v>
      </c>
      <c r="L17" s="1006">
        <f>VLOOKUP($B17,'Comps - Dataset'!$B$5:$AT$24,'Comps - Outputs'!L$26,0)</f>
        <v>1.1145993249731196</v>
      </c>
      <c r="M17" s="1006">
        <f>VLOOKUP($B17,'Comps - Dataset'!$B$5:$AT$24,'Comps - Outputs'!M$26,0)</f>
        <v>1.1089943820867516</v>
      </c>
      <c r="N17" s="831">
        <f>VLOOKUP($B17,'Comps - Dataset'!$B$5:$AT$24,'Comps - Outputs'!N$26,0)</f>
        <v>1.0909080677111471</v>
      </c>
      <c r="O17" s="1006">
        <f>VLOOKUP($B17,'Comps - Dataset'!$B$5:$AT$24,'Comps - Outputs'!O$26,0)</f>
        <v>3.5341841385597084</v>
      </c>
      <c r="P17" s="1006">
        <f>VLOOKUP($B17,'Comps - Dataset'!$B$5:$AT$24,'Comps - Outputs'!P$26,0)</f>
        <v>3.6479111780203239</v>
      </c>
      <c r="Q17" s="831">
        <f>VLOOKUP($B17,'Comps - Dataset'!$B$5:$AT$24,'Comps - Outputs'!Q$26,0)</f>
        <v>3.5647952334540909</v>
      </c>
      <c r="R17" s="1006">
        <f>VLOOKUP($B17,'Comps - Dataset'!$B$5:$AT$24,'Comps - Outputs'!R$26,0)</f>
        <v>6.307668425954672</v>
      </c>
      <c r="S17" s="831">
        <f>VLOOKUP($B17,'Comps - Dataset'!$B$5:$AT$24,'Comps - Outputs'!S$26,0)</f>
        <v>4.3749865414845281</v>
      </c>
      <c r="T17" s="1040">
        <f>VLOOKUP($B17,'Comps - Dataset'!$B$5:$AT$24,'Comps - Outputs'!T$26,0)</f>
        <v>0.30434558747811757</v>
      </c>
      <c r="U17" s="2"/>
    </row>
    <row r="18" spans="1:24" ht="13.2">
      <c r="B18" s="1038" t="str">
        <f>'Comps - Dataset'!B19</f>
        <v xml:space="preserve">Tripadvisor, Inc. </v>
      </c>
      <c r="D18" s="1039">
        <f>VLOOKUP($B18,'Comps - Dataset'!$B$5:$AT$24,'Comps - Outputs'!D$26,0)</f>
        <v>1942.3</v>
      </c>
      <c r="E18" s="1039">
        <f>VLOOKUP($B18,'Comps - Dataset'!$B$5:$AT$24,'Comps - Outputs'!E$26,0)</f>
        <v>1739.3</v>
      </c>
      <c r="F18" s="1039">
        <f>VLOOKUP($B18,'Comps - Dataset'!$B$5:$AT$24,'Comps - Outputs'!F$26,0)</f>
        <v>909</v>
      </c>
      <c r="G18" s="1039">
        <f>VLOOKUP($B18,'Comps - Dataset'!$B$5:$AT$24,'Comps - Outputs'!G$26,0)</f>
        <v>1112</v>
      </c>
      <c r="H18" s="1039">
        <f>VLOOKUP($B18,'Comps - Dataset'!$B$5:$AT$24,'Comps - Outputs'!H$26,0)</f>
        <v>1905.4</v>
      </c>
      <c r="I18" s="1039">
        <f>VLOOKUP($B18,'Comps - Dataset'!$B$5:$AT$24,'Comps - Outputs'!I$26,0)</f>
        <v>322.19</v>
      </c>
      <c r="J18" s="1039">
        <f>VLOOKUP($B18,'Comps - Dataset'!$B$5:$AT$24,'Comps - Outputs'!J$26,0)</f>
        <v>187.44</v>
      </c>
      <c r="K18" s="830">
        <f>VLOOKUP($B18,'Comps - Dataset'!$B$5:$AT$24,'Comps - Outputs'!K$26,0)</f>
        <v>-0.11671362042200886</v>
      </c>
      <c r="L18" s="1006">
        <f>VLOOKUP($B18,'Comps - Dataset'!$B$5:$AT$24,'Comps - Outputs'!L$26,0)</f>
        <v>0.9588202866593164</v>
      </c>
      <c r="M18" s="1006">
        <f>VLOOKUP($B18,'Comps - Dataset'!$B$5:$AT$24,'Comps - Outputs'!M$26,0)</f>
        <v>0.91282670305447666</v>
      </c>
      <c r="N18" s="831">
        <f>VLOOKUP($B18,'Comps - Dataset'!$B$5:$AT$24,'Comps - Outputs'!N$26,0)</f>
        <v>0.89778199893668087</v>
      </c>
      <c r="O18" s="1006">
        <f>VLOOKUP($B18,'Comps - Dataset'!$B$5:$AT$24,'Comps - Outputs'!O$26,0)</f>
        <v>10.73641975308642</v>
      </c>
      <c r="P18" s="1006">
        <f>VLOOKUP($B18,'Comps - Dataset'!$B$5:$AT$24,'Comps - Outputs'!P$26,0)</f>
        <v>9.6627777777777784</v>
      </c>
      <c r="Q18" s="831">
        <f>VLOOKUP($B18,'Comps - Dataset'!$B$5:$AT$24,'Comps - Outputs'!Q$26,0)</f>
        <v>5.0907334777263937</v>
      </c>
      <c r="R18" s="1006">
        <f>VLOOKUP($B18,'Comps - Dataset'!$B$5:$AT$24,'Comps - Outputs'!R$26,0)</f>
        <v>53.952777777777776</v>
      </c>
      <c r="S18" s="831">
        <f>VLOOKUP($B18,'Comps - Dataset'!$B$5:$AT$24,'Comps - Outputs'!S$26,0)</f>
        <v>10.362249253094323</v>
      </c>
      <c r="T18" s="1040">
        <f>VLOOKUP($B18,'Comps - Dataset'!$B$5:$AT$24,'Comps - Outputs'!T$26,0)</f>
        <v>0.16909310381022358</v>
      </c>
      <c r="U18" s="2"/>
    </row>
    <row r="19" spans="1:24" ht="13.2">
      <c r="B19" s="1038" t="str">
        <f>'Comps - Dataset'!B20</f>
        <v xml:space="preserve">Hello Group Inc. </v>
      </c>
      <c r="D19" s="1039">
        <f>VLOOKUP($B19,'Comps - Dataset'!$B$5:$AT$24,'Comps - Outputs'!D$26,0)</f>
        <v>1184.9000000000001</v>
      </c>
      <c r="E19" s="1039">
        <f>VLOOKUP($B19,'Comps - Dataset'!$B$5:$AT$24,'Comps - Outputs'!E$26,0)</f>
        <v>842.2</v>
      </c>
      <c r="F19" s="1039">
        <f>VLOOKUP($B19,'Comps - Dataset'!$B$5:$AT$24,'Comps - Outputs'!F$26,0)</f>
        <v>529.5</v>
      </c>
      <c r="G19" s="1039">
        <f>VLOOKUP($B19,'Comps - Dataset'!$B$5:$AT$24,'Comps - Outputs'!G$26,0)</f>
        <v>874.9</v>
      </c>
      <c r="H19" s="1039">
        <f>VLOOKUP($B19,'Comps - Dataset'!$B$5:$AT$24,'Comps - Outputs'!H$26,0)</f>
        <v>1449.78</v>
      </c>
      <c r="I19" s="1039">
        <f>VLOOKUP($B19,'Comps - Dataset'!$B$5:$AT$24,'Comps - Outputs'!I$26,0)</f>
        <v>224.55</v>
      </c>
      <c r="J19" s="1039">
        <f>VLOOKUP($B19,'Comps - Dataset'!$B$5:$AT$24,'Comps - Outputs'!J$26,0)</f>
        <v>186.04</v>
      </c>
      <c r="K19" s="830">
        <f>VLOOKUP($B19,'Comps - Dataset'!$B$5:$AT$24,'Comps - Outputs'!K$26,0)</f>
        <v>-0.41011636190928513</v>
      </c>
      <c r="L19" s="1006">
        <f>VLOOKUP($B19,'Comps - Dataset'!$B$5:$AT$24,'Comps - Outputs'!L$26,0)</f>
        <v>0.53752872095991833</v>
      </c>
      <c r="M19" s="1006">
        <f>VLOOKUP($B19,'Comps - Dataset'!$B$5:$AT$24,'Comps - Outputs'!M$26,0)</f>
        <v>0.58091572514450474</v>
      </c>
      <c r="N19" s="831">
        <f>VLOOKUP($B19,'Comps - Dataset'!$B$5:$AT$24,'Comps - Outputs'!N$26,0)</f>
        <v>0.58291401637585571</v>
      </c>
      <c r="O19" s="1006">
        <f>VLOOKUP($B19,'Comps - Dataset'!$B$5:$AT$24,'Comps - Outputs'!O$26,0)</f>
        <v>2.7924403183023871</v>
      </c>
      <c r="P19" s="1006">
        <f>VLOOKUP($B19,'Comps - Dataset'!$B$5:$AT$24,'Comps - Outputs'!P$26,0)</f>
        <v>2.5467190807378293</v>
      </c>
      <c r="Q19" s="831">
        <f>VLOOKUP($B19,'Comps - Dataset'!$B$5:$AT$24,'Comps - Outputs'!Q$26,0)</f>
        <v>3.7344803121674355</v>
      </c>
      <c r="R19" s="1006">
        <f>VLOOKUP($B19,'Comps - Dataset'!$B$5:$AT$24,'Comps - Outputs'!R$26,0)</f>
        <v>6.0951646090534979</v>
      </c>
      <c r="S19" s="831">
        <f>VLOOKUP($B19,'Comps - Dataset'!$B$5:$AT$24,'Comps - Outputs'!S$26,0)</f>
        <v>6.3690604171145999</v>
      </c>
      <c r="T19" s="1040">
        <f>VLOOKUP($B19,'Comps - Dataset'!$B$5:$AT$24,'Comps - Outputs'!T$26,0)</f>
        <v>0.15488556884492821</v>
      </c>
      <c r="U19" s="2"/>
    </row>
    <row r="20" spans="1:24" ht="6" customHeight="1">
      <c r="B20" s="1041"/>
      <c r="D20" s="1042"/>
      <c r="E20" s="1042"/>
      <c r="F20" s="1042"/>
      <c r="G20" s="1042"/>
      <c r="H20" s="1042"/>
      <c r="I20" s="1042"/>
      <c r="J20" s="1042"/>
      <c r="K20" s="1043"/>
      <c r="L20" s="741"/>
      <c r="M20" s="741"/>
      <c r="N20" s="741"/>
      <c r="O20" s="741"/>
      <c r="P20" s="741"/>
      <c r="Q20" s="741"/>
      <c r="R20" s="741"/>
      <c r="S20" s="741"/>
      <c r="T20" s="1044"/>
      <c r="U20" s="2"/>
    </row>
    <row r="21" spans="1:24" ht="13.2">
      <c r="B21" s="1047" t="s">
        <v>1506</v>
      </c>
      <c r="C21" s="746"/>
      <c r="D21" s="746"/>
      <c r="E21" s="746"/>
      <c r="F21" s="746"/>
      <c r="G21" s="746"/>
      <c r="H21" s="746"/>
      <c r="I21" s="746"/>
      <c r="J21" s="746"/>
      <c r="K21" s="747">
        <f>AVERAGE(K8:K19)</f>
        <v>-9.0648537206773572E-2</v>
      </c>
      <c r="L21" s="748">
        <f t="shared" ref="L21:S21" si="0">AVERAGE(L8:L19)</f>
        <v>4.2763047474728886</v>
      </c>
      <c r="M21" s="748">
        <f t="shared" si="0"/>
        <v>3.6005549202462768</v>
      </c>
      <c r="N21" s="749">
        <f t="shared" si="0"/>
        <v>3.4642371190844923</v>
      </c>
      <c r="O21" s="748">
        <f t="shared" si="0"/>
        <v>11.012448041114729</v>
      </c>
      <c r="P21" s="748">
        <f t="shared" si="0"/>
        <v>56.564946013873445</v>
      </c>
      <c r="Q21" s="749">
        <f t="shared" si="0"/>
        <v>12.559591232838086</v>
      </c>
      <c r="R21" s="748">
        <f t="shared" si="0"/>
        <v>14.292771248935557</v>
      </c>
      <c r="S21" s="749">
        <f t="shared" si="0"/>
        <v>17.523705492194253</v>
      </c>
      <c r="T21" s="1048">
        <f>AVERAGE(T8:T19)</f>
        <v>0.27470727062300154</v>
      </c>
      <c r="U21" s="2"/>
    </row>
    <row r="22" spans="1:24" ht="6.75" customHeight="1">
      <c r="A22" s="401"/>
      <c r="B22" s="1027"/>
      <c r="T22" s="1045"/>
      <c r="U22" s="2"/>
      <c r="V22" s="401"/>
      <c r="W22" s="401"/>
      <c r="X22" s="401"/>
    </row>
    <row r="23" spans="1:24" ht="6.75" customHeight="1">
      <c r="A23" s="401"/>
      <c r="B23" s="1027"/>
      <c r="T23" s="1046"/>
      <c r="U23" s="2"/>
      <c r="V23" s="401"/>
      <c r="W23" s="401"/>
      <c r="X23" s="401"/>
    </row>
    <row r="24" spans="1:24" ht="13.2">
      <c r="B24" s="1049" t="str">
        <f>'Comps - Dataset'!$B$23</f>
        <v xml:space="preserve">Bumble Inc. </v>
      </c>
      <c r="C24" s="751"/>
      <c r="D24" s="751">
        <f>VLOOKUP($B24,'Comps - Dataset'!$B$5:$AT$24,'Comps - Outputs'!D$26,0)</f>
        <v>851.4</v>
      </c>
      <c r="E24" s="751">
        <f>VLOOKUP($B24,'Comps - Dataset'!$B$5:$AT$24,'Comps - Outputs'!E$26,0)</f>
        <v>1745.5</v>
      </c>
      <c r="F24" s="751">
        <f>VLOOKUP($B24,'Comps - Dataset'!$B$5:$AT$24,'Comps - Outputs'!F$26,0)</f>
        <v>631.9</v>
      </c>
      <c r="G24" s="751">
        <f>VLOOKUP($B24,'Comps - Dataset'!$B$5:$AT$24,'Comps - Outputs'!G$26,0)</f>
        <v>252.06</v>
      </c>
      <c r="H24" s="751">
        <f>VLOOKUP($B24,'Comps - Dataset'!$B$5:$AT$24,'Comps - Outputs'!H$26,0)</f>
        <v>1045.97</v>
      </c>
      <c r="I24" s="752">
        <f>VLOOKUP($B24,'Comps - Dataset'!$B$5:$AT$24,'Comps - Outputs'!I$26,0)</f>
        <v>288.58999999999997</v>
      </c>
      <c r="J24" s="743">
        <f>VLOOKUP($B24,'Comps - Dataset'!$B$5:$AT$24,'Comps - Outputs'!J$26,0)</f>
        <v>188.04</v>
      </c>
      <c r="K24" s="753">
        <f>VLOOKUP($B24,'Comps - Dataset'!$B$5:$AT$24,'Comps - Outputs'!K$26,0)</f>
        <v>0.21761099971354911</v>
      </c>
      <c r="L24" s="754">
        <f>VLOOKUP($B24,'Comps - Dataset'!$B$5:$AT$24,'Comps - Outputs'!L$26,0)</f>
        <v>1.6107896606775374</v>
      </c>
      <c r="M24" s="754">
        <f>VLOOKUP($B24,'Comps - Dataset'!$B$5:$AT$24,'Comps - Outputs'!M$26,0)</f>
        <v>1.6687859116418253</v>
      </c>
      <c r="N24" s="755">
        <f>VLOOKUP($B24,'Comps - Dataset'!$B$5:$AT$24,'Comps - Outputs'!N$26,0)</f>
        <v>1.6580542204152973</v>
      </c>
      <c r="O24" s="754">
        <f>VLOOKUP($B24,'Comps - Dataset'!$B$5:$AT$24,'Comps - Outputs'!O$26,0)</f>
        <v>9.1579223504721927</v>
      </c>
      <c r="P24" s="754">
        <f>VLOOKUP($B24,'Comps - Dataset'!$B$5:$AT$24,'Comps - Outputs'!P$26,0)</f>
        <v>19.925799086757991</v>
      </c>
      <c r="Q24" s="755">
        <f>VLOOKUP($B24,'Comps - Dataset'!$B$5:$AT$24,'Comps - Outputs'!Q$26,0)</f>
        <v>5.979787598492635</v>
      </c>
      <c r="R24" s="754">
        <f>VLOOKUP($B24,'Comps - Dataset'!$B$5:$AT$24,'Comps - Outputs'!R$26,0)</f>
        <v>-1.4499318801089918</v>
      </c>
      <c r="S24" s="755">
        <f>VLOOKUP($B24,'Comps - Dataset'!$B$5:$AT$24,'Comps - Outputs'!S$26,0)</f>
        <v>4.5277600510529679</v>
      </c>
      <c r="T24" s="1050">
        <f>VLOOKUP($B24,'Comps - Dataset'!$B$5:$AT$24,'Comps - Outputs'!T$26,0)</f>
        <v>0.27590657475835823</v>
      </c>
      <c r="U24" s="2"/>
    </row>
    <row r="25" spans="1:24" ht="13.2">
      <c r="B25" s="1027"/>
      <c r="T25" s="1034"/>
      <c r="U25" s="2"/>
    </row>
    <row r="26" spans="1:24" ht="13.2">
      <c r="B26" s="1051" t="s">
        <v>1500</v>
      </c>
      <c r="C26" s="1028"/>
      <c r="D26" s="1052">
        <v>16</v>
      </c>
      <c r="E26" s="1052">
        <v>17</v>
      </c>
      <c r="F26" s="1052">
        <v>18</v>
      </c>
      <c r="G26" s="1052">
        <v>19</v>
      </c>
      <c r="H26" s="1052">
        <v>20</v>
      </c>
      <c r="I26" s="1052">
        <v>21</v>
      </c>
      <c r="J26" s="1052">
        <v>22</v>
      </c>
      <c r="K26" s="1052">
        <v>27</v>
      </c>
      <c r="L26" s="1052">
        <f>'Comps - Dataset'!AE35</f>
        <v>30</v>
      </c>
      <c r="M26" s="1052">
        <f>'Comps - Dataset'!AF35</f>
        <v>31</v>
      </c>
      <c r="N26" s="1052">
        <f>'Comps - Dataset'!AG35</f>
        <v>32</v>
      </c>
      <c r="O26" s="1052">
        <f>'Comps - Dataset'!AI35</f>
        <v>34</v>
      </c>
      <c r="P26" s="1052">
        <f>'Comps - Dataset'!AJ35</f>
        <v>35</v>
      </c>
      <c r="Q26" s="1052">
        <f>'Comps - Dataset'!AK35</f>
        <v>36</v>
      </c>
      <c r="R26" s="1052">
        <f>'Comps - Dataset'!AM35</f>
        <v>38</v>
      </c>
      <c r="S26" s="1052">
        <f>'Comps - Dataset'!AN35</f>
        <v>39</v>
      </c>
      <c r="T26" s="1053">
        <f>'Comps - Dataset'!AQ35</f>
        <v>42</v>
      </c>
      <c r="U26" s="2"/>
    </row>
    <row r="27" spans="1:24" ht="13.2">
      <c r="U27" s="2"/>
    </row>
    <row r="28" spans="1:24" ht="13.2" hidden="1">
      <c r="U28" s="2"/>
    </row>
    <row r="29" spans="1:24" ht="13.2" hidden="1">
      <c r="U29" s="2"/>
    </row>
    <row r="30" spans="1:24" ht="13.2" hidden="1">
      <c r="U30" s="2"/>
    </row>
    <row r="31" spans="1:24" ht="13.2" hidden="1">
      <c r="U31" s="2"/>
    </row>
    <row r="32" spans="1:24" ht="13.2" hidden="1">
      <c r="U32" s="2"/>
    </row>
    <row r="33" spans="21:21" ht="13.2" hidden="1">
      <c r="U33" s="2"/>
    </row>
    <row r="34" spans="21:21" ht="13.2" hidden="1">
      <c r="U34" s="2"/>
    </row>
    <row r="35" spans="21:21" ht="13.2" hidden="1">
      <c r="U35" s="2"/>
    </row>
    <row r="36" spans="21:21" ht="13.2" hidden="1">
      <c r="U36" s="2"/>
    </row>
    <row r="37" spans="21:21" ht="13.2" hidden="1">
      <c r="U37" s="2"/>
    </row>
    <row r="38" spans="21:21" ht="13.2" hidden="1">
      <c r="U38" s="2"/>
    </row>
    <row r="39" spans="21:21" ht="13.2" hidden="1">
      <c r="U39" s="2"/>
    </row>
    <row r="40" spans="21:21" ht="13.2" hidden="1">
      <c r="U40" s="2"/>
    </row>
    <row r="41" spans="21:21" ht="13.2" hidden="1">
      <c r="U41" s="2"/>
    </row>
    <row r="42" spans="21:21" ht="13.2" hidden="1">
      <c r="U42" s="2"/>
    </row>
    <row r="43" spans="21:21" ht="13.2" hidden="1">
      <c r="U43" s="2"/>
    </row>
    <row r="44" spans="21:21" ht="13.2" hidden="1">
      <c r="U44" s="2"/>
    </row>
    <row r="45" spans="21:21" ht="13.2" hidden="1">
      <c r="U45" s="2"/>
    </row>
    <row r="46" spans="21:21" ht="13.2" hidden="1">
      <c r="U46" s="2"/>
    </row>
    <row r="47" spans="21:21" ht="13.2" hidden="1">
      <c r="U47" s="2"/>
    </row>
    <row r="48" spans="21:21" ht="13.2" hidden="1">
      <c r="U48" s="2"/>
    </row>
    <row r="49" spans="21:21" ht="13.2" hidden="1">
      <c r="U49" s="2"/>
    </row>
    <row r="50" spans="21:21" ht="13.2" hidden="1">
      <c r="U50" s="2"/>
    </row>
    <row r="51" spans="21:21" ht="13.2" hidden="1">
      <c r="U51" s="2"/>
    </row>
    <row r="52" spans="21:21" ht="13.2" hidden="1">
      <c r="U52" s="2"/>
    </row>
    <row r="53" spans="21:21" ht="13.2" hidden="1">
      <c r="U53" s="2"/>
    </row>
    <row r="54" spans="21:21" ht="13.2" hidden="1">
      <c r="U54" s="2"/>
    </row>
    <row r="55" spans="21:21" ht="13.2" hidden="1">
      <c r="U55" s="2"/>
    </row>
    <row r="56" spans="21:21" ht="13.2" hidden="1">
      <c r="U56" s="2"/>
    </row>
    <row r="57" spans="21:21" ht="13.2" hidden="1">
      <c r="U57" s="2"/>
    </row>
    <row r="58" spans="21:21" ht="13.2" hidden="1">
      <c r="U58" s="2"/>
    </row>
    <row r="59" spans="21:21" ht="13.2" hidden="1">
      <c r="U59" s="2"/>
    </row>
    <row r="60" spans="21:21" ht="13.2" hidden="1">
      <c r="U60" s="2"/>
    </row>
    <row r="61" spans="21:21" ht="13.2" hidden="1">
      <c r="U61" s="2"/>
    </row>
    <row r="62" spans="21:21" ht="13.2" hidden="1">
      <c r="U62" s="2"/>
    </row>
    <row r="63" spans="21:21" ht="13.2" hidden="1">
      <c r="U63" s="2"/>
    </row>
    <row r="64" spans="21:21" ht="13.2" hidden="1">
      <c r="U64" s="2"/>
    </row>
    <row r="65" spans="21:21" ht="13.2" hidden="1">
      <c r="U65" s="2"/>
    </row>
    <row r="66" spans="21:21" ht="13.2" hidden="1">
      <c r="U66" s="2"/>
    </row>
    <row r="67" spans="21:21" ht="13.2" hidden="1">
      <c r="U67" s="2"/>
    </row>
    <row r="68" spans="21:21" ht="13.2" hidden="1">
      <c r="U68" s="2"/>
    </row>
    <row r="69" spans="21:21" ht="13.2" hidden="1">
      <c r="U69" s="2"/>
    </row>
    <row r="70" spans="21:21" ht="13.2" hidden="1">
      <c r="U70" s="2"/>
    </row>
    <row r="71" spans="21:21" ht="13.2" hidden="1">
      <c r="U71" s="2"/>
    </row>
    <row r="72" spans="21:21" ht="13.2" hidden="1">
      <c r="U72" s="2"/>
    </row>
    <row r="73" spans="21:21" ht="13.2" hidden="1">
      <c r="U73" s="2"/>
    </row>
    <row r="74" spans="21:21" ht="13.2" hidden="1">
      <c r="U74" s="2"/>
    </row>
    <row r="75" spans="21:21" ht="13.2" hidden="1">
      <c r="U75" s="2"/>
    </row>
    <row r="76" spans="21:21" ht="13.2" hidden="1">
      <c r="U76" s="2"/>
    </row>
    <row r="77" spans="21:21" ht="13.2" hidden="1">
      <c r="U77" s="2"/>
    </row>
    <row r="78" spans="21:21" ht="13.2" hidden="1">
      <c r="U78" s="2"/>
    </row>
    <row r="79" spans="21:21" ht="13.2" hidden="1">
      <c r="U79" s="2"/>
    </row>
    <row r="80" spans="21:21" ht="13.2" hidden="1">
      <c r="U80" s="2"/>
    </row>
    <row r="81" spans="21:21" ht="13.2" hidden="1">
      <c r="U81" s="2"/>
    </row>
    <row r="82" spans="21:21" ht="13.2" hidden="1">
      <c r="U82" s="2"/>
    </row>
    <row r="83" spans="21:21" ht="13.2" hidden="1">
      <c r="U83" s="2"/>
    </row>
    <row r="84" spans="21:21" ht="13.2" hidden="1">
      <c r="U84" s="2"/>
    </row>
    <row r="85" spans="21:21" ht="13.2" hidden="1">
      <c r="U85" s="2"/>
    </row>
    <row r="86" spans="21:21" ht="13.2" hidden="1">
      <c r="U86" s="2"/>
    </row>
    <row r="87" spans="21:21" ht="13.2" hidden="1">
      <c r="U87" s="2"/>
    </row>
    <row r="88" spans="21:21" ht="13.2" hidden="1">
      <c r="U88" s="2"/>
    </row>
    <row r="89" spans="21:21" ht="13.2" hidden="1">
      <c r="U89" s="2"/>
    </row>
    <row r="90" spans="21:21" ht="13.2" hidden="1">
      <c r="U90" s="2"/>
    </row>
    <row r="91" spans="21:21" ht="13.2" hidden="1">
      <c r="U91" s="2"/>
    </row>
    <row r="92" spans="21:21" ht="13.2" hidden="1">
      <c r="U92" s="2"/>
    </row>
    <row r="93" spans="21:21" ht="13.2" hidden="1">
      <c r="U93" s="2"/>
    </row>
    <row r="94" spans="21:21" ht="13.2" hidden="1">
      <c r="U94" s="2"/>
    </row>
    <row r="95" spans="21:21" ht="13.2" hidden="1">
      <c r="U95" s="2"/>
    </row>
    <row r="96" spans="21:21" ht="13.2" hidden="1">
      <c r="U96" s="2"/>
    </row>
    <row r="97" spans="21:21" ht="13.2" hidden="1">
      <c r="U97" s="2"/>
    </row>
    <row r="98" spans="21:21" ht="13.2" hidden="1">
      <c r="U98" s="2"/>
    </row>
    <row r="99" spans="21:21" ht="13.2" hidden="1">
      <c r="U99" s="2"/>
    </row>
    <row r="100" spans="21:21" ht="13.2" hidden="1">
      <c r="U100" s="2"/>
    </row>
    <row r="101" spans="21:21" ht="13.2" hidden="1">
      <c r="U101" s="2"/>
    </row>
    <row r="102" spans="21:21" ht="13.2" hidden="1">
      <c r="U102" s="2"/>
    </row>
    <row r="103" spans="21:21" ht="13.2" hidden="1">
      <c r="U103" s="2"/>
    </row>
    <row r="104" spans="21:21" ht="13.2" hidden="1">
      <c r="U104" s="2"/>
    </row>
    <row r="105" spans="21:21" ht="13.2" hidden="1">
      <c r="U105" s="2"/>
    </row>
    <row r="106" spans="21:21" ht="13.2" hidden="1">
      <c r="U106" s="2"/>
    </row>
    <row r="107" spans="21:21" ht="13.2" hidden="1">
      <c r="U107" s="2"/>
    </row>
    <row r="108" spans="21:21" ht="13.2" hidden="1">
      <c r="U108" s="2"/>
    </row>
    <row r="109" spans="21:21" ht="13.2" hidden="1">
      <c r="U109" s="2"/>
    </row>
    <row r="110" spans="21:21" ht="13.2" hidden="1">
      <c r="U110" s="2"/>
    </row>
    <row r="111" spans="21:21" ht="13.2" hidden="1">
      <c r="U111" s="2"/>
    </row>
    <row r="112" spans="21:21" ht="13.2" hidden="1">
      <c r="U112" s="2"/>
    </row>
    <row r="113" spans="21:21" ht="13.2" hidden="1">
      <c r="U113" s="2"/>
    </row>
    <row r="114" spans="21:21" ht="13.2" hidden="1">
      <c r="U114" s="2"/>
    </row>
    <row r="115" spans="21:21" ht="13.2" hidden="1">
      <c r="U115" s="2"/>
    </row>
    <row r="116" spans="21:21" ht="13.2" hidden="1">
      <c r="U116" s="2"/>
    </row>
    <row r="117" spans="21:21" ht="13.2" hidden="1">
      <c r="U117" s="2"/>
    </row>
    <row r="118" spans="21:21" ht="13.2" hidden="1">
      <c r="U118" s="2"/>
    </row>
    <row r="119" spans="21:21" ht="13.2" hidden="1">
      <c r="U119" s="2"/>
    </row>
    <row r="120" spans="21:21" ht="13.2" hidden="1">
      <c r="U120" s="2"/>
    </row>
    <row r="121" spans="21:21" ht="13.2" hidden="1">
      <c r="U121" s="2"/>
    </row>
    <row r="122" spans="21:21" ht="13.2" hidden="1">
      <c r="U122" s="2"/>
    </row>
    <row r="123" spans="21:21" ht="13.2" hidden="1">
      <c r="U123" s="2"/>
    </row>
    <row r="124" spans="21:21" ht="13.2" hidden="1">
      <c r="U124" s="2"/>
    </row>
    <row r="125" spans="21:21" ht="13.2" hidden="1">
      <c r="U125" s="2"/>
    </row>
    <row r="126" spans="21:21" ht="13.2" hidden="1">
      <c r="U126" s="2"/>
    </row>
    <row r="127" spans="21:21" ht="13.2" hidden="1">
      <c r="U127" s="2"/>
    </row>
    <row r="128" spans="21:21" ht="13.2" hidden="1">
      <c r="U128" s="2"/>
    </row>
    <row r="129" spans="21:21" ht="13.2" hidden="1">
      <c r="U129" s="2"/>
    </row>
    <row r="130" spans="21:21" ht="13.2" hidden="1">
      <c r="U130" s="2"/>
    </row>
    <row r="131" spans="21:21" ht="13.2" hidden="1">
      <c r="U131" s="2"/>
    </row>
    <row r="132" spans="21:21" ht="13.2" hidden="1">
      <c r="U132" s="2"/>
    </row>
    <row r="133" spans="21:21" ht="13.2" hidden="1">
      <c r="U133" s="2"/>
    </row>
    <row r="134" spans="21:21" ht="13.2" hidden="1">
      <c r="U134" s="2"/>
    </row>
    <row r="135" spans="21:21" ht="13.2" hidden="1">
      <c r="U135" s="2"/>
    </row>
    <row r="136" spans="21:21" ht="13.2" hidden="1">
      <c r="U136" s="2"/>
    </row>
    <row r="137" spans="21:21" ht="13.2" hidden="1">
      <c r="U137" s="2"/>
    </row>
    <row r="138" spans="21:21" ht="13.2" hidden="1">
      <c r="U138" s="2"/>
    </row>
    <row r="139" spans="21:21" ht="13.2" hidden="1">
      <c r="U139" s="2"/>
    </row>
    <row r="140" spans="21:21" ht="13.2" hidden="1">
      <c r="U140" s="2"/>
    </row>
    <row r="141" spans="21:21" ht="13.2" hidden="1">
      <c r="U141" s="2"/>
    </row>
    <row r="142" spans="21:21" ht="13.2" hidden="1">
      <c r="U142" s="2"/>
    </row>
    <row r="143" spans="21:21" ht="13.2" hidden="1">
      <c r="U143" s="2"/>
    </row>
    <row r="144" spans="21:21" ht="13.2" hidden="1">
      <c r="U144" s="2"/>
    </row>
    <row r="145" spans="21:21" ht="13.2" hidden="1">
      <c r="U145" s="2"/>
    </row>
    <row r="146" spans="21:21" ht="13.2" hidden="1">
      <c r="U146" s="2"/>
    </row>
    <row r="147" spans="21:21" ht="13.2" hidden="1">
      <c r="U147" s="2"/>
    </row>
    <row r="148" spans="21:21" ht="13.2" hidden="1">
      <c r="U148" s="2"/>
    </row>
    <row r="149" spans="21:21" ht="13.2" hidden="1">
      <c r="U149" s="2"/>
    </row>
    <row r="150" spans="21:21" ht="13.2" hidden="1">
      <c r="U150" s="2"/>
    </row>
    <row r="151" spans="21:21" ht="13.2" hidden="1">
      <c r="U151" s="2"/>
    </row>
    <row r="152" spans="21:21" ht="13.2" hidden="1">
      <c r="U152" s="2"/>
    </row>
    <row r="153" spans="21:21" ht="13.2" hidden="1">
      <c r="U153" s="2"/>
    </row>
    <row r="154" spans="21:21" ht="13.2" hidden="1">
      <c r="U154" s="2"/>
    </row>
    <row r="155" spans="21:21" ht="13.2" hidden="1">
      <c r="U155" s="2"/>
    </row>
    <row r="156" spans="21:21" ht="13.2" hidden="1">
      <c r="U156" s="2"/>
    </row>
    <row r="157" spans="21:21" ht="13.2" hidden="1">
      <c r="U157" s="2"/>
    </row>
    <row r="158" spans="21:21" ht="13.2" hidden="1">
      <c r="U158" s="2"/>
    </row>
    <row r="159" spans="21:21" ht="13.2" hidden="1">
      <c r="U159" s="2"/>
    </row>
    <row r="160" spans="21:21" ht="13.2" hidden="1">
      <c r="U160" s="2"/>
    </row>
    <row r="161" spans="21:21" ht="13.2" hidden="1">
      <c r="U161" s="2"/>
    </row>
    <row r="162" spans="21:21" ht="13.2" hidden="1">
      <c r="U162" s="2"/>
    </row>
    <row r="163" spans="21:21" ht="13.2" hidden="1">
      <c r="U163" s="2"/>
    </row>
    <row r="164" spans="21:21" ht="13.2" hidden="1">
      <c r="U164" s="2"/>
    </row>
    <row r="165" spans="21:21" ht="13.2" hidden="1">
      <c r="U165" s="2"/>
    </row>
    <row r="166" spans="21:21" ht="13.2" hidden="1">
      <c r="U166" s="2"/>
    </row>
    <row r="167" spans="21:21" ht="13.2" hidden="1">
      <c r="U167" s="2"/>
    </row>
    <row r="168" spans="21:21" ht="13.2" hidden="1">
      <c r="U168" s="2"/>
    </row>
    <row r="169" spans="21:21" ht="13.2" hidden="1">
      <c r="U169" s="2"/>
    </row>
    <row r="170" spans="21:21" ht="13.2" hidden="1">
      <c r="U170" s="2"/>
    </row>
    <row r="171" spans="21:21" ht="13.2" hidden="1">
      <c r="U171" s="2"/>
    </row>
    <row r="172" spans="21:21" ht="13.2" hidden="1">
      <c r="U172" s="2"/>
    </row>
    <row r="173" spans="21:21" ht="13.2" hidden="1">
      <c r="U173" s="2"/>
    </row>
    <row r="174" spans="21:21" ht="13.2" hidden="1">
      <c r="U174" s="2"/>
    </row>
    <row r="175" spans="21:21" ht="13.2" hidden="1">
      <c r="U175" s="2"/>
    </row>
    <row r="176" spans="21:21" ht="13.2" hidden="1">
      <c r="U176" s="2"/>
    </row>
    <row r="177" spans="21:21" ht="13.2" hidden="1">
      <c r="U177" s="2"/>
    </row>
    <row r="178" spans="21:21" ht="13.2" hidden="1">
      <c r="U178" s="2"/>
    </row>
    <row r="179" spans="21:21" ht="13.2" hidden="1">
      <c r="U179" s="2"/>
    </row>
    <row r="180" spans="21:21" ht="13.2" hidden="1">
      <c r="U180" s="2"/>
    </row>
    <row r="181" spans="21:21" ht="13.2" hidden="1">
      <c r="U181" s="2"/>
    </row>
    <row r="182" spans="21:21" ht="13.2" hidden="1">
      <c r="U182" s="2"/>
    </row>
    <row r="183" spans="21:21" ht="13.2" hidden="1">
      <c r="U183" s="2"/>
    </row>
    <row r="184" spans="21:21" ht="13.2" hidden="1">
      <c r="U184" s="2"/>
    </row>
    <row r="185" spans="21:21" ht="13.2" hidden="1">
      <c r="U185" s="2"/>
    </row>
    <row r="186" spans="21:21" ht="13.2" hidden="1">
      <c r="U186" s="2"/>
    </row>
    <row r="187" spans="21:21" ht="13.2" hidden="1">
      <c r="U187" s="2"/>
    </row>
    <row r="188" spans="21:21" ht="13.2" hidden="1">
      <c r="U188" s="2"/>
    </row>
    <row r="189" spans="21:21" ht="13.2" hidden="1">
      <c r="U189" s="2"/>
    </row>
    <row r="190" spans="21:21" ht="13.2" hidden="1">
      <c r="U190" s="2"/>
    </row>
    <row r="191" spans="21:21" ht="13.2" hidden="1">
      <c r="U191" s="2"/>
    </row>
    <row r="192" spans="21:21" ht="13.2" hidden="1">
      <c r="U192" s="2"/>
    </row>
    <row r="193" spans="21:21" ht="13.2" hidden="1">
      <c r="U193" s="2"/>
    </row>
    <row r="194" spans="21:21" ht="13.2" hidden="1">
      <c r="U194" s="2"/>
    </row>
    <row r="195" spans="21:21" ht="13.2" hidden="1">
      <c r="U195" s="2"/>
    </row>
    <row r="196" spans="21:21" ht="13.2" hidden="1">
      <c r="U196" s="2"/>
    </row>
    <row r="197" spans="21:21" ht="13.2" hidden="1">
      <c r="U197" s="2"/>
    </row>
    <row r="198" spans="21:21" ht="13.2" hidden="1">
      <c r="U198" s="2"/>
    </row>
    <row r="199" spans="21:21" ht="13.2" hidden="1">
      <c r="U199" s="2"/>
    </row>
    <row r="200" spans="21:21" ht="13.2" hidden="1">
      <c r="U200" s="2"/>
    </row>
    <row r="201" spans="21:21" ht="13.2" hidden="1">
      <c r="U201" s="2"/>
    </row>
    <row r="202" spans="21:21" ht="13.2" hidden="1">
      <c r="U202" s="2"/>
    </row>
    <row r="203" spans="21:21" ht="13.2" hidden="1">
      <c r="U203" s="2"/>
    </row>
    <row r="204" spans="21:21" ht="13.2" hidden="1">
      <c r="U204" s="2"/>
    </row>
    <row r="205" spans="21:21" ht="13.2" hidden="1">
      <c r="U205" s="2"/>
    </row>
    <row r="206" spans="21:21" ht="13.2" hidden="1">
      <c r="U206" s="2"/>
    </row>
    <row r="207" spans="21:21" ht="13.2" hidden="1">
      <c r="U207" s="2"/>
    </row>
    <row r="208" spans="21:21" ht="13.2" hidden="1">
      <c r="U208" s="2"/>
    </row>
    <row r="209" spans="21:21" ht="13.2" hidden="1">
      <c r="U209" s="2"/>
    </row>
    <row r="210" spans="21:21" ht="13.2" hidden="1">
      <c r="U210" s="2"/>
    </row>
    <row r="211" spans="21:21" ht="13.2" hidden="1">
      <c r="U211" s="2"/>
    </row>
    <row r="212" spans="21:21" ht="13.2" hidden="1">
      <c r="U212" s="2"/>
    </row>
    <row r="213" spans="21:21" ht="13.2" hidden="1">
      <c r="U213" s="2"/>
    </row>
    <row r="214" spans="21:21" ht="13.2" hidden="1">
      <c r="U214" s="2"/>
    </row>
    <row r="215" spans="21:21" ht="13.2" hidden="1">
      <c r="U215" s="2"/>
    </row>
    <row r="216" spans="21:21" ht="13.2" hidden="1">
      <c r="U216" s="2"/>
    </row>
    <row r="217" spans="21:21" ht="13.2" hidden="1">
      <c r="U217" s="2"/>
    </row>
    <row r="218" spans="21:21" ht="13.2" hidden="1">
      <c r="U218" s="2"/>
    </row>
    <row r="219" spans="21:21" ht="13.2" hidden="1">
      <c r="U219" s="2"/>
    </row>
    <row r="220" spans="21:21" ht="13.2" hidden="1">
      <c r="U220" s="2"/>
    </row>
    <row r="221" spans="21:21" ht="13.2" hidden="1">
      <c r="U221" s="2"/>
    </row>
    <row r="222" spans="21:21" ht="13.2" hidden="1">
      <c r="U222" s="2"/>
    </row>
    <row r="223" spans="21:21" ht="13.2" hidden="1">
      <c r="U223" s="2"/>
    </row>
    <row r="224" spans="21:21" ht="13.2" hidden="1">
      <c r="U224" s="2"/>
    </row>
    <row r="225" spans="21:21" ht="13.2" hidden="1">
      <c r="U225" s="2"/>
    </row>
    <row r="226" spans="21:21" ht="13.2" hidden="1">
      <c r="U226" s="2"/>
    </row>
    <row r="227" spans="21:21" ht="13.2" hidden="1">
      <c r="U227" s="2"/>
    </row>
    <row r="228" spans="21:21" ht="13.2" hidden="1">
      <c r="U228" s="2"/>
    </row>
    <row r="229" spans="21:21" ht="13.2" hidden="1">
      <c r="U229" s="2"/>
    </row>
    <row r="230" spans="21:21" ht="13.2" hidden="1">
      <c r="U230" s="2"/>
    </row>
    <row r="231" spans="21:21" ht="13.2" hidden="1">
      <c r="U231" s="2"/>
    </row>
    <row r="232" spans="21:21" ht="13.2" hidden="1">
      <c r="U232" s="2"/>
    </row>
    <row r="233" spans="21:21" ht="13.2" hidden="1">
      <c r="U233" s="2"/>
    </row>
    <row r="234" spans="21:21" ht="13.2" hidden="1">
      <c r="U234" s="2"/>
    </row>
    <row r="235" spans="21:21" ht="13.2" hidden="1">
      <c r="U235" s="2"/>
    </row>
    <row r="236" spans="21:21" ht="13.2" hidden="1">
      <c r="U236" s="2"/>
    </row>
    <row r="237" spans="21:21" ht="13.2" hidden="1">
      <c r="U237" s="2"/>
    </row>
    <row r="238" spans="21:21" ht="13.2" hidden="1">
      <c r="U238" s="2"/>
    </row>
    <row r="239" spans="21:21" ht="13.2" hidden="1">
      <c r="U239" s="2"/>
    </row>
    <row r="240" spans="21:21" ht="13.2" hidden="1">
      <c r="U240" s="2"/>
    </row>
    <row r="241" spans="21:21" ht="13.2" hidden="1">
      <c r="U241" s="2"/>
    </row>
    <row r="242" spans="21:21" ht="13.2" hidden="1">
      <c r="U242" s="2"/>
    </row>
    <row r="243" spans="21:21" ht="13.2" hidden="1">
      <c r="U243" s="2"/>
    </row>
    <row r="244" spans="21:21" ht="13.2" hidden="1">
      <c r="U244" s="2"/>
    </row>
    <row r="245" spans="21:21" ht="13.2" hidden="1">
      <c r="U245" s="2"/>
    </row>
    <row r="246" spans="21:21" ht="13.2" hidden="1">
      <c r="U246" s="2"/>
    </row>
    <row r="247" spans="21:21" ht="13.2" hidden="1">
      <c r="U247" s="2"/>
    </row>
    <row r="248" spans="21:21" ht="13.2" hidden="1">
      <c r="U248" s="2"/>
    </row>
    <row r="249" spans="21:21" ht="13.2" hidden="1">
      <c r="U249" s="2"/>
    </row>
    <row r="250" spans="21:21" ht="13.2" hidden="1">
      <c r="U250" s="2"/>
    </row>
    <row r="251" spans="21:21" ht="13.2" hidden="1">
      <c r="U251" s="2"/>
    </row>
    <row r="252" spans="21:21" ht="13.2" hidden="1">
      <c r="U252" s="2"/>
    </row>
    <row r="253" spans="21:21" ht="13.2" hidden="1">
      <c r="U253" s="2"/>
    </row>
    <row r="254" spans="21:21" ht="13.2" hidden="1">
      <c r="U254" s="2"/>
    </row>
    <row r="255" spans="21:21" ht="13.2" hidden="1">
      <c r="U255" s="2"/>
    </row>
    <row r="256" spans="21:21" ht="13.2" hidden="1">
      <c r="U256" s="2"/>
    </row>
    <row r="257" spans="21:21" ht="13.2" hidden="1">
      <c r="U257" s="2"/>
    </row>
    <row r="258" spans="21:21" ht="13.2" hidden="1">
      <c r="U258" s="2"/>
    </row>
    <row r="259" spans="21:21" ht="13.2" hidden="1">
      <c r="U259" s="2"/>
    </row>
    <row r="260" spans="21:21" ht="13.2" hidden="1">
      <c r="U260" s="2"/>
    </row>
    <row r="261" spans="21:21" ht="13.2" hidden="1">
      <c r="U261" s="2"/>
    </row>
    <row r="262" spans="21:21" ht="13.2" hidden="1">
      <c r="U262" s="2"/>
    </row>
    <row r="263" spans="21:21" ht="13.2" hidden="1">
      <c r="U263" s="2"/>
    </row>
    <row r="264" spans="21:21" ht="13.2" hidden="1">
      <c r="U264" s="2"/>
    </row>
    <row r="265" spans="21:21" ht="13.2" hidden="1">
      <c r="U265" s="2"/>
    </row>
    <row r="266" spans="21:21" ht="13.2" hidden="1">
      <c r="U266" s="2"/>
    </row>
    <row r="267" spans="21:21" ht="13.2" hidden="1">
      <c r="U267" s="2"/>
    </row>
    <row r="268" spans="21:21" ht="13.2" hidden="1">
      <c r="U268" s="2"/>
    </row>
    <row r="269" spans="21:21" ht="13.2" hidden="1">
      <c r="U269" s="2"/>
    </row>
    <row r="270" spans="21:21" ht="13.2" hidden="1">
      <c r="U270" s="2"/>
    </row>
    <row r="271" spans="21:21" ht="13.2" hidden="1">
      <c r="U271" s="2"/>
    </row>
    <row r="272" spans="21:21" ht="13.2" hidden="1">
      <c r="U272" s="2"/>
    </row>
    <row r="273" spans="21:21" ht="13.2" hidden="1">
      <c r="U273" s="2"/>
    </row>
    <row r="274" spans="21:21" ht="13.2" hidden="1">
      <c r="U274" s="2"/>
    </row>
    <row r="275" spans="21:21" ht="13.2" hidden="1">
      <c r="U275" s="2"/>
    </row>
    <row r="276" spans="21:21" ht="13.2" hidden="1">
      <c r="U276" s="2"/>
    </row>
    <row r="277" spans="21:21" ht="13.2" hidden="1">
      <c r="U277" s="2"/>
    </row>
    <row r="278" spans="21:21" ht="13.2" hidden="1">
      <c r="U278" s="2"/>
    </row>
    <row r="279" spans="21:21" ht="13.2" hidden="1">
      <c r="U279" s="2"/>
    </row>
    <row r="280" spans="21:21" ht="13.2" hidden="1">
      <c r="U280" s="2"/>
    </row>
    <row r="281" spans="21:21" ht="13.2" hidden="1">
      <c r="U281" s="2"/>
    </row>
    <row r="282" spans="21:21" ht="13.2" hidden="1">
      <c r="U282" s="2"/>
    </row>
    <row r="283" spans="21:21" ht="13.2" hidden="1">
      <c r="U283" s="2"/>
    </row>
    <row r="284" spans="21:21" ht="13.2" hidden="1">
      <c r="U284" s="2"/>
    </row>
    <row r="285" spans="21:21" ht="13.2" hidden="1">
      <c r="U285" s="2"/>
    </row>
    <row r="286" spans="21:21" ht="13.2" hidden="1">
      <c r="U286" s="2"/>
    </row>
    <row r="287" spans="21:21" ht="13.2" hidden="1">
      <c r="U287" s="2"/>
    </row>
    <row r="288" spans="21:21" ht="13.2" hidden="1">
      <c r="U288" s="2"/>
    </row>
    <row r="289" spans="21:21" ht="13.2" hidden="1">
      <c r="U289" s="2"/>
    </row>
    <row r="290" spans="21:21" ht="13.2" hidden="1">
      <c r="U290" s="2"/>
    </row>
    <row r="291" spans="21:21" ht="13.2" hidden="1">
      <c r="U291" s="2"/>
    </row>
    <row r="292" spans="21:21" ht="13.2" hidden="1">
      <c r="U292" s="2"/>
    </row>
    <row r="293" spans="21:21" ht="13.2" hidden="1">
      <c r="U293" s="2"/>
    </row>
    <row r="294" spans="21:21" ht="13.2" hidden="1">
      <c r="U294" s="2"/>
    </row>
    <row r="295" spans="21:21" ht="13.2" hidden="1">
      <c r="U295" s="2"/>
    </row>
    <row r="296" spans="21:21" ht="13.2" hidden="1">
      <c r="U296" s="2"/>
    </row>
    <row r="297" spans="21:21" ht="13.2" hidden="1">
      <c r="U297" s="2"/>
    </row>
  </sheetData>
  <conditionalFormatting sqref="D8:J20">
    <cfRule type="cellIs" dxfId="26" priority="1" stopIfTrue="1" operator="equal">
      <formula>#REF!</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tint="-0.499984740745262"/>
  </sheetPr>
  <dimension ref="A1:XCZ36"/>
  <sheetViews>
    <sheetView showGridLines="0" zoomScale="134" workbookViewId="0">
      <pane xSplit="3" ySplit="6" topLeftCell="AL7" activePane="bottomRight" state="frozen"/>
      <selection pane="topRight" activeCell="B35" sqref="B35"/>
      <selection pane="bottomLeft" activeCell="B35" sqref="B35"/>
      <selection pane="bottomRight" activeCell="AS28" sqref="AS28"/>
    </sheetView>
  </sheetViews>
  <sheetFormatPr defaultColWidth="0" defaultRowHeight="13.2" zeroHeight="1"/>
  <cols>
    <col min="1" max="1" width="2.44140625" style="2" customWidth="1"/>
    <col min="2" max="2" width="29.44140625" style="2" customWidth="1"/>
    <col min="3" max="3" width="1" style="2" customWidth="1"/>
    <col min="4" max="4" width="12.44140625" style="2" customWidth="1"/>
    <col min="5" max="5" width="20.44140625" style="2" customWidth="1"/>
    <col min="6" max="6" width="1.44140625" style="2" customWidth="1"/>
    <col min="7" max="14" width="10.44140625" style="2" customWidth="1"/>
    <col min="15" max="15" width="1.44140625" style="2" customWidth="1"/>
    <col min="16" max="23" width="10.44140625" style="2" customWidth="1"/>
    <col min="24" max="24" width="1.44140625" style="2" customWidth="1"/>
    <col min="25" max="28" width="10.44140625" style="2" customWidth="1"/>
    <col min="29" max="29" width="1.44140625" style="2" customWidth="1"/>
    <col min="30" max="41" width="10.44140625" style="2" customWidth="1"/>
    <col min="42" max="42" width="1.44140625" style="2" customWidth="1"/>
    <col min="43" max="43" width="10.44140625" style="2" customWidth="1"/>
    <col min="44" max="44" width="1.44140625" style="2" customWidth="1"/>
    <col min="45" max="45" width="10.44140625" style="2" customWidth="1"/>
    <col min="46" max="46" width="1.44140625" style="2" customWidth="1"/>
    <col min="47" max="58" width="8.44140625" style="2" customWidth="1"/>
    <col min="59" max="59" width="9" style="2" bestFit="1" customWidth="1"/>
    <col min="60" max="61" width="8.44140625" style="2" customWidth="1"/>
    <col min="62" max="62" width="1.44140625" style="2" customWidth="1"/>
    <col min="63" max="77" width="10.44140625" style="2" customWidth="1"/>
    <col min="78" max="78" width="2.44140625" style="2" customWidth="1"/>
    <col min="79" max="79" width="0" style="2" hidden="1" customWidth="1"/>
    <col min="80" max="16384" width="0" style="2" hidden="1"/>
  </cols>
  <sheetData>
    <row r="1" spans="1:16328" s="28" customFormat="1">
      <c r="A1" s="716"/>
      <c r="B1" s="716" t="str">
        <f>'DCF - Assumptions'!$F$8&amp;" | Trading Comparables - Dataset"</f>
        <v>Bumble INC | Trading Comparables - Dataset</v>
      </c>
      <c r="AD1" s="402"/>
      <c r="AE1" s="402"/>
      <c r="AF1" s="402"/>
      <c r="AG1" s="402"/>
      <c r="AH1" s="402"/>
      <c r="AI1" s="402"/>
      <c r="AR1" s="2"/>
      <c r="AS1" s="717"/>
    </row>
    <row r="2" spans="1:16328" ht="10.5" hidden="1" customHeight="1">
      <c r="AS2" s="458"/>
    </row>
    <row r="3" spans="1:16328" s="458" customFormat="1" hidden="1">
      <c r="A3" s="2"/>
      <c r="B3" s="2" t="s">
        <v>1507</v>
      </c>
      <c r="C3" s="2"/>
      <c r="D3" s="2"/>
      <c r="E3" s="718">
        <v>2024</v>
      </c>
      <c r="F3" s="2"/>
      <c r="AR3" s="2"/>
    </row>
    <row r="4" spans="1:16328">
      <c r="G4" s="41" t="s">
        <v>1508</v>
      </c>
      <c r="P4" s="41" t="s">
        <v>1509</v>
      </c>
      <c r="AS4" s="458"/>
    </row>
    <row r="5" spans="1:16328" s="715" customFormat="1" ht="14.4">
      <c r="A5" s="206"/>
      <c r="B5" s="1313" t="s">
        <v>1018</v>
      </c>
      <c r="C5" s="719"/>
      <c r="D5" s="1295" t="s">
        <v>1510</v>
      </c>
      <c r="E5" s="1315"/>
      <c r="F5" s="719"/>
      <c r="G5" s="1318" t="s">
        <v>1511</v>
      </c>
      <c r="H5" s="1297" t="s">
        <v>1512</v>
      </c>
      <c r="I5" s="1297" t="s">
        <v>1513</v>
      </c>
      <c r="J5" s="1297" t="s">
        <v>1514</v>
      </c>
      <c r="K5" s="1297" t="s">
        <v>1515</v>
      </c>
      <c r="L5" s="1297" t="s">
        <v>1190</v>
      </c>
      <c r="M5" s="1297" t="s">
        <v>640</v>
      </c>
      <c r="N5" s="1319" t="s">
        <v>1516</v>
      </c>
      <c r="O5" s="719"/>
      <c r="P5" s="1318" t="s">
        <v>1511</v>
      </c>
      <c r="Q5" s="1297" t="s">
        <v>1512</v>
      </c>
      <c r="R5" s="1297" t="s">
        <v>1513</v>
      </c>
      <c r="S5" s="1297" t="s">
        <v>1514</v>
      </c>
      <c r="T5" s="1297" t="s">
        <v>1515</v>
      </c>
      <c r="U5" s="1297" t="s">
        <v>1190</v>
      </c>
      <c r="V5" s="1297" t="s">
        <v>640</v>
      </c>
      <c r="W5" s="1319" t="s">
        <v>1516</v>
      </c>
      <c r="X5" s="719"/>
      <c r="Y5" s="1318" t="s">
        <v>1517</v>
      </c>
      <c r="Z5" s="1297" t="s">
        <v>1518</v>
      </c>
      <c r="AA5" s="1297" t="s">
        <v>1517</v>
      </c>
      <c r="AB5" s="1297" t="s">
        <v>1518</v>
      </c>
      <c r="AC5" s="719"/>
      <c r="AD5" s="1600" t="s">
        <v>1473</v>
      </c>
      <c r="AE5" s="1600"/>
      <c r="AF5" s="1600"/>
      <c r="AG5" s="1600"/>
      <c r="AH5" s="1601" t="s">
        <v>1475</v>
      </c>
      <c r="AI5" s="1601"/>
      <c r="AJ5" s="1601"/>
      <c r="AK5" s="1601"/>
      <c r="AL5" s="1601" t="s">
        <v>1502</v>
      </c>
      <c r="AM5" s="1601"/>
      <c r="AN5" s="1601"/>
      <c r="AO5" s="1601"/>
      <c r="AP5" s="719"/>
      <c r="AQ5" s="1321" t="s">
        <v>1519</v>
      </c>
      <c r="AR5" s="2"/>
      <c r="AS5" s="1316" t="s">
        <v>1520</v>
      </c>
      <c r="AT5" s="719"/>
      <c r="AU5" s="1600" t="s">
        <v>1521</v>
      </c>
      <c r="AV5" s="1600"/>
      <c r="AW5" s="1600"/>
      <c r="AX5" s="1600"/>
      <c r="AY5" s="1600"/>
      <c r="AZ5" s="1601" t="s">
        <v>1522</v>
      </c>
      <c r="BA5" s="1601"/>
      <c r="BB5" s="1601"/>
      <c r="BC5" s="1601"/>
      <c r="BD5" s="1601"/>
      <c r="BE5" s="1601" t="s">
        <v>1523</v>
      </c>
      <c r="BF5" s="1601"/>
      <c r="BG5" s="1601"/>
      <c r="BH5" s="1601"/>
      <c r="BI5" s="1601"/>
      <c r="BJ5" s="2"/>
      <c r="BK5" s="1600" t="s">
        <v>1524</v>
      </c>
      <c r="BL5" s="1600"/>
      <c r="BM5" s="1600"/>
      <c r="BN5" s="1600"/>
      <c r="BO5" s="1600"/>
      <c r="BP5" s="1601" t="s">
        <v>1525</v>
      </c>
      <c r="BQ5" s="1601"/>
      <c r="BR5" s="1601"/>
      <c r="BS5" s="1601"/>
      <c r="BT5" s="1601"/>
      <c r="BU5" s="1601" t="s">
        <v>1526</v>
      </c>
      <c r="BV5" s="1601"/>
      <c r="BW5" s="1601"/>
      <c r="BX5" s="1601"/>
      <c r="BY5" s="1601"/>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row>
    <row r="6" spans="1:16328" s="715" customFormat="1" ht="14.4">
      <c r="A6" s="206"/>
      <c r="B6" s="1314"/>
      <c r="C6" s="719"/>
      <c r="D6" s="1316" t="s">
        <v>1527</v>
      </c>
      <c r="E6" s="1317" t="s">
        <v>1528</v>
      </c>
      <c r="F6" s="719"/>
      <c r="G6" s="1316" t="s">
        <v>1529</v>
      </c>
      <c r="H6" s="1320" t="s">
        <v>1503</v>
      </c>
      <c r="I6" s="1320" t="s">
        <v>1504</v>
      </c>
      <c r="J6" s="1320" t="s">
        <v>1530</v>
      </c>
      <c r="K6" s="1320" t="s">
        <v>1531</v>
      </c>
      <c r="L6" s="1320" t="s">
        <v>1532</v>
      </c>
      <c r="M6" s="1320" t="s">
        <v>1532</v>
      </c>
      <c r="N6" s="1317" t="s">
        <v>1532</v>
      </c>
      <c r="O6" s="719"/>
      <c r="P6" s="1316" t="s">
        <v>1529</v>
      </c>
      <c r="Q6" s="1320" t="s">
        <v>1503</v>
      </c>
      <c r="R6" s="1320" t="s">
        <v>1504</v>
      </c>
      <c r="S6" s="1320" t="s">
        <v>1530</v>
      </c>
      <c r="T6" s="1320" t="s">
        <v>1531</v>
      </c>
      <c r="U6" s="1320" t="s">
        <v>1532</v>
      </c>
      <c r="V6" s="1320" t="s">
        <v>1532</v>
      </c>
      <c r="W6" s="1317" t="s">
        <v>1532</v>
      </c>
      <c r="X6" s="719"/>
      <c r="Y6" s="1316" t="s">
        <v>1533</v>
      </c>
      <c r="Z6" s="1320" t="s">
        <v>640</v>
      </c>
      <c r="AA6" s="1320" t="s">
        <v>1534</v>
      </c>
      <c r="AB6" s="1320" t="s">
        <v>1534</v>
      </c>
      <c r="AC6" s="719"/>
      <c r="AD6" s="1316" t="s">
        <v>1535</v>
      </c>
      <c r="AE6" s="1320" t="s">
        <v>1536</v>
      </c>
      <c r="AF6" s="1320" t="s">
        <v>1532</v>
      </c>
      <c r="AG6" s="1320" t="s">
        <v>1537</v>
      </c>
      <c r="AH6" s="1316" t="s">
        <v>1535</v>
      </c>
      <c r="AI6" s="1320" t="s">
        <v>1536</v>
      </c>
      <c r="AJ6" s="1320" t="s">
        <v>1532</v>
      </c>
      <c r="AK6" s="1320" t="s">
        <v>1537</v>
      </c>
      <c r="AL6" s="1316" t="s">
        <v>1535</v>
      </c>
      <c r="AM6" s="1320" t="s">
        <v>1536</v>
      </c>
      <c r="AN6" s="1320" t="s">
        <v>1532</v>
      </c>
      <c r="AO6" s="1320" t="s">
        <v>1537</v>
      </c>
      <c r="AP6" s="719"/>
      <c r="AQ6" s="1314" t="s">
        <v>1538</v>
      </c>
      <c r="AR6" s="2"/>
      <c r="AS6" s="1316" t="s">
        <v>1539</v>
      </c>
      <c r="AT6" s="719"/>
      <c r="AU6" s="1316" t="s">
        <v>1536</v>
      </c>
      <c r="AV6" s="1320" t="s">
        <v>1532</v>
      </c>
      <c r="AW6" s="1320" t="str">
        <f>CONCATENATE("FY",$E$3-1,"A")</f>
        <v>FY2023A</v>
      </c>
      <c r="AX6" s="1320" t="str">
        <f>CONCATENATE("FY",$E$3,"E")</f>
        <v>FY2024E</v>
      </c>
      <c r="AY6" s="1320" t="str">
        <f>CONCATENATE("FY",$E$3+1,"E")</f>
        <v>FY2025E</v>
      </c>
      <c r="AZ6" s="1320" t="s">
        <v>1536</v>
      </c>
      <c r="BA6" s="1320" t="s">
        <v>1532</v>
      </c>
      <c r="BB6" s="1320" t="str">
        <f>CONCATENATE("FY",$E$3-1,"A")</f>
        <v>FY2023A</v>
      </c>
      <c r="BC6" s="1320" t="str">
        <f>CONCATENATE("FY",$E$3,"E")</f>
        <v>FY2024E</v>
      </c>
      <c r="BD6" s="1320" t="str">
        <f>CONCATENATE("FY",$E$3+1,"E")</f>
        <v>FY2025E</v>
      </c>
      <c r="BE6" s="1320" t="s">
        <v>1536</v>
      </c>
      <c r="BF6" s="1320" t="s">
        <v>1532</v>
      </c>
      <c r="BG6" s="1320" t="str">
        <f>CONCATENATE("FY",$E$3-1,"A")</f>
        <v>FY2023A</v>
      </c>
      <c r="BH6" s="1320" t="str">
        <f>CONCATENATE("FY",$E$3,"E")</f>
        <v>FY2024E</v>
      </c>
      <c r="BI6" s="1317" t="str">
        <f>CONCATENATE("FY",$E$3+1,"E")</f>
        <v>FY2025E</v>
      </c>
      <c r="BJ6" s="2"/>
      <c r="BK6" s="1316" t="s">
        <v>1536</v>
      </c>
      <c r="BL6" s="1320" t="s">
        <v>1532</v>
      </c>
      <c r="BM6" s="1320" t="str">
        <f>CONCATENATE("FY",$E$3-1,"A")</f>
        <v>FY2023A</v>
      </c>
      <c r="BN6" s="1320" t="str">
        <f>CONCATENATE("FY",$E$3,"E")</f>
        <v>FY2024E</v>
      </c>
      <c r="BO6" s="1320" t="str">
        <f>CONCATENATE("FY",$E$3+1,"E")</f>
        <v>FY2025E</v>
      </c>
      <c r="BP6" s="1320" t="s">
        <v>1536</v>
      </c>
      <c r="BQ6" s="1320" t="s">
        <v>1532</v>
      </c>
      <c r="BR6" s="1320" t="str">
        <f>CONCATENATE("FY",$E$3-1,"A")</f>
        <v>FY2023A</v>
      </c>
      <c r="BS6" s="1320" t="str">
        <f>CONCATENATE("FY",$E$3,"E")</f>
        <v>FY2024E</v>
      </c>
      <c r="BT6" s="1320" t="str">
        <f>CONCATENATE("FY",$E$3+1,"E")</f>
        <v>FY2025E</v>
      </c>
      <c r="BU6" s="1320" t="s">
        <v>1536</v>
      </c>
      <c r="BV6" s="1320" t="s">
        <v>1532</v>
      </c>
      <c r="BW6" s="1320" t="str">
        <f>CONCATENATE("FY",$E$3-1,"A")</f>
        <v>FY2023A</v>
      </c>
      <c r="BX6" s="1320" t="str">
        <f>CONCATENATE("FY",$E$3,"E")</f>
        <v>FY2024E</v>
      </c>
      <c r="BY6" s="1317" t="str">
        <f>CONCATENATE("FY",$E$3+1,"E")</f>
        <v>FY2025E</v>
      </c>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row>
    <row r="7" spans="1:16328">
      <c r="A7" s="41"/>
      <c r="B7" s="1" t="s">
        <v>1478</v>
      </c>
      <c r="C7" s="720"/>
      <c r="D7" s="721"/>
      <c r="E7" s="41"/>
      <c r="F7" s="720"/>
      <c r="G7" s="999"/>
      <c r="H7" s="722"/>
      <c r="I7" s="722"/>
      <c r="J7" s="722"/>
      <c r="K7" s="722"/>
      <c r="L7" s="41"/>
      <c r="M7" s="41"/>
      <c r="N7" s="41"/>
      <c r="P7" s="720"/>
      <c r="Q7" s="722"/>
      <c r="R7" s="722"/>
      <c r="S7" s="722"/>
      <c r="T7" s="722"/>
      <c r="U7" s="41"/>
      <c r="V7" s="41"/>
      <c r="W7" s="41"/>
      <c r="Y7" s="722"/>
      <c r="Z7" s="723"/>
      <c r="AA7" s="723"/>
      <c r="AB7" s="723"/>
      <c r="AC7" s="720"/>
      <c r="AD7" s="722"/>
      <c r="AE7" s="722"/>
      <c r="AF7" s="722"/>
      <c r="AG7" s="722"/>
      <c r="AH7" s="722"/>
      <c r="AI7" s="722"/>
      <c r="AJ7" s="722"/>
      <c r="AK7" s="722"/>
      <c r="AL7" s="722"/>
      <c r="AM7" s="722"/>
      <c r="AN7" s="722"/>
      <c r="AO7" s="722"/>
      <c r="AP7" s="720"/>
      <c r="AQ7" s="724"/>
      <c r="AS7" s="721"/>
      <c r="AT7" s="724"/>
      <c r="AU7" s="41"/>
      <c r="AV7" s="41"/>
      <c r="AW7" s="41"/>
      <c r="AX7" s="41"/>
      <c r="AY7" s="41"/>
      <c r="AZ7" s="41"/>
      <c r="BA7" s="41"/>
      <c r="BB7" s="41"/>
      <c r="BC7" s="41"/>
      <c r="BD7" s="41"/>
      <c r="BE7" s="41"/>
      <c r="BF7" s="41"/>
      <c r="BG7" s="41"/>
      <c r="BH7" s="41"/>
      <c r="BI7" s="41"/>
      <c r="BK7" s="725"/>
      <c r="BL7" s="725"/>
      <c r="BM7" s="725"/>
      <c r="BN7" s="725"/>
      <c r="BO7" s="725"/>
      <c r="BP7" s="725"/>
      <c r="BQ7" s="725"/>
      <c r="BR7" s="725"/>
      <c r="BS7" s="725"/>
      <c r="BT7" s="725"/>
    </row>
    <row r="8" spans="1:16328">
      <c r="A8" s="726"/>
      <c r="B8" s="727" t="s">
        <v>1540</v>
      </c>
      <c r="C8" s="834"/>
      <c r="D8" s="835"/>
      <c r="E8" s="23"/>
      <c r="F8" s="834"/>
      <c r="G8" s="834" t="s">
        <v>1541</v>
      </c>
      <c r="H8" s="334"/>
      <c r="I8" s="334"/>
      <c r="J8" s="3"/>
      <c r="K8" s="3"/>
      <c r="L8" s="23"/>
      <c r="M8" s="23"/>
      <c r="N8" s="23"/>
      <c r="O8" s="834"/>
      <c r="P8" s="834"/>
      <c r="Q8" s="334"/>
      <c r="R8" s="334"/>
      <c r="S8" s="3"/>
      <c r="T8" s="3"/>
      <c r="U8" s="23"/>
      <c r="V8" s="23"/>
      <c r="W8" s="23"/>
      <c r="X8" s="834"/>
      <c r="Y8" s="334"/>
      <c r="Z8" s="836"/>
      <c r="AA8" s="836"/>
      <c r="AB8" s="836"/>
      <c r="AC8" s="834"/>
      <c r="AD8" s="214"/>
      <c r="AE8" s="214"/>
      <c r="AF8" s="214"/>
      <c r="AG8" s="214"/>
      <c r="AH8" s="214"/>
      <c r="AI8" s="214"/>
      <c r="AJ8" s="214"/>
      <c r="AK8" s="214"/>
      <c r="AL8" s="214"/>
      <c r="AM8" s="214"/>
      <c r="AN8" s="214"/>
      <c r="AO8" s="214"/>
      <c r="AP8" s="834"/>
      <c r="AQ8" s="837"/>
      <c r="AR8" s="3"/>
      <c r="AS8" s="835"/>
      <c r="AT8" s="834"/>
      <c r="AU8" s="23"/>
      <c r="AV8" s="23"/>
      <c r="AW8" s="23"/>
      <c r="AX8" s="23"/>
      <c r="AY8" s="23"/>
      <c r="AZ8" s="23"/>
      <c r="BA8" s="23"/>
      <c r="BB8" s="23"/>
      <c r="BC8" s="23"/>
      <c r="BD8" s="23"/>
      <c r="BE8" s="23"/>
      <c r="BF8" s="23"/>
      <c r="BG8" s="23"/>
      <c r="BH8" s="23"/>
      <c r="BI8" s="23"/>
      <c r="BJ8" s="3"/>
      <c r="BK8" s="728"/>
      <c r="BL8" s="728"/>
      <c r="BM8" s="728"/>
      <c r="BN8" s="728"/>
      <c r="BO8" s="728"/>
      <c r="BP8" s="728"/>
      <c r="BQ8" s="728"/>
      <c r="BR8" s="728"/>
      <c r="BS8" s="728"/>
      <c r="BT8" s="728"/>
      <c r="BU8" s="3"/>
      <c r="BV8" s="3"/>
      <c r="BW8" s="3"/>
      <c r="BX8" s="3"/>
      <c r="BY8" s="3"/>
    </row>
    <row r="9" spans="1:16328">
      <c r="A9" s="726"/>
      <c r="B9" s="401" t="s">
        <v>1542</v>
      </c>
      <c r="C9" s="834"/>
      <c r="D9" s="1162">
        <f>$E$26</f>
        <v>1</v>
      </c>
      <c r="E9" s="3" t="s">
        <v>1543</v>
      </c>
      <c r="F9" s="834"/>
      <c r="G9" s="1011">
        <v>554.08000000000004</v>
      </c>
      <c r="H9" s="785">
        <v>1398768.6</v>
      </c>
      <c r="I9" s="785">
        <v>1376915.6</v>
      </c>
      <c r="J9" s="785">
        <v>49047</v>
      </c>
      <c r="K9" s="785">
        <v>70900</v>
      </c>
      <c r="L9" s="785">
        <v>180339.92</v>
      </c>
      <c r="M9" s="785">
        <v>110746.7</v>
      </c>
      <c r="N9" s="785">
        <v>62653.77</v>
      </c>
      <c r="O9" s="691"/>
      <c r="P9" s="777">
        <f t="shared" ref="P9:W20" si="0">IFERROR(G9/$D9,"n.m.")</f>
        <v>554.08000000000004</v>
      </c>
      <c r="Q9" s="777">
        <f t="shared" si="0"/>
        <v>1398768.6</v>
      </c>
      <c r="R9" s="777">
        <f t="shared" si="0"/>
        <v>1376915.6</v>
      </c>
      <c r="S9" s="777">
        <f t="shared" si="0"/>
        <v>49047</v>
      </c>
      <c r="T9" s="777">
        <f t="shared" si="0"/>
        <v>70900</v>
      </c>
      <c r="U9" s="777">
        <f t="shared" si="0"/>
        <v>180339.92</v>
      </c>
      <c r="V9" s="777">
        <f t="shared" si="0"/>
        <v>110746.7</v>
      </c>
      <c r="W9" s="777">
        <f t="shared" si="0"/>
        <v>62653.77</v>
      </c>
      <c r="X9" s="691"/>
      <c r="Y9" s="776">
        <f t="shared" ref="Y9:Y20" si="1">IFERROR(S9/Q9,"n.m.")</f>
        <v>3.5064413084480162E-2</v>
      </c>
      <c r="Z9" s="776">
        <f t="shared" ref="Z9:Z20" si="2">IFERROR((S9-T9)/V9,"n.m.")</f>
        <v>-0.19732416406087044</v>
      </c>
      <c r="AA9" s="776">
        <f t="shared" ref="AA9:AA20" si="3">IFERROR(S9/R9,"n.m.")</f>
        <v>3.5620919684547114E-2</v>
      </c>
      <c r="AB9" s="776">
        <f t="shared" ref="AB9:AB20" si="4">IFERROR((S9-T9)/R9,"n.m.")</f>
        <v>-1.5870980036830143E-2</v>
      </c>
      <c r="AC9" s="691"/>
      <c r="AD9" s="776">
        <f t="shared" ref="AD9:AD20" si="5">IFERROR(I9/AW9,"n.m.")</f>
        <v>10.206784184074365</v>
      </c>
      <c r="AE9" s="776">
        <f t="shared" ref="AE9:AE20" si="6">IFERROR(I9/AU9,"n.m.")</f>
        <v>8.8135571956191949</v>
      </c>
      <c r="AF9" s="776">
        <f t="shared" ref="AF9:AF20" si="7">IFERROR(I9/AV9,"n.m.")</f>
        <v>7.6351126250915495</v>
      </c>
      <c r="AG9" s="776">
        <f t="shared" ref="AG9:AG20" si="8">IFERROR(I9/AY9,"n.m.")</f>
        <v>7.3792576022534648</v>
      </c>
      <c r="AH9" s="776">
        <f t="shared" ref="AH9:AH20" si="9">IFERROR(I9/BB9,"n.m.")</f>
        <v>12.433016965742548</v>
      </c>
      <c r="AI9" s="776">
        <f t="shared" ref="AI9:AI20" si="10">IFERROR(I9/AZ9,"n.m.")</f>
        <v>17.383322602229544</v>
      </c>
      <c r="AJ9" s="776">
        <f t="shared" ref="AJ9:AJ20" si="11">IFERROR(I9/BA9,"n.m.")</f>
        <v>22.432277089001484</v>
      </c>
      <c r="AK9" s="776">
        <f t="shared" ref="AK9:AK20" si="12">IFERROR(I9/BD9,"n.m.")</f>
        <v>12.03929685497153</v>
      </c>
      <c r="AL9" s="776">
        <f t="shared" ref="AL9:AL20" si="13">IFERROR(H9/BG9,"n.m.")</f>
        <v>35.775962964857541</v>
      </c>
      <c r="AM9" s="776">
        <f t="shared" ref="AM9:AM20" si="14">IFERROR(H9/BE9,"n.m.")</f>
        <v>25.185340031329339</v>
      </c>
      <c r="AN9" s="776">
        <f t="shared" ref="AN9:AN20" si="15">IFERROR(H9/BF9,"n.m.")</f>
        <v>22.325370045569485</v>
      </c>
      <c r="AO9" s="776">
        <f t="shared" ref="AO9:AO20" si="16">IFERROR(H9/BI9,"n.m.")</f>
        <v>21.621470472304019</v>
      </c>
      <c r="AP9" s="691"/>
      <c r="AQ9" s="1004">
        <f t="shared" ref="AQ9:AQ20" si="17">V9/U9</f>
        <v>0.61409975118099192</v>
      </c>
      <c r="AR9" s="691"/>
      <c r="AS9" s="782">
        <v>1.21</v>
      </c>
      <c r="AT9" s="838"/>
      <c r="AU9" s="1000">
        <v>156227</v>
      </c>
      <c r="AV9" s="1000">
        <v>180339.92</v>
      </c>
      <c r="AW9" s="1000">
        <v>134902</v>
      </c>
      <c r="AX9" s="1000">
        <v>162779.45000000001</v>
      </c>
      <c r="AY9" s="1000">
        <v>186592.7</v>
      </c>
      <c r="AZ9" s="1000">
        <v>79209</v>
      </c>
      <c r="BA9" s="1000">
        <v>61381</v>
      </c>
      <c r="BB9" s="1000">
        <v>110746.7</v>
      </c>
      <c r="BC9" s="1000">
        <v>98373.85</v>
      </c>
      <c r="BD9" s="1000">
        <v>114368.44</v>
      </c>
      <c r="BE9" s="1000">
        <v>55539</v>
      </c>
      <c r="BF9" s="1000">
        <v>62653.77</v>
      </c>
      <c r="BG9" s="1000">
        <v>39098</v>
      </c>
      <c r="BH9" s="1000">
        <v>58465.36</v>
      </c>
      <c r="BI9" s="1000">
        <v>64693.5</v>
      </c>
      <c r="BJ9" s="691"/>
      <c r="BK9" s="777">
        <f t="shared" ref="BK9:BY20" si="18">IFERROR(AU9/$D9,"n.m.")</f>
        <v>156227</v>
      </c>
      <c r="BL9" s="777">
        <f t="shared" si="18"/>
        <v>180339.92</v>
      </c>
      <c r="BM9" s="777">
        <f t="shared" si="18"/>
        <v>134902</v>
      </c>
      <c r="BN9" s="777">
        <f t="shared" si="18"/>
        <v>162779.45000000001</v>
      </c>
      <c r="BO9" s="777">
        <f t="shared" si="18"/>
        <v>186592.7</v>
      </c>
      <c r="BP9" s="777">
        <f t="shared" si="18"/>
        <v>79209</v>
      </c>
      <c r="BQ9" s="777">
        <f t="shared" si="18"/>
        <v>61381</v>
      </c>
      <c r="BR9" s="777">
        <f t="shared" si="18"/>
        <v>110746.7</v>
      </c>
      <c r="BS9" s="777">
        <f t="shared" si="18"/>
        <v>98373.85</v>
      </c>
      <c r="BT9" s="777">
        <f t="shared" si="18"/>
        <v>114368.44</v>
      </c>
      <c r="BU9" s="777">
        <f t="shared" si="18"/>
        <v>55539</v>
      </c>
      <c r="BV9" s="777">
        <f t="shared" si="18"/>
        <v>62653.77</v>
      </c>
      <c r="BW9" s="777">
        <f t="shared" si="18"/>
        <v>39098</v>
      </c>
      <c r="BX9" s="777">
        <f t="shared" si="18"/>
        <v>58465.36</v>
      </c>
      <c r="BY9" s="777">
        <f t="shared" si="18"/>
        <v>64693.5</v>
      </c>
    </row>
    <row r="10" spans="1:16328">
      <c r="A10" s="726"/>
      <c r="B10" s="401" t="s">
        <v>1544</v>
      </c>
      <c r="C10" s="834"/>
      <c r="D10" s="1162">
        <f>$E$27</f>
        <v>7.79</v>
      </c>
      <c r="E10" s="3" t="s">
        <v>1545</v>
      </c>
      <c r="F10" s="834"/>
      <c r="G10" s="1011">
        <v>401.2629</v>
      </c>
      <c r="H10" s="785">
        <v>3680519.4879999999</v>
      </c>
      <c r="I10" s="785">
        <v>3743982.2810000004</v>
      </c>
      <c r="J10" s="785">
        <v>377757.35399999999</v>
      </c>
      <c r="K10" s="785">
        <v>389270.97399999999</v>
      </c>
      <c r="L10" s="785">
        <v>752471.70030000003</v>
      </c>
      <c r="M10" s="785">
        <v>312270.25160000002</v>
      </c>
      <c r="N10" s="785">
        <v>240064.81949999998</v>
      </c>
      <c r="O10" s="691"/>
      <c r="P10" s="777">
        <f t="shared" si="0"/>
        <v>51.51</v>
      </c>
      <c r="Q10" s="777">
        <f t="shared" si="0"/>
        <v>472467.20000000001</v>
      </c>
      <c r="R10" s="777">
        <f t="shared" si="0"/>
        <v>480613.9</v>
      </c>
      <c r="S10" s="777">
        <f t="shared" si="0"/>
        <v>48492.6</v>
      </c>
      <c r="T10" s="777">
        <f t="shared" si="0"/>
        <v>49970.6</v>
      </c>
      <c r="U10" s="777">
        <f t="shared" si="0"/>
        <v>96594.57</v>
      </c>
      <c r="V10" s="777">
        <f t="shared" si="0"/>
        <v>40086.04</v>
      </c>
      <c r="W10" s="777">
        <f t="shared" si="0"/>
        <v>30817.05</v>
      </c>
      <c r="X10" s="691"/>
      <c r="Y10" s="776">
        <f t="shared" si="1"/>
        <v>0.10263696612166939</v>
      </c>
      <c r="Z10" s="776">
        <f t="shared" si="2"/>
        <v>-3.6870691143350655E-2</v>
      </c>
      <c r="AA10" s="776">
        <f t="shared" si="3"/>
        <v>0.10089720667671076</v>
      </c>
      <c r="AB10" s="776">
        <f t="shared" si="4"/>
        <v>-3.0752335710640078E-3</v>
      </c>
      <c r="AC10" s="691"/>
      <c r="AD10" s="776">
        <f t="shared" si="5"/>
        <v>5.7412187636142455</v>
      </c>
      <c r="AE10" s="776">
        <f t="shared" si="6"/>
        <v>5.4523597677402762</v>
      </c>
      <c r="AF10" s="776">
        <f t="shared" si="7"/>
        <v>4.9755788550018911</v>
      </c>
      <c r="AG10" s="776">
        <f t="shared" si="8"/>
        <v>4.8413472134752782</v>
      </c>
      <c r="AH10" s="776">
        <f t="shared" si="9"/>
        <v>11.989557960826263</v>
      </c>
      <c r="AI10" s="776">
        <f t="shared" si="10"/>
        <v>15.573655166603482</v>
      </c>
      <c r="AJ10" s="776">
        <f t="shared" si="11"/>
        <v>18.840732595563189</v>
      </c>
      <c r="AK10" s="776">
        <f t="shared" si="12"/>
        <v>11.862683658330038</v>
      </c>
      <c r="AL10" s="776">
        <f t="shared" si="13"/>
        <v>29.568563149693027</v>
      </c>
      <c r="AM10" s="776">
        <f t="shared" si="14"/>
        <v>20.066476676675826</v>
      </c>
      <c r="AN10" s="776">
        <f t="shared" si="15"/>
        <v>15.331357154562166</v>
      </c>
      <c r="AO10" s="776">
        <f t="shared" si="16"/>
        <v>14.150880725102528</v>
      </c>
      <c r="AP10" s="691"/>
      <c r="AQ10" s="1004">
        <f t="shared" si="17"/>
        <v>0.41499268540664341</v>
      </c>
      <c r="AR10" s="691"/>
      <c r="AS10" s="782">
        <v>0.55000000000000004</v>
      </c>
      <c r="AT10" s="838"/>
      <c r="AU10" s="1000">
        <v>686671.90729999996</v>
      </c>
      <c r="AV10" s="1000">
        <v>752471.70030000003</v>
      </c>
      <c r="AW10" s="1000">
        <v>652123.25729999994</v>
      </c>
      <c r="AX10" s="1000">
        <v>709964.24099999992</v>
      </c>
      <c r="AY10" s="1000">
        <v>773334.80039999995</v>
      </c>
      <c r="AZ10" s="1000">
        <v>240404.853</v>
      </c>
      <c r="BA10" s="1000">
        <v>198717.44699999999</v>
      </c>
      <c r="BB10" s="1000">
        <v>312270.25160000002</v>
      </c>
      <c r="BC10" s="1000">
        <v>287034.15710000001</v>
      </c>
      <c r="BD10" s="1000">
        <v>315610.05829999998</v>
      </c>
      <c r="BE10" s="1000">
        <v>183416.329</v>
      </c>
      <c r="BF10" s="1000">
        <v>240064.81949999998</v>
      </c>
      <c r="BG10" s="1000">
        <v>124474.073</v>
      </c>
      <c r="BH10" s="1000">
        <v>236088.0245</v>
      </c>
      <c r="BI10" s="1000">
        <v>260091.19570000001</v>
      </c>
      <c r="BJ10" s="691"/>
      <c r="BK10" s="777">
        <f t="shared" si="18"/>
        <v>88147.87</v>
      </c>
      <c r="BL10" s="777">
        <f t="shared" si="18"/>
        <v>96594.57</v>
      </c>
      <c r="BM10" s="777">
        <f t="shared" si="18"/>
        <v>83712.87</v>
      </c>
      <c r="BN10" s="777">
        <f t="shared" si="18"/>
        <v>91137.9</v>
      </c>
      <c r="BO10" s="777">
        <f t="shared" si="18"/>
        <v>99272.76</v>
      </c>
      <c r="BP10" s="777">
        <f t="shared" si="18"/>
        <v>30860.7</v>
      </c>
      <c r="BQ10" s="777">
        <f t="shared" si="18"/>
        <v>25509.3</v>
      </c>
      <c r="BR10" s="777">
        <f t="shared" si="18"/>
        <v>40086.04</v>
      </c>
      <c r="BS10" s="777">
        <f t="shared" si="18"/>
        <v>36846.49</v>
      </c>
      <c r="BT10" s="777">
        <f t="shared" si="18"/>
        <v>40514.769999999997</v>
      </c>
      <c r="BU10" s="777">
        <f t="shared" si="18"/>
        <v>23545.1</v>
      </c>
      <c r="BV10" s="777">
        <f t="shared" si="18"/>
        <v>30817.05</v>
      </c>
      <c r="BW10" s="777">
        <f t="shared" si="18"/>
        <v>15978.7</v>
      </c>
      <c r="BX10" s="777">
        <f t="shared" si="18"/>
        <v>30306.55</v>
      </c>
      <c r="BY10" s="777">
        <f t="shared" si="18"/>
        <v>33387.83</v>
      </c>
    </row>
    <row r="11" spans="1:16328">
      <c r="A11" s="726"/>
      <c r="B11" s="401" t="s">
        <v>1546</v>
      </c>
      <c r="C11" s="834"/>
      <c r="D11" s="1162">
        <f>$E$27</f>
        <v>7.79</v>
      </c>
      <c r="E11" s="3" t="s">
        <v>1547</v>
      </c>
      <c r="F11" s="834"/>
      <c r="G11" s="1011">
        <v>51.413999999999994</v>
      </c>
      <c r="H11" s="785">
        <v>221680.03</v>
      </c>
      <c r="I11" s="785">
        <v>180478.72</v>
      </c>
      <c r="J11" s="785">
        <v>16034.936000000002</v>
      </c>
      <c r="K11" s="785">
        <v>57451.0942</v>
      </c>
      <c r="L11" s="785">
        <v>144850.76550000001</v>
      </c>
      <c r="M11" s="785">
        <v>29059.426499999998</v>
      </c>
      <c r="N11" s="785">
        <v>21743.3701</v>
      </c>
      <c r="O11" s="691"/>
      <c r="P11" s="777">
        <f t="shared" si="0"/>
        <v>6.6</v>
      </c>
      <c r="Q11" s="777">
        <f t="shared" si="0"/>
        <v>28457</v>
      </c>
      <c r="R11" s="777">
        <f t="shared" si="0"/>
        <v>23168</v>
      </c>
      <c r="S11" s="777">
        <f t="shared" si="0"/>
        <v>2058.4</v>
      </c>
      <c r="T11" s="777">
        <f t="shared" si="0"/>
        <v>7374.98</v>
      </c>
      <c r="U11" s="777">
        <f t="shared" si="0"/>
        <v>18594.45</v>
      </c>
      <c r="V11" s="777">
        <f t="shared" si="0"/>
        <v>3730.35</v>
      </c>
      <c r="W11" s="777">
        <f t="shared" si="0"/>
        <v>2791.19</v>
      </c>
      <c r="X11" s="691"/>
      <c r="Y11" s="776">
        <f t="shared" si="1"/>
        <v>7.2333696454299476E-2</v>
      </c>
      <c r="Z11" s="776">
        <f t="shared" si="2"/>
        <v>-1.4252228343184956</v>
      </c>
      <c r="AA11" s="776">
        <f t="shared" si="3"/>
        <v>8.8846685082872925E-2</v>
      </c>
      <c r="AB11" s="776">
        <f t="shared" si="4"/>
        <v>-0.22947945441988951</v>
      </c>
      <c r="AC11" s="691"/>
      <c r="AD11" s="776">
        <f t="shared" si="5"/>
        <v>1.4722413743800262</v>
      </c>
      <c r="AE11" s="776">
        <f t="shared" si="6"/>
        <v>1.3818549231265662</v>
      </c>
      <c r="AF11" s="776">
        <f t="shared" si="7"/>
        <v>1.24596317718459</v>
      </c>
      <c r="AG11" s="776">
        <f t="shared" si="8"/>
        <v>1.1853113079353645</v>
      </c>
      <c r="AH11" s="776">
        <f t="shared" si="9"/>
        <v>6.2106772822925471</v>
      </c>
      <c r="AI11" s="776">
        <f t="shared" si="10"/>
        <v>9.9896516040013807</v>
      </c>
      <c r="AJ11" s="776">
        <f t="shared" si="11"/>
        <v>16.62218395752619</v>
      </c>
      <c r="AK11" s="776">
        <f t="shared" si="12"/>
        <v>5.5432733258682907</v>
      </c>
      <c r="AL11" s="776">
        <f t="shared" si="13"/>
        <v>32.082299887260426</v>
      </c>
      <c r="AM11" s="776">
        <f t="shared" si="14"/>
        <v>14.775948907004517</v>
      </c>
      <c r="AN11" s="776">
        <f t="shared" si="15"/>
        <v>10.195293047051615</v>
      </c>
      <c r="AO11" s="776">
        <f t="shared" si="16"/>
        <v>9.0752534546045975</v>
      </c>
      <c r="AP11" s="691"/>
      <c r="AQ11" s="1004">
        <f t="shared" si="17"/>
        <v>0.20061631293208457</v>
      </c>
      <c r="AR11" s="691"/>
      <c r="AS11" s="782">
        <v>1.1299999999999999</v>
      </c>
      <c r="AT11" s="838"/>
      <c r="AU11" s="1000">
        <v>130606.12729999999</v>
      </c>
      <c r="AV11" s="1000">
        <v>144850.76550000001</v>
      </c>
      <c r="AW11" s="1000">
        <v>122587.7245</v>
      </c>
      <c r="AX11" s="1000">
        <v>137438.73630000002</v>
      </c>
      <c r="AY11" s="1000">
        <v>152262.71679999999</v>
      </c>
      <c r="AZ11" s="1000">
        <v>18066.567999999999</v>
      </c>
      <c r="BA11" s="1000">
        <v>10857.701999999999</v>
      </c>
      <c r="BB11" s="1000">
        <v>29059.426499999998</v>
      </c>
      <c r="BC11" s="1000">
        <v>25560.703799999999</v>
      </c>
      <c r="BD11" s="1000">
        <v>32558.149199999996</v>
      </c>
      <c r="BE11" s="1000">
        <v>15002.761</v>
      </c>
      <c r="BF11" s="1000">
        <v>21743.3701</v>
      </c>
      <c r="BG11" s="1000">
        <v>6909.7300000000005</v>
      </c>
      <c r="BH11" s="1000">
        <v>19059.870900000002</v>
      </c>
      <c r="BI11" s="1000">
        <v>24426.869300000002</v>
      </c>
      <c r="BJ11" s="691"/>
      <c r="BK11" s="777">
        <f t="shared" si="18"/>
        <v>16765.87</v>
      </c>
      <c r="BL11" s="777">
        <f t="shared" si="18"/>
        <v>18594.45</v>
      </c>
      <c r="BM11" s="777">
        <f t="shared" si="18"/>
        <v>15736.55</v>
      </c>
      <c r="BN11" s="777">
        <f t="shared" si="18"/>
        <v>17642.97</v>
      </c>
      <c r="BO11" s="777">
        <f t="shared" si="18"/>
        <v>19545.919999999998</v>
      </c>
      <c r="BP11" s="777">
        <f t="shared" si="18"/>
        <v>2319.1999999999998</v>
      </c>
      <c r="BQ11" s="777">
        <f t="shared" si="18"/>
        <v>1393.8</v>
      </c>
      <c r="BR11" s="777">
        <f t="shared" si="18"/>
        <v>3730.35</v>
      </c>
      <c r="BS11" s="777">
        <f t="shared" si="18"/>
        <v>3281.22</v>
      </c>
      <c r="BT11" s="777">
        <f t="shared" si="18"/>
        <v>4179.4799999999996</v>
      </c>
      <c r="BU11" s="777">
        <f t="shared" si="18"/>
        <v>1925.9</v>
      </c>
      <c r="BV11" s="777">
        <f t="shared" si="18"/>
        <v>2791.19</v>
      </c>
      <c r="BW11" s="777">
        <f t="shared" si="18"/>
        <v>887</v>
      </c>
      <c r="BX11" s="777">
        <f t="shared" si="18"/>
        <v>2446.71</v>
      </c>
      <c r="BY11" s="777">
        <f t="shared" si="18"/>
        <v>3135.67</v>
      </c>
    </row>
    <row r="12" spans="1:16328">
      <c r="A12" s="726"/>
      <c r="B12" s="401" t="s">
        <v>1548</v>
      </c>
      <c r="C12" s="834"/>
      <c r="D12" s="1162">
        <f>$E$26</f>
        <v>1</v>
      </c>
      <c r="E12" s="3" t="s">
        <v>1549</v>
      </c>
      <c r="F12" s="834"/>
      <c r="G12" s="1011">
        <v>124.78</v>
      </c>
      <c r="H12" s="785">
        <v>21908.7</v>
      </c>
      <c r="I12" s="785">
        <v>20190.7</v>
      </c>
      <c r="J12" s="785">
        <v>27</v>
      </c>
      <c r="K12" s="785">
        <v>1744.97</v>
      </c>
      <c r="L12" s="785">
        <v>1560.34</v>
      </c>
      <c r="M12" s="785">
        <v>409.36</v>
      </c>
      <c r="N12" s="785">
        <v>452.65</v>
      </c>
      <c r="O12" s="691"/>
      <c r="P12" s="777">
        <f t="shared" si="0"/>
        <v>124.78</v>
      </c>
      <c r="Q12" s="777">
        <f t="shared" si="0"/>
        <v>21908.7</v>
      </c>
      <c r="R12" s="777">
        <f t="shared" si="0"/>
        <v>20190.7</v>
      </c>
      <c r="S12" s="777">
        <f t="shared" si="0"/>
        <v>27</v>
      </c>
      <c r="T12" s="777">
        <f t="shared" si="0"/>
        <v>1744.97</v>
      </c>
      <c r="U12" s="777">
        <f t="shared" si="0"/>
        <v>1560.34</v>
      </c>
      <c r="V12" s="777">
        <f t="shared" si="0"/>
        <v>409.36</v>
      </c>
      <c r="W12" s="777">
        <f t="shared" si="0"/>
        <v>452.65</v>
      </c>
      <c r="X12" s="691"/>
      <c r="Y12" s="776">
        <f t="shared" si="1"/>
        <v>1.2323871338783222E-3</v>
      </c>
      <c r="Z12" s="776">
        <f t="shared" si="2"/>
        <v>-4.1967217119405902</v>
      </c>
      <c r="AA12" s="776">
        <f t="shared" si="3"/>
        <v>1.3372493276607546E-3</v>
      </c>
      <c r="AB12" s="776">
        <f t="shared" si="4"/>
        <v>-8.5087193608938766E-2</v>
      </c>
      <c r="AC12" s="691"/>
      <c r="AD12" s="776">
        <f t="shared" si="5"/>
        <v>25.111873935052177</v>
      </c>
      <c r="AE12" s="776">
        <f t="shared" si="6"/>
        <v>17.991267542882603</v>
      </c>
      <c r="AF12" s="776">
        <f t="shared" si="7"/>
        <v>12.93993616775831</v>
      </c>
      <c r="AG12" s="776">
        <f t="shared" si="8"/>
        <v>12.277638931961496</v>
      </c>
      <c r="AH12" s="776">
        <f t="shared" si="9"/>
        <v>49.322601133476645</v>
      </c>
      <c r="AI12" s="776">
        <f t="shared" si="10"/>
        <v>-33.922547043010752</v>
      </c>
      <c r="AJ12" s="776">
        <f t="shared" si="11"/>
        <v>-159.61027667984192</v>
      </c>
      <c r="AK12" s="776">
        <f t="shared" si="12"/>
        <v>45.168340753003292</v>
      </c>
      <c r="AL12" s="776">
        <f t="shared" si="13"/>
        <v>-241.28524229074893</v>
      </c>
      <c r="AM12" s="776">
        <f t="shared" si="14"/>
        <v>-40.813524590163937</v>
      </c>
      <c r="AN12" s="776">
        <f t="shared" si="15"/>
        <v>48.400972053462944</v>
      </c>
      <c r="AO12" s="776">
        <f t="shared" si="16"/>
        <v>43.695053849222184</v>
      </c>
      <c r="AP12" s="691"/>
      <c r="AQ12" s="1004">
        <f t="shared" si="17"/>
        <v>0.26235307689349757</v>
      </c>
      <c r="AR12" s="691"/>
      <c r="AS12" s="782">
        <v>2.44</v>
      </c>
      <c r="AT12" s="838"/>
      <c r="AU12" s="1000">
        <v>1122.25</v>
      </c>
      <c r="AV12" s="1000">
        <v>1560.34</v>
      </c>
      <c r="AW12" s="1000">
        <v>804.03</v>
      </c>
      <c r="AX12" s="1000">
        <v>1272.3699999999999</v>
      </c>
      <c r="AY12" s="1000">
        <v>1644.51</v>
      </c>
      <c r="AZ12" s="1000">
        <v>-595.20000000000005</v>
      </c>
      <c r="BA12" s="1000">
        <v>-126.5</v>
      </c>
      <c r="BB12" s="1000">
        <v>409.36</v>
      </c>
      <c r="BC12" s="1000">
        <v>269.02</v>
      </c>
      <c r="BD12" s="1000">
        <v>447.01</v>
      </c>
      <c r="BE12" s="1000">
        <v>-536.79999999999995</v>
      </c>
      <c r="BF12" s="1000">
        <v>452.65</v>
      </c>
      <c r="BG12" s="1000">
        <v>-90.8</v>
      </c>
      <c r="BH12" s="1000">
        <v>330.78</v>
      </c>
      <c r="BI12" s="1000">
        <v>501.4</v>
      </c>
      <c r="BJ12" s="691"/>
      <c r="BK12" s="777">
        <f t="shared" si="18"/>
        <v>1122.25</v>
      </c>
      <c r="BL12" s="777">
        <f t="shared" si="18"/>
        <v>1560.34</v>
      </c>
      <c r="BM12" s="777">
        <f t="shared" si="18"/>
        <v>804.03</v>
      </c>
      <c r="BN12" s="777">
        <f t="shared" si="18"/>
        <v>1272.3699999999999</v>
      </c>
      <c r="BO12" s="777">
        <f t="shared" si="18"/>
        <v>1644.51</v>
      </c>
      <c r="BP12" s="777">
        <f t="shared" si="18"/>
        <v>-595.20000000000005</v>
      </c>
      <c r="BQ12" s="777">
        <f t="shared" si="18"/>
        <v>-126.5</v>
      </c>
      <c r="BR12" s="777">
        <f t="shared" si="18"/>
        <v>409.36</v>
      </c>
      <c r="BS12" s="777">
        <f t="shared" si="18"/>
        <v>269.02</v>
      </c>
      <c r="BT12" s="777">
        <f t="shared" si="18"/>
        <v>447.01</v>
      </c>
      <c r="BU12" s="777">
        <f t="shared" si="18"/>
        <v>-536.79999999999995</v>
      </c>
      <c r="BV12" s="777">
        <f t="shared" si="18"/>
        <v>452.65</v>
      </c>
      <c r="BW12" s="777">
        <f t="shared" si="18"/>
        <v>-90.8</v>
      </c>
      <c r="BX12" s="777">
        <f t="shared" si="18"/>
        <v>330.78</v>
      </c>
      <c r="BY12" s="777">
        <f t="shared" si="18"/>
        <v>501.4</v>
      </c>
    </row>
    <row r="13" spans="1:16328">
      <c r="A13" s="726"/>
      <c r="B13" s="401" t="s">
        <v>1550</v>
      </c>
      <c r="C13" s="834"/>
      <c r="D13" s="1162">
        <f>$E$26</f>
        <v>1</v>
      </c>
      <c r="E13" s="3" t="s">
        <v>1551</v>
      </c>
      <c r="F13" s="834"/>
      <c r="G13" s="1011">
        <v>28.24</v>
      </c>
      <c r="H13" s="785">
        <v>19085.3</v>
      </c>
      <c r="I13" s="785">
        <v>16797.2</v>
      </c>
      <c r="J13" s="785">
        <v>154.4</v>
      </c>
      <c r="K13" s="785">
        <v>2442.56</v>
      </c>
      <c r="L13" s="785">
        <v>4010.93</v>
      </c>
      <c r="M13" s="785">
        <v>1123.42</v>
      </c>
      <c r="N13" s="785">
        <v>1184.96</v>
      </c>
      <c r="O13" s="691"/>
      <c r="P13" s="777">
        <f t="shared" si="0"/>
        <v>28.24</v>
      </c>
      <c r="Q13" s="777">
        <f t="shared" si="0"/>
        <v>19085.3</v>
      </c>
      <c r="R13" s="777">
        <f t="shared" si="0"/>
        <v>16797.2</v>
      </c>
      <c r="S13" s="777">
        <f t="shared" si="0"/>
        <v>154.4</v>
      </c>
      <c r="T13" s="777">
        <f t="shared" si="0"/>
        <v>2442.56</v>
      </c>
      <c r="U13" s="777">
        <f t="shared" si="0"/>
        <v>4010.93</v>
      </c>
      <c r="V13" s="777">
        <f t="shared" si="0"/>
        <v>1123.42</v>
      </c>
      <c r="W13" s="777">
        <f t="shared" si="0"/>
        <v>1184.96</v>
      </c>
      <c r="X13" s="691"/>
      <c r="Y13" s="776">
        <f t="shared" si="1"/>
        <v>8.0899959654812878E-3</v>
      </c>
      <c r="Z13" s="776">
        <f t="shared" si="2"/>
        <v>-2.0367805451211476</v>
      </c>
      <c r="AA13" s="776">
        <f t="shared" si="3"/>
        <v>9.1920081918414973E-3</v>
      </c>
      <c r="AB13" s="776">
        <f t="shared" si="4"/>
        <v>-0.13622270378396398</v>
      </c>
      <c r="AC13" s="691"/>
      <c r="AD13" s="776">
        <f t="shared" si="5"/>
        <v>5.4981391588408774</v>
      </c>
      <c r="AE13" s="776">
        <f t="shared" si="6"/>
        <v>4.8360924768951721</v>
      </c>
      <c r="AF13" s="776">
        <f t="shared" si="7"/>
        <v>4.1878566816174807</v>
      </c>
      <c r="AG13" s="776">
        <f t="shared" si="8"/>
        <v>4.0002857823291258</v>
      </c>
      <c r="AH13" s="776">
        <f t="shared" si="9"/>
        <v>14.951843477951256</v>
      </c>
      <c r="AI13" s="776">
        <f t="shared" si="10"/>
        <v>94.845849802371546</v>
      </c>
      <c r="AJ13" s="776">
        <f t="shared" si="11"/>
        <v>739.9647577092511</v>
      </c>
      <c r="AK13" s="776">
        <f t="shared" si="12"/>
        <v>13.744763026970412</v>
      </c>
      <c r="AL13" s="776">
        <f t="shared" si="13"/>
        <v>-536.10393258426961</v>
      </c>
      <c r="AM13" s="776">
        <f t="shared" si="14"/>
        <v>88.439759036144565</v>
      </c>
      <c r="AN13" s="776">
        <f t="shared" si="15"/>
        <v>16.106282068593032</v>
      </c>
      <c r="AO13" s="776">
        <f t="shared" si="16"/>
        <v>15.469717602049087</v>
      </c>
      <c r="AP13" s="691"/>
      <c r="AQ13" s="1004">
        <f t="shared" si="17"/>
        <v>0.28008965501766425</v>
      </c>
      <c r="AR13" s="691"/>
      <c r="AS13" s="782">
        <v>1.02</v>
      </c>
      <c r="AT13" s="838"/>
      <c r="AU13" s="1000">
        <v>3473.3</v>
      </c>
      <c r="AV13" s="1000">
        <v>4010.93</v>
      </c>
      <c r="AW13" s="1000">
        <v>3055.07</v>
      </c>
      <c r="AX13" s="1000">
        <v>3626.55</v>
      </c>
      <c r="AY13" s="1000">
        <v>4199</v>
      </c>
      <c r="AZ13" s="1000">
        <v>177.1</v>
      </c>
      <c r="BA13" s="1000">
        <v>22.7</v>
      </c>
      <c r="BB13" s="1000">
        <v>1123.42</v>
      </c>
      <c r="BC13" s="1000">
        <v>974.86</v>
      </c>
      <c r="BD13" s="1000">
        <v>1222.08</v>
      </c>
      <c r="BE13" s="1000">
        <v>215.8</v>
      </c>
      <c r="BF13" s="1000">
        <v>1184.96</v>
      </c>
      <c r="BG13" s="1000">
        <v>-35.6</v>
      </c>
      <c r="BH13" s="1000">
        <v>1060.21</v>
      </c>
      <c r="BI13" s="1000">
        <v>1233.72</v>
      </c>
      <c r="BJ13" s="691"/>
      <c r="BK13" s="777">
        <f t="shared" si="18"/>
        <v>3473.3</v>
      </c>
      <c r="BL13" s="777">
        <f t="shared" si="18"/>
        <v>4010.93</v>
      </c>
      <c r="BM13" s="777">
        <f t="shared" si="18"/>
        <v>3055.07</v>
      </c>
      <c r="BN13" s="777">
        <f t="shared" si="18"/>
        <v>3626.55</v>
      </c>
      <c r="BO13" s="777">
        <f t="shared" si="18"/>
        <v>4199</v>
      </c>
      <c r="BP13" s="777">
        <f t="shared" si="18"/>
        <v>177.1</v>
      </c>
      <c r="BQ13" s="777">
        <f t="shared" si="18"/>
        <v>22.7</v>
      </c>
      <c r="BR13" s="777">
        <f t="shared" si="18"/>
        <v>1123.42</v>
      </c>
      <c r="BS13" s="777">
        <f t="shared" si="18"/>
        <v>974.86</v>
      </c>
      <c r="BT13" s="777">
        <f t="shared" si="18"/>
        <v>1222.08</v>
      </c>
      <c r="BU13" s="777">
        <f t="shared" si="18"/>
        <v>215.8</v>
      </c>
      <c r="BV13" s="777">
        <f t="shared" si="18"/>
        <v>1184.96</v>
      </c>
      <c r="BW13" s="777">
        <f t="shared" si="18"/>
        <v>-35.6</v>
      </c>
      <c r="BX13" s="777">
        <f t="shared" si="18"/>
        <v>1060.21</v>
      </c>
      <c r="BY13" s="777">
        <f t="shared" si="18"/>
        <v>1233.72</v>
      </c>
    </row>
    <row r="14" spans="1:16328">
      <c r="A14" s="726"/>
      <c r="B14" s="401" t="s">
        <v>1552</v>
      </c>
      <c r="C14" s="834"/>
      <c r="D14" s="1162">
        <f>$E$26</f>
        <v>1</v>
      </c>
      <c r="E14" s="3" t="s">
        <v>1553</v>
      </c>
      <c r="F14" s="834"/>
      <c r="G14" s="1011">
        <v>10.6</v>
      </c>
      <c r="H14" s="785">
        <v>17778.400000000001</v>
      </c>
      <c r="I14" s="785">
        <v>18826.8</v>
      </c>
      <c r="J14" s="785">
        <v>4240.6000000000004</v>
      </c>
      <c r="K14" s="785">
        <v>3192.13</v>
      </c>
      <c r="L14" s="785">
        <v>5869.12</v>
      </c>
      <c r="M14" s="785">
        <v>651.83000000000004</v>
      </c>
      <c r="N14" s="785">
        <v>633.03</v>
      </c>
      <c r="O14" s="691"/>
      <c r="P14" s="777">
        <f t="shared" si="0"/>
        <v>10.6</v>
      </c>
      <c r="Q14" s="777">
        <f t="shared" si="0"/>
        <v>17778.400000000001</v>
      </c>
      <c r="R14" s="777">
        <f t="shared" si="0"/>
        <v>18826.8</v>
      </c>
      <c r="S14" s="777">
        <f t="shared" si="0"/>
        <v>4240.6000000000004</v>
      </c>
      <c r="T14" s="777">
        <f t="shared" si="0"/>
        <v>3192.13</v>
      </c>
      <c r="U14" s="777">
        <f t="shared" si="0"/>
        <v>5869.12</v>
      </c>
      <c r="V14" s="777">
        <f t="shared" si="0"/>
        <v>651.83000000000004</v>
      </c>
      <c r="W14" s="777">
        <f t="shared" si="0"/>
        <v>633.03</v>
      </c>
      <c r="X14" s="691"/>
      <c r="Y14" s="776">
        <f t="shared" si="1"/>
        <v>0.23852540161094363</v>
      </c>
      <c r="Z14" s="776">
        <f t="shared" si="2"/>
        <v>1.6085022168356784</v>
      </c>
      <c r="AA14" s="776">
        <f t="shared" si="3"/>
        <v>0.2252427390740859</v>
      </c>
      <c r="AB14" s="776">
        <f t="shared" si="4"/>
        <v>5.5690292561667423E-2</v>
      </c>
      <c r="AC14" s="691"/>
      <c r="AD14" s="776">
        <f t="shared" si="5"/>
        <v>4.0873446631872374</v>
      </c>
      <c r="AE14" s="776">
        <f t="shared" si="6"/>
        <v>3.6447903356952027</v>
      </c>
      <c r="AF14" s="776">
        <f t="shared" si="7"/>
        <v>3.2077722043509076</v>
      </c>
      <c r="AG14" s="776">
        <f t="shared" si="8"/>
        <v>3.097256907086241</v>
      </c>
      <c r="AH14" s="776">
        <f t="shared" si="9"/>
        <v>28.882990963901626</v>
      </c>
      <c r="AI14" s="776">
        <f t="shared" si="10"/>
        <v>-24.507680291590731</v>
      </c>
      <c r="AJ14" s="776">
        <f t="shared" si="11"/>
        <v>-15.307585982600211</v>
      </c>
      <c r="AK14" s="776">
        <f t="shared" si="12"/>
        <v>24.872905987422712</v>
      </c>
      <c r="AL14" s="776">
        <f t="shared" si="13"/>
        <v>-13.443024574669188</v>
      </c>
      <c r="AM14" s="776">
        <f t="shared" si="14"/>
        <v>-18.612227805695142</v>
      </c>
      <c r="AN14" s="776">
        <f t="shared" si="15"/>
        <v>28.084608944283843</v>
      </c>
      <c r="AO14" s="776">
        <f t="shared" si="16"/>
        <v>25.100807590218562</v>
      </c>
      <c r="AP14" s="691"/>
      <c r="AQ14" s="1004">
        <f t="shared" si="17"/>
        <v>0.11106094269669048</v>
      </c>
      <c r="AR14" s="691"/>
      <c r="AS14" s="782">
        <v>1</v>
      </c>
      <c r="AT14" s="838"/>
      <c r="AU14" s="1000">
        <v>5165.3999999999996</v>
      </c>
      <c r="AV14" s="1000">
        <v>5869.12</v>
      </c>
      <c r="AW14" s="1000">
        <v>4606.12</v>
      </c>
      <c r="AX14" s="1000">
        <v>5373.04</v>
      </c>
      <c r="AY14" s="1000">
        <v>6078.54</v>
      </c>
      <c r="AZ14" s="1000">
        <v>-768.2</v>
      </c>
      <c r="BA14" s="1000">
        <v>-1229.9000000000001</v>
      </c>
      <c r="BB14" s="1000">
        <v>651.83000000000004</v>
      </c>
      <c r="BC14" s="1000">
        <v>475.04</v>
      </c>
      <c r="BD14" s="1000">
        <v>756.92</v>
      </c>
      <c r="BE14" s="1000">
        <v>-955.2</v>
      </c>
      <c r="BF14" s="1000">
        <v>633.03</v>
      </c>
      <c r="BG14" s="1000">
        <v>-1322.5</v>
      </c>
      <c r="BH14" s="1000">
        <v>452.37</v>
      </c>
      <c r="BI14" s="1000">
        <v>708.28</v>
      </c>
      <c r="BJ14" s="691"/>
      <c r="BK14" s="777">
        <f t="shared" si="18"/>
        <v>5165.3999999999996</v>
      </c>
      <c r="BL14" s="777">
        <f t="shared" si="18"/>
        <v>5869.12</v>
      </c>
      <c r="BM14" s="777">
        <f t="shared" si="18"/>
        <v>4606.12</v>
      </c>
      <c r="BN14" s="777">
        <f t="shared" si="18"/>
        <v>5373.04</v>
      </c>
      <c r="BO14" s="777">
        <f t="shared" si="18"/>
        <v>6078.54</v>
      </c>
      <c r="BP14" s="777">
        <f t="shared" si="18"/>
        <v>-768.2</v>
      </c>
      <c r="BQ14" s="777">
        <f t="shared" si="18"/>
        <v>-1229.9000000000001</v>
      </c>
      <c r="BR14" s="777">
        <f t="shared" si="18"/>
        <v>651.83000000000004</v>
      </c>
      <c r="BS14" s="777">
        <f t="shared" si="18"/>
        <v>475.04</v>
      </c>
      <c r="BT14" s="777">
        <f t="shared" si="18"/>
        <v>756.92</v>
      </c>
      <c r="BU14" s="777">
        <f t="shared" si="18"/>
        <v>-955.2</v>
      </c>
      <c r="BV14" s="777">
        <f t="shared" si="18"/>
        <v>633.03</v>
      </c>
      <c r="BW14" s="777">
        <f t="shared" si="18"/>
        <v>-1322.5</v>
      </c>
      <c r="BX14" s="777">
        <f t="shared" si="18"/>
        <v>452.37</v>
      </c>
      <c r="BY14" s="777">
        <f t="shared" si="18"/>
        <v>708.28</v>
      </c>
    </row>
    <row r="15" spans="1:16328">
      <c r="A15" s="726"/>
      <c r="B15" s="401" t="s">
        <v>1554</v>
      </c>
      <c r="C15" s="834"/>
      <c r="D15" s="1163">
        <f>E27</f>
        <v>7.79</v>
      </c>
      <c r="E15" s="3" t="s">
        <v>1555</v>
      </c>
      <c r="F15" s="834"/>
      <c r="G15" s="1011">
        <v>34046.488799999999</v>
      </c>
      <c r="H15" s="785">
        <v>14940950.536</v>
      </c>
      <c r="I15" s="785">
        <v>16335474.616</v>
      </c>
      <c r="J15" s="785">
        <v>4659022.5920000002</v>
      </c>
      <c r="K15" s="785">
        <v>7352561.9056000011</v>
      </c>
      <c r="L15" s="785">
        <v>8224509.3744000001</v>
      </c>
      <c r="M15" s="785">
        <v>1406808.176</v>
      </c>
      <c r="N15" s="785">
        <v>467842.58799999999</v>
      </c>
      <c r="O15" s="691"/>
      <c r="P15" s="777">
        <f t="shared" si="0"/>
        <v>4370.5377150192553</v>
      </c>
      <c r="Q15" s="777">
        <f t="shared" si="0"/>
        <v>1917965.4089858793</v>
      </c>
      <c r="R15" s="777">
        <f t="shared" si="0"/>
        <v>2096980.0534017973</v>
      </c>
      <c r="S15" s="777">
        <f t="shared" si="0"/>
        <v>598077.35455712455</v>
      </c>
      <c r="T15" s="777">
        <f t="shared" si="0"/>
        <v>943846.20097560994</v>
      </c>
      <c r="U15" s="777">
        <f t="shared" si="0"/>
        <v>1055777.8401026959</v>
      </c>
      <c r="V15" s="777">
        <f t="shared" si="0"/>
        <v>180591.55019255454</v>
      </c>
      <c r="W15" s="777">
        <f t="shared" si="0"/>
        <v>60056.814890885747</v>
      </c>
      <c r="X15" s="691"/>
      <c r="Y15" s="776">
        <f t="shared" si="1"/>
        <v>0.31182906206497063</v>
      </c>
      <c r="Z15" s="776">
        <f t="shared" si="2"/>
        <v>-1.914645763048225</v>
      </c>
      <c r="AA15" s="776">
        <f t="shared" si="3"/>
        <v>0.28520889055997539</v>
      </c>
      <c r="AB15" s="776">
        <f t="shared" si="4"/>
        <v>-0.16488895345359467</v>
      </c>
      <c r="AC15" s="691"/>
      <c r="AD15" s="776">
        <f t="shared" si="5"/>
        <v>2.1620837652032052</v>
      </c>
      <c r="AE15" s="776">
        <f t="shared" si="6"/>
        <v>2.041534443686531</v>
      </c>
      <c r="AF15" s="776">
        <f t="shared" si="7"/>
        <v>1.9861944187025402</v>
      </c>
      <c r="AG15" s="776">
        <f t="shared" si="8"/>
        <v>1.8806700297794585</v>
      </c>
      <c r="AH15" s="776">
        <f t="shared" si="9"/>
        <v>11.611728517563009</v>
      </c>
      <c r="AI15" s="776">
        <f t="shared" si="10"/>
        <v>12.18228190714137</v>
      </c>
      <c r="AJ15" s="776">
        <f t="shared" si="11"/>
        <v>13.608908012559601</v>
      </c>
      <c r="AK15" s="776">
        <f t="shared" si="12"/>
        <v>11.431711391366358</v>
      </c>
      <c r="AL15" s="776">
        <f t="shared" si="13"/>
        <v>-14.759100937672365</v>
      </c>
      <c r="AM15" s="776">
        <f t="shared" si="14"/>
        <v>-16.320982006709364</v>
      </c>
      <c r="AN15" s="776">
        <f t="shared" si="15"/>
        <v>31.935849619573325</v>
      </c>
      <c r="AO15" s="776">
        <f t="shared" si="16"/>
        <v>31.31726014571203</v>
      </c>
      <c r="AP15" s="691"/>
      <c r="AQ15" s="1004">
        <f t="shared" si="17"/>
        <v>0.17105071098573951</v>
      </c>
      <c r="AR15" s="691"/>
      <c r="AS15" s="782">
        <v>1.24</v>
      </c>
      <c r="AT15" s="838"/>
      <c r="AU15" s="1000">
        <v>8001566.9912</v>
      </c>
      <c r="AV15" s="1000">
        <v>8224509.3744000001</v>
      </c>
      <c r="AW15" s="1000">
        <v>7555430.9592000004</v>
      </c>
      <c r="AX15" s="1000">
        <v>7952165.3824000005</v>
      </c>
      <c r="AY15" s="1000">
        <v>8685986.5671999995</v>
      </c>
      <c r="AZ15" s="1000">
        <v>1340920.7520000001</v>
      </c>
      <c r="BA15" s="1000">
        <v>1200351.608</v>
      </c>
      <c r="BB15" s="1000">
        <v>1406808.176</v>
      </c>
      <c r="BC15" s="1000">
        <v>1340348.4248000002</v>
      </c>
      <c r="BD15" s="1000">
        <v>1428961.4264</v>
      </c>
      <c r="BE15" s="1000">
        <v>-915444.33600000001</v>
      </c>
      <c r="BF15" s="1000">
        <v>467842.58799999999</v>
      </c>
      <c r="BG15" s="1000">
        <v>-1012321.1840000001</v>
      </c>
      <c r="BH15" s="1000">
        <v>375432.68400000001</v>
      </c>
      <c r="BI15" s="1000">
        <v>477083.5784</v>
      </c>
      <c r="BJ15" s="691"/>
      <c r="BK15" s="777">
        <f t="shared" si="18"/>
        <v>1027158.792195122</v>
      </c>
      <c r="BL15" s="777">
        <f t="shared" si="18"/>
        <v>1055777.8401026959</v>
      </c>
      <c r="BM15" s="777">
        <f t="shared" si="18"/>
        <v>969888.44148908858</v>
      </c>
      <c r="BN15" s="777">
        <f t="shared" si="18"/>
        <v>1020817.1222593068</v>
      </c>
      <c r="BO15" s="777">
        <f t="shared" si="18"/>
        <v>1115017.5310911424</v>
      </c>
      <c r="BP15" s="777">
        <f t="shared" si="18"/>
        <v>172133.60102695765</v>
      </c>
      <c r="BQ15" s="777">
        <f t="shared" si="18"/>
        <v>154088.78151476252</v>
      </c>
      <c r="BR15" s="777">
        <f t="shared" si="18"/>
        <v>180591.55019255454</v>
      </c>
      <c r="BS15" s="777">
        <f t="shared" si="18"/>
        <v>172060.13155327344</v>
      </c>
      <c r="BT15" s="777">
        <f t="shared" si="18"/>
        <v>183435.35640564826</v>
      </c>
      <c r="BU15" s="777">
        <f t="shared" si="18"/>
        <v>-117515.31912708601</v>
      </c>
      <c r="BV15" s="777">
        <f t="shared" si="18"/>
        <v>60056.814890885747</v>
      </c>
      <c r="BW15" s="777">
        <f t="shared" si="18"/>
        <v>-129951.37150192556</v>
      </c>
      <c r="BX15" s="777">
        <f t="shared" si="18"/>
        <v>48194.182798459566</v>
      </c>
      <c r="BY15" s="777">
        <f t="shared" si="18"/>
        <v>61243.078100128369</v>
      </c>
    </row>
    <row r="16" spans="1:16328">
      <c r="A16" s="726"/>
      <c r="B16" s="401" t="s">
        <v>1556</v>
      </c>
      <c r="C16" s="834"/>
      <c r="D16" s="1162">
        <f>$E$26</f>
        <v>1</v>
      </c>
      <c r="E16" s="3" t="s">
        <v>1557</v>
      </c>
      <c r="F16" s="834"/>
      <c r="G16" s="1011">
        <v>30.71</v>
      </c>
      <c r="H16" s="785">
        <v>7711</v>
      </c>
      <c r="I16" s="785">
        <v>10790.1</v>
      </c>
      <c r="J16" s="785">
        <v>3939.9</v>
      </c>
      <c r="K16" s="785">
        <v>860.86</v>
      </c>
      <c r="L16" s="785">
        <v>3556.71</v>
      </c>
      <c r="M16" s="785">
        <v>1314.83</v>
      </c>
      <c r="N16" s="785">
        <v>916.13</v>
      </c>
      <c r="O16" s="691"/>
      <c r="P16" s="777">
        <f t="shared" si="0"/>
        <v>30.71</v>
      </c>
      <c r="Q16" s="777">
        <f t="shared" si="0"/>
        <v>7711</v>
      </c>
      <c r="R16" s="777">
        <f t="shared" si="0"/>
        <v>10790.1</v>
      </c>
      <c r="S16" s="777">
        <f t="shared" si="0"/>
        <v>3939.9</v>
      </c>
      <c r="T16" s="777">
        <f t="shared" si="0"/>
        <v>860.86</v>
      </c>
      <c r="U16" s="777">
        <f t="shared" si="0"/>
        <v>3556.71</v>
      </c>
      <c r="V16" s="777">
        <f t="shared" si="0"/>
        <v>1314.83</v>
      </c>
      <c r="W16" s="777">
        <f t="shared" si="0"/>
        <v>916.13</v>
      </c>
      <c r="X16" s="691"/>
      <c r="Y16" s="776">
        <f t="shared" si="1"/>
        <v>0.51094540267150823</v>
      </c>
      <c r="Z16" s="776">
        <f t="shared" si="2"/>
        <v>2.3417780245354916</v>
      </c>
      <c r="AA16" s="776">
        <f t="shared" si="3"/>
        <v>0.36514026746740069</v>
      </c>
      <c r="AB16" s="776">
        <f t="shared" si="4"/>
        <v>0.28535787434778176</v>
      </c>
      <c r="AC16" s="691"/>
      <c r="AD16" s="776">
        <f t="shared" si="5"/>
        <v>3.2070441373160947</v>
      </c>
      <c r="AE16" s="776">
        <f t="shared" si="6"/>
        <v>3.0957729749270539</v>
      </c>
      <c r="AF16" s="776">
        <f t="shared" si="7"/>
        <v>3.0337306105923734</v>
      </c>
      <c r="AG16" s="776">
        <f t="shared" si="8"/>
        <v>2.9706871061260562</v>
      </c>
      <c r="AH16" s="776">
        <f t="shared" si="9"/>
        <v>8.2064601507419219</v>
      </c>
      <c r="AI16" s="776">
        <f t="shared" si="10"/>
        <v>10.865068975933944</v>
      </c>
      <c r="AJ16" s="776">
        <f t="shared" si="11"/>
        <v>10.512568199532346</v>
      </c>
      <c r="AK16" s="776">
        <f t="shared" si="12"/>
        <v>8.0311567289156187</v>
      </c>
      <c r="AL16" s="776">
        <f t="shared" si="13"/>
        <v>11.835763622409823</v>
      </c>
      <c r="AM16" s="776">
        <f t="shared" si="14"/>
        <v>12.385159010600706</v>
      </c>
      <c r="AN16" s="776">
        <f t="shared" si="15"/>
        <v>8.4169277285974697</v>
      </c>
      <c r="AO16" s="776">
        <f t="shared" si="16"/>
        <v>8.3425294817699882</v>
      </c>
      <c r="AP16" s="691"/>
      <c r="AQ16" s="1004">
        <f t="shared" si="17"/>
        <v>0.36967590835350644</v>
      </c>
      <c r="AR16" s="691"/>
      <c r="AS16" s="782">
        <v>1.49</v>
      </c>
      <c r="AT16" s="838"/>
      <c r="AU16" s="1000">
        <v>3485.43</v>
      </c>
      <c r="AV16" s="1000">
        <v>3556.71</v>
      </c>
      <c r="AW16" s="1000">
        <v>3364.5</v>
      </c>
      <c r="AX16" s="1000">
        <v>3495</v>
      </c>
      <c r="AY16" s="1000">
        <v>3632.19</v>
      </c>
      <c r="AZ16" s="1000">
        <v>993.1</v>
      </c>
      <c r="BA16" s="1000">
        <v>1026.4000000000001</v>
      </c>
      <c r="BB16" s="1000">
        <v>1314.83</v>
      </c>
      <c r="BC16" s="1000">
        <v>1267.1400000000001</v>
      </c>
      <c r="BD16" s="1000">
        <v>1343.53</v>
      </c>
      <c r="BE16" s="1000">
        <v>622.6</v>
      </c>
      <c r="BF16" s="1000">
        <v>916.13</v>
      </c>
      <c r="BG16" s="1000">
        <v>651.5</v>
      </c>
      <c r="BH16" s="1000">
        <v>850.46</v>
      </c>
      <c r="BI16" s="1000">
        <v>924.3</v>
      </c>
      <c r="BJ16" s="691"/>
      <c r="BK16" s="777">
        <f t="shared" si="18"/>
        <v>3485.43</v>
      </c>
      <c r="BL16" s="777">
        <f t="shared" si="18"/>
        <v>3556.71</v>
      </c>
      <c r="BM16" s="777">
        <f t="shared" si="18"/>
        <v>3364.5</v>
      </c>
      <c r="BN16" s="777">
        <f t="shared" si="18"/>
        <v>3495</v>
      </c>
      <c r="BO16" s="777">
        <f t="shared" si="18"/>
        <v>3632.19</v>
      </c>
      <c r="BP16" s="777">
        <f t="shared" si="18"/>
        <v>993.1</v>
      </c>
      <c r="BQ16" s="777">
        <f t="shared" si="18"/>
        <v>1026.4000000000001</v>
      </c>
      <c r="BR16" s="777">
        <f t="shared" si="18"/>
        <v>1314.83</v>
      </c>
      <c r="BS16" s="777">
        <f t="shared" si="18"/>
        <v>1267.1400000000001</v>
      </c>
      <c r="BT16" s="777">
        <f t="shared" si="18"/>
        <v>1343.53</v>
      </c>
      <c r="BU16" s="777">
        <f t="shared" si="18"/>
        <v>622.6</v>
      </c>
      <c r="BV16" s="777">
        <f t="shared" si="18"/>
        <v>916.13</v>
      </c>
      <c r="BW16" s="777">
        <f t="shared" si="18"/>
        <v>651.5</v>
      </c>
      <c r="BX16" s="777">
        <f t="shared" si="18"/>
        <v>850.46</v>
      </c>
      <c r="BY16" s="777">
        <f t="shared" si="18"/>
        <v>924.3</v>
      </c>
    </row>
    <row r="17" spans="1:83">
      <c r="A17" s="726"/>
      <c r="B17" s="401" t="s">
        <v>1558</v>
      </c>
      <c r="C17" s="834"/>
      <c r="D17" s="1162">
        <f>$E$26</f>
        <v>1</v>
      </c>
      <c r="E17" s="3" t="s">
        <v>1559</v>
      </c>
      <c r="F17" s="834"/>
      <c r="G17" s="1011">
        <v>35.950000000000003</v>
      </c>
      <c r="H17" s="785">
        <v>2366.1</v>
      </c>
      <c r="I17" s="785">
        <v>2015.6</v>
      </c>
      <c r="J17" s="785">
        <v>53.9</v>
      </c>
      <c r="K17" s="785">
        <v>404.51</v>
      </c>
      <c r="L17" s="785">
        <v>1448.22</v>
      </c>
      <c r="M17" s="785">
        <v>353.69</v>
      </c>
      <c r="N17" s="785">
        <v>282.3</v>
      </c>
      <c r="O17" s="691"/>
      <c r="P17" s="777">
        <f t="shared" si="0"/>
        <v>35.950000000000003</v>
      </c>
      <c r="Q17" s="777">
        <f t="shared" si="0"/>
        <v>2366.1</v>
      </c>
      <c r="R17" s="777">
        <f t="shared" si="0"/>
        <v>2015.6</v>
      </c>
      <c r="S17" s="777">
        <f t="shared" si="0"/>
        <v>53.9</v>
      </c>
      <c r="T17" s="777">
        <f t="shared" si="0"/>
        <v>404.51</v>
      </c>
      <c r="U17" s="777">
        <f t="shared" si="0"/>
        <v>1448.22</v>
      </c>
      <c r="V17" s="777">
        <f t="shared" si="0"/>
        <v>353.69</v>
      </c>
      <c r="W17" s="777">
        <f t="shared" si="0"/>
        <v>282.3</v>
      </c>
      <c r="X17" s="691"/>
      <c r="Y17" s="776">
        <f t="shared" si="1"/>
        <v>2.2780102278010229E-2</v>
      </c>
      <c r="Z17" s="776">
        <f t="shared" si="2"/>
        <v>-0.99129180921145643</v>
      </c>
      <c r="AA17" s="776">
        <f t="shared" si="3"/>
        <v>2.6741416947807104E-2</v>
      </c>
      <c r="AB17" s="776">
        <f t="shared" si="4"/>
        <v>-0.1739482040087319</v>
      </c>
      <c r="AC17" s="691"/>
      <c r="AD17" s="776">
        <f t="shared" si="5"/>
        <v>1.5074865750228112</v>
      </c>
      <c r="AE17" s="776">
        <f t="shared" si="6"/>
        <v>1.4474789765097056</v>
      </c>
      <c r="AF17" s="776">
        <f t="shared" si="7"/>
        <v>1.3917774923699437</v>
      </c>
      <c r="AG17" s="776">
        <f t="shared" si="8"/>
        <v>1.3667864650437376</v>
      </c>
      <c r="AH17" s="776">
        <f t="shared" si="9"/>
        <v>5.6987757640871948</v>
      </c>
      <c r="AI17" s="776">
        <f t="shared" si="10"/>
        <v>12.676729559748427</v>
      </c>
      <c r="AJ17" s="776">
        <f t="shared" si="11"/>
        <v>15.858379228953579</v>
      </c>
      <c r="AK17" s="776">
        <f t="shared" si="12"/>
        <v>5.6309540438608741</v>
      </c>
      <c r="AL17" s="776">
        <f t="shared" si="13"/>
        <v>23.851814516129032</v>
      </c>
      <c r="AM17" s="776">
        <f t="shared" si="14"/>
        <v>20.051694915254238</v>
      </c>
      <c r="AN17" s="776">
        <f t="shared" si="15"/>
        <v>8.3815090329436757</v>
      </c>
      <c r="AO17" s="776">
        <f t="shared" si="16"/>
        <v>9.104236407710955</v>
      </c>
      <c r="AP17" s="691"/>
      <c r="AQ17" s="1004">
        <f t="shared" si="17"/>
        <v>0.24422394387593044</v>
      </c>
      <c r="AR17" s="691"/>
      <c r="AS17" s="782">
        <v>1.33</v>
      </c>
      <c r="AT17" s="838"/>
      <c r="AU17" s="1000">
        <v>1392.49</v>
      </c>
      <c r="AV17" s="1000">
        <v>1448.22</v>
      </c>
      <c r="AW17" s="1000">
        <v>1337.06</v>
      </c>
      <c r="AX17" s="1000">
        <v>1400.42</v>
      </c>
      <c r="AY17" s="1000">
        <v>1474.7</v>
      </c>
      <c r="AZ17" s="1000">
        <v>159</v>
      </c>
      <c r="BA17" s="1000">
        <v>127.1</v>
      </c>
      <c r="BB17" s="1000">
        <v>353.69</v>
      </c>
      <c r="BC17" s="1000">
        <v>343.7</v>
      </c>
      <c r="BD17" s="1000">
        <v>357.95</v>
      </c>
      <c r="BE17" s="1000">
        <v>118</v>
      </c>
      <c r="BF17" s="1000">
        <v>282.3</v>
      </c>
      <c r="BG17" s="1000">
        <v>99.2</v>
      </c>
      <c r="BH17" s="1000">
        <v>263.11</v>
      </c>
      <c r="BI17" s="1000">
        <v>259.89</v>
      </c>
      <c r="BJ17" s="691"/>
      <c r="BK17" s="777">
        <f t="shared" si="18"/>
        <v>1392.49</v>
      </c>
      <c r="BL17" s="777">
        <f t="shared" si="18"/>
        <v>1448.22</v>
      </c>
      <c r="BM17" s="777">
        <f t="shared" si="18"/>
        <v>1337.06</v>
      </c>
      <c r="BN17" s="777">
        <f t="shared" si="18"/>
        <v>1400.42</v>
      </c>
      <c r="BO17" s="777">
        <f t="shared" si="18"/>
        <v>1474.7</v>
      </c>
      <c r="BP17" s="777">
        <f t="shared" si="18"/>
        <v>159</v>
      </c>
      <c r="BQ17" s="777">
        <f t="shared" si="18"/>
        <v>127.1</v>
      </c>
      <c r="BR17" s="777">
        <f t="shared" si="18"/>
        <v>353.69</v>
      </c>
      <c r="BS17" s="777">
        <f t="shared" si="18"/>
        <v>343.7</v>
      </c>
      <c r="BT17" s="777">
        <f t="shared" si="18"/>
        <v>357.95</v>
      </c>
      <c r="BU17" s="777">
        <f t="shared" si="18"/>
        <v>118</v>
      </c>
      <c r="BV17" s="777">
        <f t="shared" si="18"/>
        <v>282.3</v>
      </c>
      <c r="BW17" s="777">
        <f t="shared" si="18"/>
        <v>99.2</v>
      </c>
      <c r="BX17" s="777">
        <f t="shared" si="18"/>
        <v>263.11</v>
      </c>
      <c r="BY17" s="777">
        <f t="shared" si="18"/>
        <v>259.89</v>
      </c>
    </row>
    <row r="18" spans="1:83">
      <c r="A18" s="726"/>
      <c r="B18" s="401" t="s">
        <v>1560</v>
      </c>
      <c r="C18" s="834"/>
      <c r="D18" s="1162">
        <f>$E$26</f>
        <v>1</v>
      </c>
      <c r="E18" s="3" t="s">
        <v>1561</v>
      </c>
      <c r="F18" s="834"/>
      <c r="G18" s="1011">
        <v>8.35</v>
      </c>
      <c r="H18" s="785">
        <v>2031.7</v>
      </c>
      <c r="I18" s="785">
        <v>1938.5</v>
      </c>
      <c r="J18" s="785">
        <v>2656.9</v>
      </c>
      <c r="K18" s="785">
        <v>2838.01</v>
      </c>
      <c r="L18" s="785">
        <v>1747.98</v>
      </c>
      <c r="M18" s="785">
        <v>531.99</v>
      </c>
      <c r="N18" s="785">
        <v>464.39</v>
      </c>
      <c r="O18" s="691"/>
      <c r="P18" s="777">
        <f t="shared" si="0"/>
        <v>8.35</v>
      </c>
      <c r="Q18" s="777">
        <f t="shared" si="0"/>
        <v>2031.7</v>
      </c>
      <c r="R18" s="777">
        <f t="shared" si="0"/>
        <v>1938.5</v>
      </c>
      <c r="S18" s="777">
        <f t="shared" si="0"/>
        <v>2656.9</v>
      </c>
      <c r="T18" s="777">
        <f t="shared" si="0"/>
        <v>2838.01</v>
      </c>
      <c r="U18" s="777">
        <f t="shared" si="0"/>
        <v>1747.98</v>
      </c>
      <c r="V18" s="777">
        <f t="shared" si="0"/>
        <v>531.99</v>
      </c>
      <c r="W18" s="777">
        <f t="shared" si="0"/>
        <v>464.39</v>
      </c>
      <c r="X18" s="691"/>
      <c r="Y18" s="776">
        <f t="shared" si="1"/>
        <v>1.3077225968400847</v>
      </c>
      <c r="Z18" s="776">
        <f t="shared" si="2"/>
        <v>-0.34043873005131697</v>
      </c>
      <c r="AA18" s="776">
        <f t="shared" si="3"/>
        <v>1.370595821511478</v>
      </c>
      <c r="AB18" s="776">
        <f t="shared" si="4"/>
        <v>-9.3427908176425142E-2</v>
      </c>
      <c r="AC18" s="691"/>
      <c r="AD18" s="776">
        <f t="shared" si="5"/>
        <v>1.101520592781162</v>
      </c>
      <c r="AE18" s="776">
        <f t="shared" si="6"/>
        <v>1.1145993249731196</v>
      </c>
      <c r="AF18" s="776">
        <f t="shared" si="7"/>
        <v>1.1089943820867516</v>
      </c>
      <c r="AG18" s="776">
        <f t="shared" si="8"/>
        <v>1.0909080677111471</v>
      </c>
      <c r="AH18" s="776">
        <f t="shared" si="9"/>
        <v>3.6438654861933495</v>
      </c>
      <c r="AI18" s="776">
        <f t="shared" si="10"/>
        <v>3.5341841385597084</v>
      </c>
      <c r="AJ18" s="776">
        <f t="shared" si="11"/>
        <v>3.6479111780203239</v>
      </c>
      <c r="AK18" s="776">
        <f t="shared" si="12"/>
        <v>3.5647952334540909</v>
      </c>
      <c r="AL18" s="776">
        <f t="shared" si="13"/>
        <v>5.9302393461762986</v>
      </c>
      <c r="AM18" s="776">
        <f t="shared" si="14"/>
        <v>6.307668425954672</v>
      </c>
      <c r="AN18" s="776">
        <f t="shared" si="15"/>
        <v>4.3749865414845281</v>
      </c>
      <c r="AO18" s="776">
        <f t="shared" si="16"/>
        <v>4.2880962431405658</v>
      </c>
      <c r="AP18" s="691"/>
      <c r="AQ18" s="1004">
        <f t="shared" si="17"/>
        <v>0.30434558747811757</v>
      </c>
      <c r="AR18" s="691"/>
      <c r="AS18" s="782">
        <v>0.25</v>
      </c>
      <c r="AT18" s="838"/>
      <c r="AU18" s="1000">
        <v>1739.19</v>
      </c>
      <c r="AV18" s="1000">
        <v>1747.98</v>
      </c>
      <c r="AW18" s="1000">
        <v>1759.84</v>
      </c>
      <c r="AX18" s="1000">
        <v>1718.99</v>
      </c>
      <c r="AY18" s="1000">
        <v>1776.96</v>
      </c>
      <c r="AZ18" s="1000">
        <v>548.5</v>
      </c>
      <c r="BA18" s="1000">
        <v>531.4</v>
      </c>
      <c r="BB18" s="1000">
        <v>531.99</v>
      </c>
      <c r="BC18" s="1000">
        <v>520.19000000000005</v>
      </c>
      <c r="BD18" s="1000">
        <v>543.79</v>
      </c>
      <c r="BE18" s="1000">
        <v>322.10000000000002</v>
      </c>
      <c r="BF18" s="1000">
        <v>464.39</v>
      </c>
      <c r="BG18" s="1000">
        <v>342.6</v>
      </c>
      <c r="BH18" s="1000">
        <v>454.98</v>
      </c>
      <c r="BI18" s="1000">
        <v>473.8</v>
      </c>
      <c r="BJ18" s="691"/>
      <c r="BK18" s="777">
        <f t="shared" si="18"/>
        <v>1739.19</v>
      </c>
      <c r="BL18" s="777">
        <f t="shared" si="18"/>
        <v>1747.98</v>
      </c>
      <c r="BM18" s="777">
        <f t="shared" si="18"/>
        <v>1759.84</v>
      </c>
      <c r="BN18" s="777">
        <f t="shared" si="18"/>
        <v>1718.99</v>
      </c>
      <c r="BO18" s="777">
        <f t="shared" si="18"/>
        <v>1776.96</v>
      </c>
      <c r="BP18" s="777">
        <f t="shared" si="18"/>
        <v>548.5</v>
      </c>
      <c r="BQ18" s="777">
        <f t="shared" si="18"/>
        <v>531.4</v>
      </c>
      <c r="BR18" s="777">
        <f t="shared" si="18"/>
        <v>531.99</v>
      </c>
      <c r="BS18" s="777">
        <f t="shared" si="18"/>
        <v>520.19000000000005</v>
      </c>
      <c r="BT18" s="777">
        <f t="shared" si="18"/>
        <v>543.79</v>
      </c>
      <c r="BU18" s="777">
        <f t="shared" si="18"/>
        <v>322.10000000000002</v>
      </c>
      <c r="BV18" s="777">
        <f t="shared" si="18"/>
        <v>464.39</v>
      </c>
      <c r="BW18" s="777">
        <f t="shared" si="18"/>
        <v>342.6</v>
      </c>
      <c r="BX18" s="777">
        <f t="shared" si="18"/>
        <v>454.98</v>
      </c>
      <c r="BY18" s="777">
        <f t="shared" si="18"/>
        <v>473.8</v>
      </c>
    </row>
    <row r="19" spans="1:83">
      <c r="A19" s="726"/>
      <c r="B19" s="401" t="s">
        <v>1562</v>
      </c>
      <c r="C19" s="834"/>
      <c r="D19" s="1162">
        <f>$E$26</f>
        <v>1</v>
      </c>
      <c r="E19" s="3" t="s">
        <v>1563</v>
      </c>
      <c r="F19" s="834"/>
      <c r="G19" s="1011">
        <v>13.94</v>
      </c>
      <c r="H19" s="785">
        <v>1942.3</v>
      </c>
      <c r="I19" s="785">
        <v>1739.3</v>
      </c>
      <c r="J19" s="785">
        <v>909</v>
      </c>
      <c r="K19" s="785">
        <v>1112</v>
      </c>
      <c r="L19" s="785">
        <v>1905.4</v>
      </c>
      <c r="M19" s="785">
        <v>322.19</v>
      </c>
      <c r="N19" s="785">
        <v>187.44</v>
      </c>
      <c r="O19" s="691"/>
      <c r="P19" s="777">
        <f t="shared" si="0"/>
        <v>13.94</v>
      </c>
      <c r="Q19" s="777">
        <f t="shared" si="0"/>
        <v>1942.3</v>
      </c>
      <c r="R19" s="777">
        <f t="shared" si="0"/>
        <v>1739.3</v>
      </c>
      <c r="S19" s="777">
        <f t="shared" si="0"/>
        <v>909</v>
      </c>
      <c r="T19" s="777">
        <f t="shared" si="0"/>
        <v>1112</v>
      </c>
      <c r="U19" s="777">
        <f t="shared" si="0"/>
        <v>1905.4</v>
      </c>
      <c r="V19" s="777">
        <f t="shared" si="0"/>
        <v>322.19</v>
      </c>
      <c r="W19" s="777">
        <f t="shared" si="0"/>
        <v>187.44</v>
      </c>
      <c r="X19" s="691"/>
      <c r="Y19" s="776">
        <f t="shared" si="1"/>
        <v>0.46800185347268702</v>
      </c>
      <c r="Z19" s="776">
        <f t="shared" si="2"/>
        <v>-0.63006300630063006</v>
      </c>
      <c r="AA19" s="776">
        <f t="shared" si="3"/>
        <v>0.52262404415569486</v>
      </c>
      <c r="AB19" s="776">
        <f t="shared" si="4"/>
        <v>-0.11671362042200886</v>
      </c>
      <c r="AC19" s="691"/>
      <c r="AD19" s="776">
        <f t="shared" si="5"/>
        <v>0.97276286353467556</v>
      </c>
      <c r="AE19" s="776">
        <f t="shared" si="6"/>
        <v>0.9588202866593164</v>
      </c>
      <c r="AF19" s="776">
        <f t="shared" si="7"/>
        <v>0.91282670305447666</v>
      </c>
      <c r="AG19" s="776">
        <f t="shared" si="8"/>
        <v>0.89778199893668087</v>
      </c>
      <c r="AH19" s="776">
        <f t="shared" si="9"/>
        <v>5.3983674229491916</v>
      </c>
      <c r="AI19" s="776">
        <f t="shared" si="10"/>
        <v>10.73641975308642</v>
      </c>
      <c r="AJ19" s="776">
        <f t="shared" si="11"/>
        <v>9.6627777777777784</v>
      </c>
      <c r="AK19" s="776">
        <f t="shared" si="12"/>
        <v>5.0907334777263937</v>
      </c>
      <c r="AL19" s="776">
        <f t="shared" si="13"/>
        <v>194.23</v>
      </c>
      <c r="AM19" s="776">
        <f t="shared" si="14"/>
        <v>53.952777777777776</v>
      </c>
      <c r="AN19" s="776">
        <f t="shared" si="15"/>
        <v>10.362249253094323</v>
      </c>
      <c r="AO19" s="776">
        <f t="shared" si="16"/>
        <v>9.5878171586533707</v>
      </c>
      <c r="AP19" s="691"/>
      <c r="AQ19" s="1004">
        <f t="shared" si="17"/>
        <v>0.16909310381022358</v>
      </c>
      <c r="AR19" s="691"/>
      <c r="AS19" s="782">
        <v>1.36</v>
      </c>
      <c r="AT19" s="838"/>
      <c r="AU19" s="1000">
        <v>1814</v>
      </c>
      <c r="AV19" s="1000">
        <v>1905.4</v>
      </c>
      <c r="AW19" s="1000">
        <v>1788</v>
      </c>
      <c r="AX19" s="1000">
        <v>1824.96</v>
      </c>
      <c r="AY19" s="1000">
        <v>1937.33</v>
      </c>
      <c r="AZ19" s="1000">
        <v>162</v>
      </c>
      <c r="BA19" s="1000">
        <v>180</v>
      </c>
      <c r="BB19" s="1000">
        <v>322.19</v>
      </c>
      <c r="BC19" s="1000">
        <v>321.97000000000003</v>
      </c>
      <c r="BD19" s="1000">
        <v>341.66</v>
      </c>
      <c r="BE19" s="1000">
        <v>36</v>
      </c>
      <c r="BF19" s="1000">
        <v>187.44</v>
      </c>
      <c r="BG19" s="1000">
        <v>10</v>
      </c>
      <c r="BH19" s="1000">
        <v>173.26</v>
      </c>
      <c r="BI19" s="1000">
        <v>202.58</v>
      </c>
      <c r="BJ19" s="691"/>
      <c r="BK19" s="777">
        <f t="shared" si="18"/>
        <v>1814</v>
      </c>
      <c r="BL19" s="777">
        <f t="shared" si="18"/>
        <v>1905.4</v>
      </c>
      <c r="BM19" s="777">
        <f t="shared" si="18"/>
        <v>1788</v>
      </c>
      <c r="BN19" s="777">
        <f t="shared" si="18"/>
        <v>1824.96</v>
      </c>
      <c r="BO19" s="777">
        <f t="shared" si="18"/>
        <v>1937.33</v>
      </c>
      <c r="BP19" s="777">
        <f t="shared" si="18"/>
        <v>162</v>
      </c>
      <c r="BQ19" s="777">
        <f t="shared" si="18"/>
        <v>180</v>
      </c>
      <c r="BR19" s="777">
        <f t="shared" si="18"/>
        <v>322.19</v>
      </c>
      <c r="BS19" s="777">
        <f t="shared" si="18"/>
        <v>321.97000000000003</v>
      </c>
      <c r="BT19" s="777">
        <f t="shared" si="18"/>
        <v>341.66</v>
      </c>
      <c r="BU19" s="777">
        <f t="shared" si="18"/>
        <v>36</v>
      </c>
      <c r="BV19" s="777">
        <f t="shared" si="18"/>
        <v>187.44</v>
      </c>
      <c r="BW19" s="777">
        <f t="shared" si="18"/>
        <v>10</v>
      </c>
      <c r="BX19" s="777">
        <f t="shared" si="18"/>
        <v>173.26</v>
      </c>
      <c r="BY19" s="777">
        <f t="shared" si="18"/>
        <v>202.58</v>
      </c>
    </row>
    <row r="20" spans="1:83">
      <c r="A20" s="726"/>
      <c r="B20" s="401" t="s">
        <v>1564</v>
      </c>
      <c r="C20" s="834"/>
      <c r="D20" s="1162">
        <f>$E$26</f>
        <v>1</v>
      </c>
      <c r="E20" s="3" t="s">
        <v>1565</v>
      </c>
      <c r="F20" s="834"/>
      <c r="G20" s="1011">
        <v>6.72</v>
      </c>
      <c r="H20" s="785">
        <v>1184.9000000000001</v>
      </c>
      <c r="I20" s="785">
        <v>842.2</v>
      </c>
      <c r="J20" s="785">
        <v>529.5</v>
      </c>
      <c r="K20" s="785">
        <v>874.9</v>
      </c>
      <c r="L20" s="785">
        <v>1449.78</v>
      </c>
      <c r="M20" s="785">
        <v>224.55</v>
      </c>
      <c r="N20" s="785">
        <v>186.04</v>
      </c>
      <c r="O20" s="691"/>
      <c r="P20" s="777">
        <f t="shared" si="0"/>
        <v>6.72</v>
      </c>
      <c r="Q20" s="777">
        <f t="shared" si="0"/>
        <v>1184.9000000000001</v>
      </c>
      <c r="R20" s="777">
        <f t="shared" si="0"/>
        <v>842.2</v>
      </c>
      <c r="S20" s="777">
        <f t="shared" si="0"/>
        <v>529.5</v>
      </c>
      <c r="T20" s="777">
        <f t="shared" si="0"/>
        <v>874.9</v>
      </c>
      <c r="U20" s="777">
        <f t="shared" si="0"/>
        <v>1449.78</v>
      </c>
      <c r="V20" s="777">
        <f t="shared" si="0"/>
        <v>224.55</v>
      </c>
      <c r="W20" s="777">
        <f t="shared" si="0"/>
        <v>186.04</v>
      </c>
      <c r="X20" s="691"/>
      <c r="Y20" s="776">
        <f t="shared" si="1"/>
        <v>0.44687315385264575</v>
      </c>
      <c r="Z20" s="776">
        <f t="shared" si="2"/>
        <v>-1.5381874860832774</v>
      </c>
      <c r="AA20" s="776">
        <f t="shared" si="3"/>
        <v>0.62871052006649253</v>
      </c>
      <c r="AB20" s="776">
        <f t="shared" si="4"/>
        <v>-0.41011636190928513</v>
      </c>
      <c r="AC20" s="691"/>
      <c r="AD20" s="776">
        <f t="shared" si="5"/>
        <v>0.5059656121210665</v>
      </c>
      <c r="AE20" s="776">
        <f t="shared" si="6"/>
        <v>0.53752872095991833</v>
      </c>
      <c r="AF20" s="776">
        <f t="shared" si="7"/>
        <v>0.58091572514450474</v>
      </c>
      <c r="AG20" s="776">
        <f t="shared" si="8"/>
        <v>0.58291401637585571</v>
      </c>
      <c r="AH20" s="776">
        <f t="shared" si="9"/>
        <v>3.7506123357826766</v>
      </c>
      <c r="AI20" s="776">
        <f t="shared" si="10"/>
        <v>2.7924403183023871</v>
      </c>
      <c r="AJ20" s="776">
        <f t="shared" si="11"/>
        <v>2.5467190807378293</v>
      </c>
      <c r="AK20" s="776">
        <f t="shared" si="12"/>
        <v>3.7344803121674355</v>
      </c>
      <c r="AL20" s="776">
        <f t="shared" si="13"/>
        <v>4.3642725598526706</v>
      </c>
      <c r="AM20" s="776">
        <f t="shared" si="14"/>
        <v>6.0951646090534979</v>
      </c>
      <c r="AN20" s="776">
        <f t="shared" si="15"/>
        <v>6.3690604171145999</v>
      </c>
      <c r="AO20" s="776">
        <f t="shared" si="16"/>
        <v>5.667208723933423</v>
      </c>
      <c r="AP20" s="691"/>
      <c r="AQ20" s="1004">
        <f t="shared" si="17"/>
        <v>0.15488556884492821</v>
      </c>
      <c r="AR20" s="691"/>
      <c r="AS20" s="782">
        <v>0.6</v>
      </c>
      <c r="AT20" s="838"/>
      <c r="AU20" s="1000">
        <v>1566.8</v>
      </c>
      <c r="AV20" s="1000">
        <v>1449.78</v>
      </c>
      <c r="AW20" s="1000">
        <v>1664.54</v>
      </c>
      <c r="AX20" s="1000">
        <v>1454.74</v>
      </c>
      <c r="AY20" s="1000">
        <v>1444.81</v>
      </c>
      <c r="AZ20" s="1000">
        <v>301.60000000000002</v>
      </c>
      <c r="BA20" s="1000">
        <v>330.7</v>
      </c>
      <c r="BB20" s="1000">
        <v>224.55</v>
      </c>
      <c r="BC20" s="1000">
        <v>223.57</v>
      </c>
      <c r="BD20" s="1000">
        <v>225.52</v>
      </c>
      <c r="BE20" s="1000">
        <v>194.4</v>
      </c>
      <c r="BF20" s="1000">
        <v>186.04</v>
      </c>
      <c r="BG20" s="1000">
        <v>271.5</v>
      </c>
      <c r="BH20" s="1000">
        <v>163</v>
      </c>
      <c r="BI20" s="1000">
        <v>209.08</v>
      </c>
      <c r="BJ20" s="691"/>
      <c r="BK20" s="777">
        <f t="shared" si="18"/>
        <v>1566.8</v>
      </c>
      <c r="BL20" s="777">
        <f t="shared" si="18"/>
        <v>1449.78</v>
      </c>
      <c r="BM20" s="777">
        <f t="shared" si="18"/>
        <v>1664.54</v>
      </c>
      <c r="BN20" s="777">
        <f t="shared" si="18"/>
        <v>1454.74</v>
      </c>
      <c r="BO20" s="777">
        <f t="shared" si="18"/>
        <v>1444.81</v>
      </c>
      <c r="BP20" s="777">
        <f t="shared" si="18"/>
        <v>301.60000000000002</v>
      </c>
      <c r="BQ20" s="777">
        <f t="shared" si="18"/>
        <v>330.7</v>
      </c>
      <c r="BR20" s="777">
        <f t="shared" si="18"/>
        <v>224.55</v>
      </c>
      <c r="BS20" s="777">
        <f t="shared" si="18"/>
        <v>223.57</v>
      </c>
      <c r="BT20" s="777">
        <f t="shared" si="18"/>
        <v>225.52</v>
      </c>
      <c r="BU20" s="777">
        <f t="shared" si="18"/>
        <v>194.4</v>
      </c>
      <c r="BV20" s="777">
        <f t="shared" si="18"/>
        <v>186.04</v>
      </c>
      <c r="BW20" s="777">
        <f t="shared" si="18"/>
        <v>271.5</v>
      </c>
      <c r="BX20" s="777">
        <f t="shared" si="18"/>
        <v>163</v>
      </c>
      <c r="BY20" s="777">
        <f t="shared" si="18"/>
        <v>209.08</v>
      </c>
    </row>
    <row r="21" spans="1:83">
      <c r="A21" s="726"/>
      <c r="B21" s="727"/>
      <c r="C21" s="834"/>
      <c r="D21" s="1162"/>
      <c r="E21" s="23"/>
      <c r="F21" s="834"/>
      <c r="G21" s="1009"/>
      <c r="H21" s="334"/>
      <c r="I21" s="334"/>
      <c r="J21" s="3"/>
      <c r="K21" s="3"/>
      <c r="L21" s="23"/>
      <c r="M21" s="23"/>
      <c r="N21" s="23"/>
      <c r="O21" s="834"/>
      <c r="P21" s="1009"/>
      <c r="Q21" s="334"/>
      <c r="R21" s="334"/>
      <c r="S21" s="3"/>
      <c r="T21" s="3"/>
      <c r="U21" s="23"/>
      <c r="V21" s="23"/>
      <c r="W21" s="23"/>
      <c r="X21" s="834"/>
      <c r="Y21" s="334"/>
      <c r="Z21" s="836"/>
      <c r="AA21" s="836"/>
      <c r="AB21" s="836"/>
      <c r="AC21" s="834"/>
      <c r="AD21" s="214"/>
      <c r="AE21" s="214"/>
      <c r="AF21" s="214"/>
      <c r="AG21" s="214"/>
      <c r="AH21" s="214"/>
      <c r="AI21" s="214"/>
      <c r="AJ21" s="214"/>
      <c r="AK21" s="214"/>
      <c r="AL21" s="214"/>
      <c r="AM21" s="214"/>
      <c r="AN21" s="214"/>
      <c r="AO21" s="214"/>
      <c r="AP21" s="834"/>
      <c r="AQ21" s="1003"/>
      <c r="AR21" s="3"/>
      <c r="AS21" s="835"/>
      <c r="AT21" s="834"/>
      <c r="AU21" s="1001"/>
      <c r="AV21" s="1001"/>
      <c r="AW21" s="1001"/>
      <c r="AX21" s="1001"/>
      <c r="AY21" s="1001"/>
      <c r="AZ21" s="1001"/>
      <c r="BA21" s="1001"/>
      <c r="BB21" s="1001"/>
      <c r="BC21" s="1001"/>
      <c r="BD21" s="1001"/>
      <c r="BE21" s="1001"/>
      <c r="BF21" s="1001"/>
      <c r="BG21" s="1001"/>
      <c r="BH21" s="1001"/>
      <c r="BI21" s="1001"/>
      <c r="BJ21" s="3"/>
      <c r="BK21" s="1002"/>
      <c r="BL21" s="1002"/>
      <c r="BM21" s="1002"/>
      <c r="BN21" s="1002"/>
      <c r="BO21" s="1002"/>
      <c r="BP21" s="1002"/>
      <c r="BQ21" s="1002"/>
      <c r="BR21" s="1002"/>
      <c r="BS21" s="1002"/>
      <c r="BT21" s="1002"/>
      <c r="BU21" s="3"/>
      <c r="BV21" s="3"/>
      <c r="BW21" s="3"/>
      <c r="BX21" s="3"/>
      <c r="BY21" s="3"/>
    </row>
    <row r="22" spans="1:83">
      <c r="A22" s="726"/>
      <c r="B22" s="727" t="s">
        <v>1566</v>
      </c>
      <c r="C22" s="73"/>
      <c r="D22" s="1007"/>
      <c r="E22" s="73"/>
      <c r="F22" s="73"/>
      <c r="G22" s="1012"/>
      <c r="H22" s="786"/>
      <c r="I22" s="786"/>
      <c r="J22" s="786"/>
      <c r="K22" s="786"/>
      <c r="L22" s="786"/>
      <c r="M22" s="786"/>
      <c r="N22" s="786"/>
      <c r="O22" s="691"/>
      <c r="P22" s="1010"/>
      <c r="Q22" s="788"/>
      <c r="R22" s="788"/>
      <c r="S22" s="788"/>
      <c r="T22" s="788"/>
      <c r="U22" s="788"/>
      <c r="V22" s="788"/>
      <c r="W22" s="788"/>
      <c r="X22" s="780"/>
      <c r="Y22" s="781"/>
      <c r="Z22" s="841"/>
      <c r="AA22" s="842"/>
      <c r="AB22" s="842"/>
      <c r="AC22" s="780"/>
      <c r="AD22" s="779"/>
      <c r="AE22" s="779"/>
      <c r="AF22" s="779"/>
      <c r="AG22" s="779"/>
      <c r="AH22" s="779"/>
      <c r="AI22" s="779"/>
      <c r="AJ22" s="779"/>
      <c r="AK22" s="779"/>
      <c r="AL22" s="779"/>
      <c r="AM22" s="779"/>
      <c r="AN22" s="779"/>
      <c r="AO22" s="779"/>
      <c r="AP22" s="780"/>
      <c r="AQ22" s="1005"/>
      <c r="AR22" s="691"/>
      <c r="AS22" s="784"/>
      <c r="AT22" s="691"/>
      <c r="AU22" s="1001"/>
      <c r="AV22" s="1001"/>
      <c r="AW22" s="1001"/>
      <c r="AX22" s="1001"/>
      <c r="AY22" s="1001"/>
      <c r="AZ22" s="1001"/>
      <c r="BA22" s="1001"/>
      <c r="BB22" s="1001"/>
      <c r="BC22" s="1001"/>
      <c r="BD22" s="1001"/>
      <c r="BE22" s="1001"/>
      <c r="BF22" s="1001"/>
      <c r="BG22" s="1001"/>
      <c r="BH22" s="1001"/>
      <c r="BI22" s="1001"/>
      <c r="BJ22" s="691"/>
      <c r="BK22" s="843"/>
      <c r="BL22" s="843"/>
      <c r="BM22" s="843"/>
      <c r="BN22" s="843"/>
      <c r="BO22" s="843"/>
      <c r="BP22" s="843"/>
      <c r="BQ22" s="843"/>
      <c r="BR22" s="843"/>
      <c r="BS22" s="843"/>
      <c r="BT22" s="843"/>
      <c r="BU22" s="778"/>
      <c r="BV22" s="778"/>
      <c r="BW22" s="778"/>
      <c r="BX22" s="778"/>
      <c r="BY22" s="778"/>
    </row>
    <row r="23" spans="1:83">
      <c r="A23" s="726"/>
      <c r="B23" s="401" t="s">
        <v>1567</v>
      </c>
      <c r="C23" s="834"/>
      <c r="D23" s="1162">
        <f>$E$26</f>
        <v>1</v>
      </c>
      <c r="E23" s="3" t="s">
        <v>1568</v>
      </c>
      <c r="F23" s="834"/>
      <c r="G23" s="1011">
        <v>7.87</v>
      </c>
      <c r="H23" s="785">
        <v>851.4</v>
      </c>
      <c r="I23" s="785">
        <v>1745.5</v>
      </c>
      <c r="J23" s="785">
        <v>631.9</v>
      </c>
      <c r="K23" s="785">
        <v>252.06</v>
      </c>
      <c r="L23" s="785">
        <v>1045.97</v>
      </c>
      <c r="M23" s="785">
        <v>288.58999999999997</v>
      </c>
      <c r="N23" s="785">
        <v>188.04</v>
      </c>
      <c r="O23" s="691"/>
      <c r="P23" s="1008">
        <f t="shared" ref="P23:W23" si="19">IFERROR(G23/$D23,"n.m.")</f>
        <v>7.87</v>
      </c>
      <c r="Q23" s="787">
        <f t="shared" si="19"/>
        <v>851.4</v>
      </c>
      <c r="R23" s="787">
        <f t="shared" si="19"/>
        <v>1745.5</v>
      </c>
      <c r="S23" s="787">
        <f t="shared" si="19"/>
        <v>631.9</v>
      </c>
      <c r="T23" s="787">
        <f t="shared" si="19"/>
        <v>252.06</v>
      </c>
      <c r="U23" s="787">
        <f t="shared" si="19"/>
        <v>1045.97</v>
      </c>
      <c r="V23" s="787">
        <f t="shared" si="19"/>
        <v>288.58999999999997</v>
      </c>
      <c r="W23" s="787">
        <f t="shared" si="19"/>
        <v>188.04</v>
      </c>
      <c r="X23" s="691"/>
      <c r="Y23" s="776">
        <f>IFERROR(S23/Q23,"n.m.")</f>
        <v>0.74218933521259101</v>
      </c>
      <c r="Z23" s="776">
        <f>IFERROR((S23-T23)/V23,"n.m.")</f>
        <v>1.3161925222634188</v>
      </c>
      <c r="AA23" s="776">
        <f>IFERROR(S23/R23,"n.m.")</f>
        <v>0.36201661415067315</v>
      </c>
      <c r="AB23" s="776">
        <f>IFERROR((S23-T23)/R23,"n.m.")</f>
        <v>0.21761099971354911</v>
      </c>
      <c r="AC23" s="691"/>
      <c r="AD23" s="776">
        <f>IFERROR(I23/AW23,"n.m.")</f>
        <v>1.6594887006455417</v>
      </c>
      <c r="AE23" s="776">
        <f>IFERROR(I23/AU23,"n.m.")</f>
        <v>1.6107896606775374</v>
      </c>
      <c r="AF23" s="776">
        <f>IFERROR(I23/AV23,"n.m.")</f>
        <v>1.6687859116418253</v>
      </c>
      <c r="AG23" s="776">
        <f>IFERROR(I23/AY23,"n.m.")</f>
        <v>1.6580542204152973</v>
      </c>
      <c r="AH23" s="776">
        <f>IFERROR(I23/BB23,"n.m.")</f>
        <v>6.0483731245018886</v>
      </c>
      <c r="AI23" s="776">
        <f>IFERROR(I23/AZ23,"n.m.")</f>
        <v>9.1579223504721927</v>
      </c>
      <c r="AJ23" s="776">
        <f>IFERROR(I23/BA23,"n.m.")</f>
        <v>19.925799086757991</v>
      </c>
      <c r="AK23" s="776">
        <f>IFERROR(I23/BD23,"n.m.")</f>
        <v>5.979787598492635</v>
      </c>
      <c r="AL23" s="776">
        <f>IFERROR(H23/BG23,"n.m.")</f>
        <v>-202.71428571428569</v>
      </c>
      <c r="AM23" s="776">
        <f>IFERROR(H23/BE23,"n.m.")</f>
        <v>-1.4499318801089918</v>
      </c>
      <c r="AN23" s="776">
        <f>IFERROR(H23/BF23,"n.m.")</f>
        <v>4.5277600510529679</v>
      </c>
      <c r="AO23" s="776">
        <f>IFERROR(H23/BI23,"n.m.")</f>
        <v>4.2704519235592109</v>
      </c>
      <c r="AP23" s="691"/>
      <c r="AQ23" s="1004">
        <f>V23/U23</f>
        <v>0.27590657475835823</v>
      </c>
      <c r="AR23" s="691"/>
      <c r="AS23" s="782">
        <v>1.63</v>
      </c>
      <c r="AT23" s="838"/>
      <c r="AU23" s="1000">
        <v>1083.6300000000001</v>
      </c>
      <c r="AV23" s="1000">
        <v>1045.97</v>
      </c>
      <c r="AW23" s="1000">
        <v>1051.83</v>
      </c>
      <c r="AX23" s="1000">
        <v>1070.18</v>
      </c>
      <c r="AY23" s="1000">
        <v>1052.74</v>
      </c>
      <c r="AZ23" s="1000">
        <v>190.6</v>
      </c>
      <c r="BA23" s="1000">
        <v>87.6</v>
      </c>
      <c r="BB23" s="1000">
        <v>288.58999999999997</v>
      </c>
      <c r="BC23" s="1000">
        <v>303.64</v>
      </c>
      <c r="BD23" s="1000">
        <v>291.89999999999998</v>
      </c>
      <c r="BE23" s="1000">
        <v>-587.20000000000005</v>
      </c>
      <c r="BF23" s="1000">
        <v>188.04</v>
      </c>
      <c r="BG23" s="1000">
        <v>-4.2</v>
      </c>
      <c r="BH23" s="1000">
        <v>324.14</v>
      </c>
      <c r="BI23" s="1000">
        <v>199.37</v>
      </c>
      <c r="BJ23" s="691"/>
      <c r="BK23" s="777">
        <f>AU23/$D23</f>
        <v>1083.6300000000001</v>
      </c>
      <c r="BL23" s="777">
        <f t="shared" ref="BL23:BY23" si="20">AV23/$D23</f>
        <v>1045.97</v>
      </c>
      <c r="BM23" s="777">
        <f t="shared" si="20"/>
        <v>1051.83</v>
      </c>
      <c r="BN23" s="777">
        <f t="shared" si="20"/>
        <v>1070.18</v>
      </c>
      <c r="BO23" s="777">
        <f t="shared" si="20"/>
        <v>1052.74</v>
      </c>
      <c r="BP23" s="777">
        <f t="shared" si="20"/>
        <v>190.6</v>
      </c>
      <c r="BQ23" s="777">
        <f t="shared" si="20"/>
        <v>87.6</v>
      </c>
      <c r="BR23" s="777">
        <f t="shared" si="20"/>
        <v>288.58999999999997</v>
      </c>
      <c r="BS23" s="777">
        <f t="shared" si="20"/>
        <v>303.64</v>
      </c>
      <c r="BT23" s="777">
        <f t="shared" si="20"/>
        <v>291.89999999999998</v>
      </c>
      <c r="BU23" s="777">
        <f t="shared" si="20"/>
        <v>-587.20000000000005</v>
      </c>
      <c r="BV23" s="777">
        <f t="shared" si="20"/>
        <v>188.04</v>
      </c>
      <c r="BW23" s="777">
        <f t="shared" si="20"/>
        <v>-4.2</v>
      </c>
      <c r="BX23" s="777">
        <f t="shared" si="20"/>
        <v>324.14</v>
      </c>
      <c r="BY23" s="777">
        <f t="shared" si="20"/>
        <v>199.37</v>
      </c>
    </row>
    <row r="24" spans="1:83">
      <c r="B24" s="3"/>
      <c r="C24" s="3"/>
      <c r="D24" s="3"/>
      <c r="E24" s="3"/>
      <c r="F24" s="3"/>
      <c r="G24" s="3"/>
      <c r="H24" s="3"/>
      <c r="I24" s="3"/>
      <c r="J24" s="3"/>
      <c r="K24" s="3"/>
      <c r="L24" s="3"/>
      <c r="M24" s="3"/>
      <c r="N24" s="3"/>
      <c r="O24" s="3"/>
      <c r="P24" s="3"/>
      <c r="Q24" s="3"/>
      <c r="R24" s="3"/>
      <c r="S24" s="3"/>
      <c r="T24" s="3"/>
      <c r="U24" s="3"/>
      <c r="V24" s="3"/>
      <c r="W24" s="3"/>
      <c r="X24" s="3"/>
      <c r="Y24" s="839"/>
      <c r="Z24" s="417"/>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c r="BC24" s="840"/>
      <c r="BD24" s="840"/>
      <c r="BE24" s="840"/>
      <c r="BF24" s="840"/>
      <c r="BG24" s="840"/>
      <c r="BH24" s="840"/>
      <c r="BI24" s="840"/>
      <c r="BJ24" s="840"/>
      <c r="BK24" s="840"/>
      <c r="BL24" s="840"/>
      <c r="BM24" s="840"/>
      <c r="BN24" s="840"/>
      <c r="BO24" s="840"/>
      <c r="BP24" s="840"/>
      <c r="BQ24" s="840"/>
      <c r="BR24" s="840"/>
      <c r="BS24" s="840"/>
      <c r="BT24" s="840"/>
      <c r="BU24" s="840"/>
      <c r="BV24" s="840"/>
      <c r="BW24" s="840"/>
      <c r="BX24" s="840"/>
      <c r="BY24" s="840"/>
      <c r="BZ24" s="840"/>
      <c r="CA24" s="840"/>
      <c r="CB24" s="840"/>
      <c r="CC24" s="840"/>
      <c r="CD24" s="840"/>
      <c r="CE24" s="840"/>
    </row>
    <row r="25" spans="1:83">
      <c r="B25" s="1" t="s">
        <v>1569</v>
      </c>
      <c r="C25" s="3"/>
      <c r="D25" s="3"/>
      <c r="E25" s="729">
        <v>45613</v>
      </c>
      <c r="F25" s="3"/>
      <c r="G25" s="3"/>
      <c r="H25" s="3"/>
      <c r="I25" s="3"/>
      <c r="J25" s="3"/>
      <c r="K25" s="3"/>
      <c r="L25" s="3"/>
      <c r="M25" s="3"/>
      <c r="N25" s="3"/>
      <c r="O25" s="3"/>
      <c r="P25" s="3"/>
      <c r="Q25" s="3"/>
      <c r="R25" s="3"/>
      <c r="S25" s="3"/>
      <c r="T25" s="3"/>
      <c r="U25" s="3"/>
      <c r="V25" s="3"/>
      <c r="W25" s="3"/>
      <c r="X25" s="3"/>
      <c r="Y25" s="839"/>
      <c r="Z25" s="417"/>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c r="BC25" s="840"/>
      <c r="BD25" s="840"/>
      <c r="BE25" s="840"/>
      <c r="BF25" s="840"/>
      <c r="BG25" s="840"/>
      <c r="BH25" s="840"/>
      <c r="BI25" s="840"/>
      <c r="BJ25" s="840"/>
      <c r="BK25" s="840"/>
      <c r="BL25" s="840"/>
      <c r="BM25" s="840"/>
      <c r="BN25" s="840"/>
      <c r="BO25" s="840"/>
      <c r="BP25" s="840"/>
      <c r="BQ25" s="840"/>
      <c r="BR25" s="840"/>
      <c r="BS25" s="840"/>
      <c r="BT25" s="840"/>
      <c r="BU25" s="840"/>
      <c r="BV25" s="840"/>
      <c r="BW25" s="840"/>
      <c r="BX25" s="840"/>
      <c r="BY25" s="840"/>
      <c r="BZ25" s="840"/>
      <c r="CA25" s="840"/>
      <c r="CB25" s="840"/>
      <c r="CC25" s="840"/>
      <c r="CD25" s="840"/>
      <c r="CE25" s="840"/>
    </row>
    <row r="26" spans="1:83">
      <c r="B26" s="3" t="s">
        <v>1570</v>
      </c>
      <c r="C26" s="3"/>
      <c r="D26" s="3"/>
      <c r="E26" s="223">
        <v>1</v>
      </c>
      <c r="F26" s="3"/>
      <c r="G26" s="3" t="s">
        <v>1571</v>
      </c>
      <c r="H26" s="730"/>
      <c r="I26" s="3"/>
      <c r="J26" s="3"/>
      <c r="K26" s="3"/>
      <c r="L26" s="3"/>
      <c r="M26" s="3"/>
      <c r="N26" s="3"/>
      <c r="O26" s="3"/>
      <c r="P26" s="3"/>
      <c r="Q26" s="3"/>
      <c r="R26" s="3"/>
      <c r="S26" s="3"/>
      <c r="T26" s="3"/>
      <c r="U26" s="3"/>
      <c r="V26" s="3"/>
      <c r="W26" s="3"/>
      <c r="X26" s="3"/>
      <c r="Y26" s="3"/>
      <c r="Z26" s="834"/>
      <c r="AA26" s="3"/>
      <c r="AB26" s="3"/>
      <c r="AC26" s="3"/>
      <c r="AD26" s="3"/>
      <c r="AE26" s="3"/>
      <c r="AF26" s="1577"/>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row>
    <row r="27" spans="1:83">
      <c r="B27" s="3" t="s">
        <v>1572</v>
      </c>
      <c r="C27" s="3"/>
      <c r="D27" s="3"/>
      <c r="E27" s="783">
        <v>7.79</v>
      </c>
      <c r="F27" s="3"/>
      <c r="G27" s="3" t="s">
        <v>1573</v>
      </c>
      <c r="H27" s="730"/>
      <c r="I27" s="731"/>
      <c r="J27" s="839"/>
      <c r="K27" s="3"/>
      <c r="L27" s="3"/>
      <c r="M27" s="834"/>
      <c r="N27" s="3"/>
      <c r="O27" s="3"/>
      <c r="P27" s="3"/>
      <c r="Q27" s="3"/>
      <c r="R27" s="3"/>
      <c r="S27" s="3"/>
      <c r="T27" s="3"/>
      <c r="U27" s="3"/>
      <c r="V27" s="3"/>
      <c r="W27" s="3"/>
      <c r="X27" s="3"/>
      <c r="Y27" s="3"/>
      <c r="Z27" s="1"/>
      <c r="AA27" s="3"/>
      <c r="AB27" s="3"/>
      <c r="AC27" s="3"/>
      <c r="AD27" s="3"/>
      <c r="AE27" s="3"/>
      <c r="AF27" s="1577"/>
      <c r="AG27" s="1579"/>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row>
    <row r="28" spans="1:83">
      <c r="B28" s="3" t="s">
        <v>1574</v>
      </c>
      <c r="C28" s="3"/>
      <c r="D28" s="3"/>
      <c r="E28" s="1164">
        <v>1395.92</v>
      </c>
      <c r="F28" s="3"/>
      <c r="G28" s="3" t="s">
        <v>1575</v>
      </c>
      <c r="H28" s="730"/>
      <c r="I28" s="731"/>
      <c r="J28" s="839"/>
      <c r="K28" s="3"/>
      <c r="L28" s="3"/>
      <c r="M28" s="834"/>
      <c r="N28" s="3"/>
      <c r="O28" s="3"/>
      <c r="P28" s="3"/>
      <c r="Q28" s="3"/>
      <c r="R28" s="3"/>
      <c r="S28" s="3"/>
      <c r="T28" s="3"/>
      <c r="U28" s="3"/>
      <c r="V28" s="3"/>
      <c r="W28" s="3"/>
      <c r="X28" s="3"/>
      <c r="Y28" s="3"/>
      <c r="Z28" s="1"/>
      <c r="AA28" s="3"/>
      <c r="AB28" s="3"/>
      <c r="AC28" s="3"/>
      <c r="AD28" s="3"/>
      <c r="AE28" s="3"/>
      <c r="AF28" s="1577"/>
      <c r="AG28" s="1579"/>
      <c r="AH28" s="1579"/>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row>
    <row r="29" spans="1:83">
      <c r="B29" s="88"/>
      <c r="Z29" s="720"/>
      <c r="AF29" s="1577"/>
      <c r="AG29" s="1578"/>
    </row>
    <row r="30" spans="1:83">
      <c r="B30" s="1" t="s">
        <v>1576</v>
      </c>
      <c r="Z30" s="720"/>
      <c r="AF30" s="1577"/>
    </row>
    <row r="31" spans="1:83">
      <c r="B31" s="1" t="s">
        <v>1577</v>
      </c>
      <c r="Z31" s="720"/>
      <c r="AF31" s="1577"/>
      <c r="AS31" s="1591"/>
    </row>
    <row r="32" spans="1:83">
      <c r="B32" s="1" t="s">
        <v>1578</v>
      </c>
      <c r="Z32" s="720"/>
    </row>
    <row r="33" spans="2:77">
      <c r="B33" s="732"/>
      <c r="Z33" s="720"/>
    </row>
    <row r="34" spans="2:77">
      <c r="B34" s="3" t="s">
        <v>1579</v>
      </c>
      <c r="Z34" s="720"/>
    </row>
    <row r="35" spans="2:77">
      <c r="B35" s="16">
        <v>-1</v>
      </c>
      <c r="C35" s="844"/>
      <c r="D35" s="844"/>
      <c r="E35" s="15"/>
      <c r="F35" s="844"/>
      <c r="G35" s="845">
        <f t="shared" ref="G35:N35" si="21">COLUMN()+$B35</f>
        <v>6</v>
      </c>
      <c r="H35" s="447">
        <f t="shared" si="21"/>
        <v>7</v>
      </c>
      <c r="I35" s="447">
        <f t="shared" si="21"/>
        <v>8</v>
      </c>
      <c r="J35" s="447">
        <f t="shared" si="21"/>
        <v>9</v>
      </c>
      <c r="K35" s="447">
        <f t="shared" si="21"/>
        <v>10</v>
      </c>
      <c r="L35" s="447">
        <f t="shared" si="21"/>
        <v>11</v>
      </c>
      <c r="M35" s="447">
        <f t="shared" si="21"/>
        <v>12</v>
      </c>
      <c r="N35" s="447">
        <f t="shared" si="21"/>
        <v>13</v>
      </c>
      <c r="O35" s="447"/>
      <c r="P35" s="447">
        <f t="shared" ref="P35:W35" si="22">COLUMN()+$B35</f>
        <v>15</v>
      </c>
      <c r="Q35" s="447">
        <f t="shared" si="22"/>
        <v>16</v>
      </c>
      <c r="R35" s="447">
        <f t="shared" si="22"/>
        <v>17</v>
      </c>
      <c r="S35" s="447">
        <f t="shared" si="22"/>
        <v>18</v>
      </c>
      <c r="T35" s="447">
        <f t="shared" si="22"/>
        <v>19</v>
      </c>
      <c r="U35" s="447">
        <f t="shared" si="22"/>
        <v>20</v>
      </c>
      <c r="V35" s="447">
        <f t="shared" si="22"/>
        <v>21</v>
      </c>
      <c r="W35" s="447">
        <f t="shared" si="22"/>
        <v>22</v>
      </c>
      <c r="X35" s="447"/>
      <c r="Y35" s="447">
        <f t="shared" ref="Y35:BY35" si="23">COLUMN()+$B35</f>
        <v>24</v>
      </c>
      <c r="Z35" s="447">
        <f t="shared" si="23"/>
        <v>25</v>
      </c>
      <c r="AA35" s="447">
        <f t="shared" si="23"/>
        <v>26</v>
      </c>
      <c r="AB35" s="447">
        <f t="shared" si="23"/>
        <v>27</v>
      </c>
      <c r="AC35" s="447">
        <f t="shared" si="23"/>
        <v>28</v>
      </c>
      <c r="AD35" s="447">
        <f t="shared" si="23"/>
        <v>29</v>
      </c>
      <c r="AE35" s="447">
        <f t="shared" si="23"/>
        <v>30</v>
      </c>
      <c r="AF35" s="447">
        <f t="shared" si="23"/>
        <v>31</v>
      </c>
      <c r="AG35" s="447">
        <f t="shared" si="23"/>
        <v>32</v>
      </c>
      <c r="AH35" s="447">
        <f t="shared" si="23"/>
        <v>33</v>
      </c>
      <c r="AI35" s="447">
        <f t="shared" si="23"/>
        <v>34</v>
      </c>
      <c r="AJ35" s="447">
        <f t="shared" si="23"/>
        <v>35</v>
      </c>
      <c r="AK35" s="447">
        <f t="shared" si="23"/>
        <v>36</v>
      </c>
      <c r="AL35" s="447">
        <f t="shared" si="23"/>
        <v>37</v>
      </c>
      <c r="AM35" s="447">
        <f t="shared" si="23"/>
        <v>38</v>
      </c>
      <c r="AN35" s="447">
        <f t="shared" si="23"/>
        <v>39</v>
      </c>
      <c r="AO35" s="447">
        <f t="shared" si="23"/>
        <v>40</v>
      </c>
      <c r="AP35" s="447">
        <f t="shared" si="23"/>
        <v>41</v>
      </c>
      <c r="AQ35" s="447">
        <f t="shared" si="23"/>
        <v>42</v>
      </c>
      <c r="AR35" s="447">
        <f t="shared" si="23"/>
        <v>43</v>
      </c>
      <c r="AS35" s="447">
        <f t="shared" si="23"/>
        <v>44</v>
      </c>
      <c r="AT35" s="447">
        <f t="shared" si="23"/>
        <v>45</v>
      </c>
      <c r="AU35" s="447">
        <f t="shared" si="23"/>
        <v>46</v>
      </c>
      <c r="AV35" s="447">
        <f t="shared" si="23"/>
        <v>47</v>
      </c>
      <c r="AW35" s="447">
        <f t="shared" si="23"/>
        <v>48</v>
      </c>
      <c r="AX35" s="447">
        <f t="shared" si="23"/>
        <v>49</v>
      </c>
      <c r="AY35" s="447">
        <f t="shared" si="23"/>
        <v>50</v>
      </c>
      <c r="AZ35" s="447">
        <f t="shared" si="23"/>
        <v>51</v>
      </c>
      <c r="BA35" s="447">
        <f t="shared" si="23"/>
        <v>52</v>
      </c>
      <c r="BB35" s="447">
        <f t="shared" si="23"/>
        <v>53</v>
      </c>
      <c r="BC35" s="447">
        <f t="shared" si="23"/>
        <v>54</v>
      </c>
      <c r="BD35" s="447">
        <f t="shared" si="23"/>
        <v>55</v>
      </c>
      <c r="BE35" s="447">
        <f t="shared" si="23"/>
        <v>56</v>
      </c>
      <c r="BF35" s="447">
        <f t="shared" si="23"/>
        <v>57</v>
      </c>
      <c r="BG35" s="447">
        <f t="shared" si="23"/>
        <v>58</v>
      </c>
      <c r="BH35" s="447">
        <f t="shared" si="23"/>
        <v>59</v>
      </c>
      <c r="BI35" s="447">
        <f t="shared" si="23"/>
        <v>60</v>
      </c>
      <c r="BJ35" s="447">
        <f t="shared" si="23"/>
        <v>61</v>
      </c>
      <c r="BK35" s="447">
        <f t="shared" si="23"/>
        <v>62</v>
      </c>
      <c r="BL35" s="447">
        <f t="shared" si="23"/>
        <v>63</v>
      </c>
      <c r="BM35" s="447">
        <f t="shared" si="23"/>
        <v>64</v>
      </c>
      <c r="BN35" s="447">
        <f t="shared" si="23"/>
        <v>65</v>
      </c>
      <c r="BO35" s="447">
        <f t="shared" si="23"/>
        <v>66</v>
      </c>
      <c r="BP35" s="447">
        <f t="shared" si="23"/>
        <v>67</v>
      </c>
      <c r="BQ35" s="447">
        <f t="shared" si="23"/>
        <v>68</v>
      </c>
      <c r="BR35" s="447">
        <f t="shared" si="23"/>
        <v>69</v>
      </c>
      <c r="BS35" s="447">
        <f t="shared" si="23"/>
        <v>70</v>
      </c>
      <c r="BT35" s="447">
        <f t="shared" si="23"/>
        <v>71</v>
      </c>
      <c r="BU35" s="447">
        <f t="shared" si="23"/>
        <v>72</v>
      </c>
      <c r="BV35" s="447">
        <f t="shared" si="23"/>
        <v>73</v>
      </c>
      <c r="BW35" s="447">
        <f t="shared" si="23"/>
        <v>74</v>
      </c>
      <c r="BX35" s="447">
        <f t="shared" si="23"/>
        <v>75</v>
      </c>
      <c r="BY35" s="733">
        <f t="shared" si="23"/>
        <v>76</v>
      </c>
    </row>
    <row r="36" spans="2:77"/>
  </sheetData>
  <mergeCells count="9">
    <mergeCell ref="BK5:BO5"/>
    <mergeCell ref="BP5:BT5"/>
    <mergeCell ref="BU5:BY5"/>
    <mergeCell ref="AD5:AG5"/>
    <mergeCell ref="AH5:AK5"/>
    <mergeCell ref="AL5:AO5"/>
    <mergeCell ref="AU5:AY5"/>
    <mergeCell ref="AZ5:BD5"/>
    <mergeCell ref="BE5:BI5"/>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2E576A"/>
  </sheetPr>
  <dimension ref="A1:CI88"/>
  <sheetViews>
    <sheetView showGridLines="0" topLeftCell="A7" zoomScale="134" workbookViewId="0">
      <selection activeCell="L24" sqref="L24"/>
    </sheetView>
  </sheetViews>
  <sheetFormatPr defaultColWidth="0" defaultRowHeight="0" customHeight="1" zeroHeight="1"/>
  <cols>
    <col min="1" max="1" width="2.44140625" style="1165" customWidth="1"/>
    <col min="2" max="2" width="28.44140625" style="1168" customWidth="1"/>
    <col min="3" max="3" width="1.44140625" style="1165" customWidth="1"/>
    <col min="4" max="4" width="8.88671875" style="1165" customWidth="1"/>
    <col min="5" max="5" width="1.44140625" style="1165" customWidth="1"/>
    <col min="6" max="6" width="12.109375" style="1165" customWidth="1"/>
    <col min="7" max="7" width="1.44140625" style="1165" customWidth="1"/>
    <col min="8" max="8" width="8.88671875" style="1165" customWidth="1"/>
    <col min="9" max="9" width="1.44140625" style="1165" customWidth="1"/>
    <col min="10" max="10" width="12.109375" style="1165" customWidth="1"/>
    <col min="11" max="11" width="1.109375" style="1165" customWidth="1"/>
    <col min="12" max="12" width="154.6640625" style="1168" bestFit="1" customWidth="1"/>
    <col min="13" max="13" width="1.44140625" style="1168" customWidth="1"/>
    <col min="14" max="14" width="117.88671875" style="1168" bestFit="1" customWidth="1"/>
    <col min="15" max="15" width="1.44140625" style="1168" customWidth="1"/>
    <col min="16" max="16" width="255.88671875" style="1168" bestFit="1" customWidth="1"/>
    <col min="17" max="17" width="2.109375" style="1165" customWidth="1"/>
    <col min="18" max="18" width="0" style="1165" hidden="1" customWidth="1"/>
    <col min="19" max="19" width="0.109375" style="1165" hidden="1" customWidth="1"/>
    <col min="20" max="20" width="9.109375" style="1165" customWidth="1"/>
    <col min="21" max="87" width="0" style="1165" hidden="1" customWidth="1"/>
    <col min="88" max="16384" width="9.109375" style="1165" hidden="1"/>
  </cols>
  <sheetData>
    <row r="1" spans="1:87" s="1166" customFormat="1" ht="13.2">
      <c r="A1" s="36"/>
      <c r="B1" s="36" t="str">
        <f>'DCF - Assumptions'!$F$8&amp;" | Precedent Transactions - Selection"</f>
        <v>Bumble INC | Precedent Transactions - Selection</v>
      </c>
      <c r="C1" s="28"/>
      <c r="D1" s="28"/>
      <c r="E1" s="28"/>
      <c r="F1" s="28"/>
      <c r="G1" s="28"/>
      <c r="H1" s="28"/>
      <c r="I1" s="28"/>
      <c r="J1" s="28"/>
      <c r="K1" s="28"/>
      <c r="L1" s="28"/>
      <c r="M1" s="28"/>
      <c r="N1" s="28"/>
      <c r="O1" s="28"/>
      <c r="P1" s="28"/>
      <c r="Q1" s="28"/>
      <c r="R1" s="28"/>
      <c r="S1" s="28"/>
      <c r="T1" s="402"/>
      <c r="U1" s="402"/>
      <c r="V1" s="402"/>
      <c r="W1" s="402"/>
      <c r="X1" s="402"/>
      <c r="Y1" s="402"/>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row>
    <row r="2" spans="1:87" s="1167" customFormat="1" ht="15.75" customHeight="1">
      <c r="A2" s="115"/>
      <c r="B2" s="3"/>
      <c r="C2" s="3"/>
      <c r="D2" s="3"/>
      <c r="E2" s="2"/>
      <c r="F2" s="2"/>
      <c r="G2" s="3"/>
      <c r="H2" s="3"/>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row>
    <row r="3" spans="1:87" s="1166" customFormat="1" ht="15.75" customHeight="1">
      <c r="A3" s="29"/>
      <c r="B3" s="28"/>
      <c r="C3" s="28"/>
      <c r="D3" s="28"/>
      <c r="E3" s="26"/>
      <c r="F3" s="26"/>
      <c r="G3" s="28"/>
      <c r="H3" s="28"/>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row>
    <row r="4" spans="1:87" s="1168" customFormat="1" ht="10.199999999999999">
      <c r="A4" s="1202"/>
      <c r="B4" s="1203"/>
      <c r="C4" s="1165"/>
      <c r="D4" s="1203"/>
      <c r="E4" s="1203"/>
      <c r="F4" s="1204"/>
      <c r="G4" s="1165"/>
      <c r="H4" s="1203"/>
      <c r="I4" s="1203"/>
      <c r="J4" s="1204"/>
      <c r="K4" s="1204"/>
      <c r="L4" s="1203"/>
      <c r="M4" s="1203"/>
      <c r="N4" s="1203"/>
      <c r="O4" s="1203"/>
      <c r="P4" s="1203"/>
      <c r="Q4" s="1203"/>
      <c r="R4" s="1204"/>
      <c r="S4" s="1204"/>
      <c r="T4" s="1203"/>
      <c r="U4" s="1203"/>
      <c r="V4" s="1203"/>
      <c r="W4" s="1203"/>
      <c r="X4" s="1203"/>
      <c r="Y4" s="1203"/>
      <c r="Z4" s="1203"/>
      <c r="AA4" s="1203"/>
      <c r="AB4" s="1203"/>
      <c r="AC4" s="1203"/>
      <c r="AD4" s="1203"/>
      <c r="AE4" s="1203"/>
      <c r="AF4" s="1203"/>
      <c r="AG4" s="1203"/>
      <c r="AH4" s="1203"/>
      <c r="AI4" s="1203"/>
      <c r="AJ4" s="1203"/>
      <c r="AK4" s="1203"/>
      <c r="AL4" s="1203"/>
      <c r="AM4" s="1203"/>
      <c r="AN4" s="1203"/>
      <c r="AO4" s="1203"/>
      <c r="AP4" s="1203"/>
      <c r="AQ4" s="1203"/>
      <c r="AR4" s="1203"/>
      <c r="AS4" s="1203"/>
      <c r="AT4" s="1203"/>
      <c r="AU4" s="1203"/>
      <c r="AV4" s="1203"/>
      <c r="AW4" s="1203"/>
      <c r="AX4" s="1203"/>
      <c r="AY4" s="1203"/>
      <c r="AZ4" s="1203"/>
      <c r="BA4" s="1203"/>
      <c r="BB4" s="1203"/>
      <c r="BC4" s="1203"/>
      <c r="BD4" s="1203"/>
      <c r="BE4" s="1203"/>
      <c r="BF4" s="1203"/>
      <c r="BG4" s="1203"/>
      <c r="BH4" s="1203"/>
      <c r="BI4" s="1203"/>
      <c r="BJ4" s="1203"/>
      <c r="BK4" s="1203"/>
      <c r="BL4" s="1203"/>
      <c r="BM4" s="1203"/>
      <c r="BN4" s="1203"/>
      <c r="BO4" s="1203"/>
      <c r="BP4" s="1203"/>
      <c r="BQ4" s="1203"/>
      <c r="BR4" s="1203"/>
      <c r="BS4" s="1203"/>
      <c r="BT4" s="1203"/>
      <c r="BU4" s="1203"/>
      <c r="BV4" s="1203"/>
      <c r="BW4" s="1203"/>
      <c r="BX4" s="1203"/>
      <c r="BY4" s="1203"/>
      <c r="BZ4" s="1203"/>
      <c r="CA4" s="1203"/>
      <c r="CB4" s="1203"/>
      <c r="CC4" s="1203"/>
      <c r="CD4" s="1203"/>
      <c r="CE4" s="1203"/>
      <c r="CF4" s="1203"/>
      <c r="CG4" s="1203"/>
      <c r="CH4" s="1203"/>
      <c r="CI4" s="1203"/>
    </row>
    <row r="5" spans="1:87" ht="10.199999999999999">
      <c r="B5" s="1205"/>
      <c r="C5" s="1170"/>
      <c r="D5" s="1206" t="s">
        <v>1580</v>
      </c>
      <c r="E5" s="1207"/>
      <c r="F5" s="1207"/>
      <c r="G5" s="1171"/>
      <c r="H5" s="1206"/>
      <c r="I5" s="1207"/>
      <c r="J5" s="1207"/>
      <c r="K5" s="1170"/>
      <c r="L5" s="1208"/>
      <c r="M5" s="1203"/>
      <c r="N5" s="1203"/>
      <c r="O5" s="1203"/>
      <c r="P5" s="1203"/>
    </row>
    <row r="6" spans="1:87" ht="12">
      <c r="B6" s="1322"/>
      <c r="C6" s="1323"/>
      <c r="D6" s="1323"/>
      <c r="E6" s="1323"/>
      <c r="F6" s="1323" t="s">
        <v>1473</v>
      </c>
      <c r="G6" s="1323"/>
      <c r="H6" s="1323"/>
      <c r="I6" s="1323"/>
      <c r="J6" s="1323" t="s">
        <v>1475</v>
      </c>
      <c r="K6" s="1324"/>
      <c r="L6" s="1325"/>
      <c r="M6" s="1326"/>
      <c r="N6" s="1326"/>
      <c r="O6" s="1326"/>
      <c r="P6" s="1326"/>
      <c r="Q6" s="1324"/>
    </row>
    <row r="7" spans="1:87" ht="12">
      <c r="B7" s="1322" t="s">
        <v>1566</v>
      </c>
      <c r="C7" s="1311"/>
      <c r="D7" s="1311" t="s">
        <v>1477</v>
      </c>
      <c r="E7" s="1311"/>
      <c r="F7" s="1311" t="s">
        <v>1536</v>
      </c>
      <c r="G7" s="1311"/>
      <c r="H7" s="1311" t="s">
        <v>1477</v>
      </c>
      <c r="I7" s="1311"/>
      <c r="J7" s="1311" t="s">
        <v>1536</v>
      </c>
      <c r="K7" s="1324"/>
      <c r="L7" s="1327" t="s">
        <v>1581</v>
      </c>
      <c r="M7" s="1311"/>
      <c r="N7" s="1311" t="s">
        <v>1582</v>
      </c>
      <c r="O7" s="1311"/>
      <c r="P7" s="1311" t="s">
        <v>1583</v>
      </c>
      <c r="Q7" s="1324"/>
    </row>
    <row r="8" spans="1:87" ht="10.199999999999999">
      <c r="B8" s="1" t="s">
        <v>1478</v>
      </c>
      <c r="L8" s="1209"/>
      <c r="M8" s="1210" t="s">
        <v>1584</v>
      </c>
      <c r="N8" s="1203"/>
      <c r="O8" s="1210" t="s">
        <v>1584</v>
      </c>
      <c r="P8" s="1203"/>
      <c r="Q8" s="1176" t="s">
        <v>1584</v>
      </c>
    </row>
    <row r="9" spans="1:87" ht="10.199999999999999">
      <c r="B9" s="1211" t="s">
        <v>1479</v>
      </c>
      <c r="L9" s="1209"/>
      <c r="M9" s="1210" t="s">
        <v>1584</v>
      </c>
      <c r="N9" s="1203"/>
      <c r="O9" s="1210" t="s">
        <v>1584</v>
      </c>
      <c r="P9" s="1203"/>
      <c r="Q9" s="1176" t="s">
        <v>1584</v>
      </c>
      <c r="R9" s="1212" t="str">
        <f>IF(O9="","",L9/O9)</f>
        <v/>
      </c>
    </row>
    <row r="10" spans="1:87" ht="10.199999999999999">
      <c r="B10" s="1211"/>
      <c r="L10" s="1209"/>
      <c r="M10" s="1203"/>
      <c r="N10" s="1203"/>
      <c r="O10" s="1203"/>
      <c r="P10" s="1203"/>
      <c r="R10" s="1213"/>
    </row>
    <row r="11" spans="1:87" ht="14.4">
      <c r="B11" s="1214" t="str">
        <f>'Precedents - Dataset'!B9</f>
        <v>Twitter</v>
      </c>
      <c r="D11" s="1215">
        <v>0</v>
      </c>
      <c r="F11" s="1216">
        <f>IFERROR(D11*'Precedents - Dataset'!P9,"")</f>
        <v>0</v>
      </c>
      <c r="H11" s="1215">
        <v>0</v>
      </c>
      <c r="J11" s="1216">
        <f>IF(H11=1,'Precedents - Dataset'!Q9,0)</f>
        <v>0</v>
      </c>
      <c r="L11" s="1552" t="s">
        <v>1585</v>
      </c>
      <c r="M11" s="1553"/>
      <c r="N11" s="1552" t="s">
        <v>1586</v>
      </c>
      <c r="O11" s="1553"/>
      <c r="P11" s="1552" t="s">
        <v>1587</v>
      </c>
      <c r="Q11" s="1176" t="s">
        <v>1584</v>
      </c>
      <c r="R11" s="1213" t="str">
        <f t="shared" ref="R11:R18" si="0">IF(O11="","",L11/O11)</f>
        <v/>
      </c>
    </row>
    <row r="12" spans="1:87" ht="14.4">
      <c r="B12" s="1217" t="str">
        <f>'Precedents - Dataset'!B11</f>
        <v>Slack Technologies</v>
      </c>
      <c r="D12" s="1218">
        <v>0</v>
      </c>
      <c r="F12" s="1219">
        <f>IFERROR(D12*'Precedents - Dataset'!P11,"")</f>
        <v>0</v>
      </c>
      <c r="H12" s="1218">
        <v>0</v>
      </c>
      <c r="J12" s="1219">
        <f>IF(H12=1,'Precedents - Dataset'!Q11,0)</f>
        <v>0</v>
      </c>
      <c r="L12" s="1552" t="s">
        <v>1588</v>
      </c>
      <c r="M12" s="1553"/>
      <c r="N12" s="1552" t="s">
        <v>1589</v>
      </c>
      <c r="O12" s="1553"/>
      <c r="P12" s="1552" t="s">
        <v>1590</v>
      </c>
      <c r="Q12" s="1176" t="s">
        <v>1584</v>
      </c>
      <c r="R12" s="1213" t="str">
        <f t="shared" si="0"/>
        <v/>
      </c>
    </row>
    <row r="13" spans="1:87" ht="14.4">
      <c r="B13" s="1217" t="str">
        <f>'Precedents - Dataset'!B13</f>
        <v>LinkedIn</v>
      </c>
      <c r="D13" s="1218">
        <v>0</v>
      </c>
      <c r="F13" s="1219">
        <f>IFERROR(D13*'Precedents - Dataset'!P13,"")</f>
        <v>0</v>
      </c>
      <c r="H13" s="1218">
        <v>0</v>
      </c>
      <c r="J13" s="1219">
        <f>IF(H13=1,'Precedents - Dataset'!Q13,0)</f>
        <v>0</v>
      </c>
      <c r="L13" s="1552" t="s">
        <v>1591</v>
      </c>
      <c r="M13" s="1553"/>
      <c r="N13" s="1552" t="s">
        <v>1592</v>
      </c>
      <c r="O13" s="1553"/>
      <c r="P13" s="1552" t="s">
        <v>1593</v>
      </c>
      <c r="Q13" s="1176" t="s">
        <v>1584</v>
      </c>
      <c r="R13" s="1213" t="str">
        <f t="shared" si="0"/>
        <v/>
      </c>
    </row>
    <row r="14" spans="1:87" ht="14.4">
      <c r="B14" s="1217" t="str">
        <f>'Precedents - Dataset'!B16</f>
        <v>Skype</v>
      </c>
      <c r="D14" s="1218">
        <v>0</v>
      </c>
      <c r="F14" s="1219">
        <f>IFERROR(D14*'Precedents - Dataset'!P16,"")</f>
        <v>0</v>
      </c>
      <c r="H14" s="1218">
        <v>0</v>
      </c>
      <c r="J14" s="1219">
        <f>IF(H14=1,'Precedents - Dataset'!Q16,0)</f>
        <v>0</v>
      </c>
      <c r="L14" s="1552" t="s">
        <v>1594</v>
      </c>
      <c r="M14" s="1553"/>
      <c r="N14" s="1552" t="s">
        <v>1595</v>
      </c>
      <c r="O14" s="1553"/>
      <c r="P14" s="1552" t="s">
        <v>1596</v>
      </c>
      <c r="Q14" s="1176" t="s">
        <v>1584</v>
      </c>
      <c r="R14" s="1213" t="str">
        <f t="shared" si="0"/>
        <v/>
      </c>
    </row>
    <row r="15" spans="1:87" ht="14.4">
      <c r="B15" s="1217" t="str">
        <f>'Precedents - Dataset'!B14</f>
        <v>WhatsApp</v>
      </c>
      <c r="D15" s="1218">
        <v>0</v>
      </c>
      <c r="F15" s="1219">
        <f>IFERROR(D15*'Precedents - Dataset'!P14,"")</f>
        <v>0</v>
      </c>
      <c r="H15" s="1218">
        <v>0</v>
      </c>
      <c r="J15" s="1219">
        <f>IF(H15=1,'Precedents - Dataset'!Q14,0)</f>
        <v>0</v>
      </c>
      <c r="L15" s="1552" t="s">
        <v>1597</v>
      </c>
      <c r="M15" s="1553"/>
      <c r="N15" s="1552" t="s">
        <v>1598</v>
      </c>
      <c r="O15" s="1553"/>
      <c r="P15" s="1552" t="s">
        <v>1599</v>
      </c>
      <c r="Q15" s="1176" t="s">
        <v>1584</v>
      </c>
      <c r="R15" s="1213" t="str">
        <f t="shared" si="0"/>
        <v/>
      </c>
    </row>
    <row r="16" spans="1:87" ht="14.4">
      <c r="B16" s="1217" t="str">
        <f>'Precedents - Dataset'!B12</f>
        <v>Care.com</v>
      </c>
      <c r="D16" s="1218">
        <v>1</v>
      </c>
      <c r="F16" s="1219">
        <f>IFERROR(D16*'Precedents - Dataset'!P12,"")</f>
        <v>2.5362318840579712</v>
      </c>
      <c r="H16" s="1218">
        <v>1</v>
      </c>
      <c r="J16" s="1219">
        <f>IF(H16=1,'Precedents - Dataset'!Q12,0)</f>
        <v>37.5</v>
      </c>
      <c r="L16" s="1552" t="s">
        <v>1600</v>
      </c>
      <c r="M16" s="1553"/>
      <c r="N16" s="1552" t="s">
        <v>1601</v>
      </c>
      <c r="O16" s="1553"/>
      <c r="P16" s="1552" t="s">
        <v>1602</v>
      </c>
      <c r="Q16" s="1176" t="s">
        <v>1584</v>
      </c>
      <c r="R16" s="1213" t="str">
        <f t="shared" si="0"/>
        <v/>
      </c>
    </row>
    <row r="17" spans="2:18" ht="14.4">
      <c r="B17" s="1217" t="str">
        <f>'Precedents - Dataset'!B15</f>
        <v>Tumblr</v>
      </c>
      <c r="D17" s="1218">
        <v>0</v>
      </c>
      <c r="F17" s="1219">
        <f>IFERROR(D17*'Precedents - Dataset'!P15,"")</f>
        <v>0</v>
      </c>
      <c r="H17" s="1218">
        <v>0</v>
      </c>
      <c r="J17" s="1219">
        <f>IF(H17=1,'Precedents - Dataset'!Q15,0)</f>
        <v>0</v>
      </c>
      <c r="L17" s="1552" t="s">
        <v>1603</v>
      </c>
      <c r="M17" s="1553"/>
      <c r="N17" s="1552" t="s">
        <v>1604</v>
      </c>
      <c r="O17" s="1553"/>
      <c r="P17" s="1552" t="s">
        <v>1605</v>
      </c>
      <c r="Q17" s="1176" t="s">
        <v>1584</v>
      </c>
      <c r="R17" s="1213" t="str">
        <f t="shared" si="0"/>
        <v/>
      </c>
    </row>
    <row r="18" spans="2:18" ht="14.4">
      <c r="B18" s="1217" t="str">
        <f>'Precedents - Dataset'!B10</f>
        <v>MoPub</v>
      </c>
      <c r="D18" s="1218">
        <v>0</v>
      </c>
      <c r="F18" s="1219">
        <f>IFERROR(D18*'Precedents - Dataset'!P10,"")</f>
        <v>0</v>
      </c>
      <c r="H18" s="1218">
        <v>1</v>
      </c>
      <c r="J18" s="1219">
        <f>IF(H18=1,'Precedents - Dataset'!Q10,0)</f>
        <v>0</v>
      </c>
      <c r="L18" s="1552" t="s">
        <v>1606</v>
      </c>
      <c r="M18" s="1553"/>
      <c r="N18" s="1552" t="s">
        <v>1607</v>
      </c>
      <c r="O18" s="1553"/>
      <c r="P18" s="1552" t="s">
        <v>1608</v>
      </c>
      <c r="Q18" s="1176" t="s">
        <v>1584</v>
      </c>
      <c r="R18" s="1213" t="str">
        <f t="shared" si="0"/>
        <v/>
      </c>
    </row>
    <row r="19" spans="2:18" ht="10.199999999999999">
      <c r="B19" s="1220"/>
      <c r="D19" s="1221">
        <v>0</v>
      </c>
      <c r="F19" s="1222" t="str">
        <f>IFERROR(D19*'Precedents - Dataset'!#REF!,"")</f>
        <v/>
      </c>
      <c r="H19" s="1221">
        <v>0</v>
      </c>
      <c r="J19" s="1222">
        <f>IF(H19=1,'Precedents - Dataset'!#REF!,0)</f>
        <v>0</v>
      </c>
      <c r="L19" s="1554"/>
      <c r="M19" s="1553"/>
      <c r="N19" s="1555"/>
      <c r="O19" s="1553"/>
      <c r="P19" s="1555"/>
      <c r="Q19" s="1176" t="s">
        <v>1584</v>
      </c>
      <c r="R19" s="1172"/>
    </row>
    <row r="20" spans="2:18" ht="3.75" customHeight="1">
      <c r="B20" s="1223"/>
      <c r="L20" s="1209"/>
      <c r="M20" s="1210" t="s">
        <v>1584</v>
      </c>
      <c r="N20" s="1203"/>
      <c r="O20" s="1210" t="s">
        <v>1584</v>
      </c>
      <c r="P20" s="1203"/>
      <c r="Q20" s="1176" t="s">
        <v>1584</v>
      </c>
    </row>
    <row r="21" spans="2:18" ht="10.199999999999999">
      <c r="B21" s="1224" t="s">
        <v>1506</v>
      </c>
      <c r="C21" s="1173"/>
      <c r="F21" s="1225">
        <f>IFERROR(AVERAGEIF(D11:D19,1,F11:F19),0)</f>
        <v>2.5362318840579712</v>
      </c>
      <c r="J21" s="1225">
        <f>IFERROR(AVERAGEIF(H11:H19,1,J11:J19),0)</f>
        <v>18.75</v>
      </c>
      <c r="L21" s="1209"/>
      <c r="M21" s="1210" t="s">
        <v>1584</v>
      </c>
      <c r="N21" s="1203"/>
      <c r="O21" s="1210" t="s">
        <v>1584</v>
      </c>
      <c r="P21" s="1174"/>
      <c r="Q21" s="1176" t="s">
        <v>1584</v>
      </c>
    </row>
    <row r="22" spans="2:18" ht="10.199999999999999">
      <c r="B22" s="1226" t="s">
        <v>1609</v>
      </c>
      <c r="C22" s="1173"/>
      <c r="F22" s="1227">
        <v>1084</v>
      </c>
      <c r="J22" s="1227">
        <v>191</v>
      </c>
      <c r="L22" s="1209"/>
      <c r="M22" s="1210" t="s">
        <v>1584</v>
      </c>
      <c r="N22" s="1203"/>
      <c r="O22" s="1210" t="s">
        <v>1584</v>
      </c>
      <c r="P22" s="1174"/>
      <c r="Q22" s="1176" t="s">
        <v>1584</v>
      </c>
    </row>
    <row r="23" spans="2:18" ht="10.199999999999999">
      <c r="B23" s="1228" t="s">
        <v>1610</v>
      </c>
      <c r="C23" s="1173"/>
      <c r="F23" s="1229">
        <f>F21*F22</f>
        <v>2749.275362318841</v>
      </c>
      <c r="J23" s="1229">
        <f>J21*J22</f>
        <v>3581.25</v>
      </c>
      <c r="L23" s="1209"/>
      <c r="M23" s="1210" t="s">
        <v>1584</v>
      </c>
      <c r="N23" s="1203"/>
      <c r="O23" s="1210" t="s">
        <v>1584</v>
      </c>
      <c r="P23" s="1174"/>
      <c r="Q23" s="1176" t="s">
        <v>1584</v>
      </c>
    </row>
    <row r="24" spans="2:18" ht="10.199999999999999">
      <c r="B24" s="1230" t="s">
        <v>1494</v>
      </c>
      <c r="C24" s="1173"/>
      <c r="D24" s="1173"/>
      <c r="E24" s="1173"/>
      <c r="F24" s="1231">
        <f>F23</f>
        <v>2749.275362318841</v>
      </c>
      <c r="J24" s="1231">
        <f>J23</f>
        <v>3581.25</v>
      </c>
      <c r="L24" s="1209"/>
      <c r="M24" s="1210" t="s">
        <v>1584</v>
      </c>
      <c r="N24" s="1203"/>
      <c r="O24" s="1210" t="s">
        <v>1584</v>
      </c>
      <c r="P24" s="1174"/>
      <c r="Q24" s="1176" t="s">
        <v>1584</v>
      </c>
    </row>
    <row r="25" spans="2:18" ht="10.199999999999999">
      <c r="B25" s="1232" t="s">
        <v>1495</v>
      </c>
      <c r="C25" s="1173"/>
      <c r="D25" s="1173"/>
      <c r="E25" s="1173"/>
      <c r="F25" s="1233">
        <f>-'Comps - Dataset'!S23</f>
        <v>-631.9</v>
      </c>
      <c r="J25" s="1233">
        <f>F25</f>
        <v>-631.9</v>
      </c>
      <c r="L25" s="1209"/>
      <c r="M25" s="1210" t="s">
        <v>1584</v>
      </c>
      <c r="N25" s="1203"/>
      <c r="O25" s="1210" t="s">
        <v>1584</v>
      </c>
      <c r="P25" s="1174"/>
      <c r="Q25" s="1176" t="s">
        <v>1584</v>
      </c>
    </row>
    <row r="26" spans="2:18" ht="10.199999999999999">
      <c r="B26" s="1234" t="s">
        <v>1611</v>
      </c>
      <c r="C26" s="1173"/>
      <c r="D26" s="1173"/>
      <c r="E26" s="1173"/>
      <c r="F26" s="1233">
        <v>0</v>
      </c>
      <c r="J26" s="1233">
        <v>0</v>
      </c>
      <c r="L26" s="1209"/>
      <c r="M26" s="1210" t="s">
        <v>1584</v>
      </c>
      <c r="N26" s="1203"/>
      <c r="O26" s="1210" t="s">
        <v>1584</v>
      </c>
      <c r="P26" s="1174"/>
      <c r="Q26" s="1176" t="s">
        <v>1584</v>
      </c>
    </row>
    <row r="27" spans="2:18" ht="10.199999999999999">
      <c r="B27" s="1234" t="s">
        <v>1497</v>
      </c>
      <c r="C27" s="1173"/>
      <c r="D27" s="1173"/>
      <c r="E27" s="1173"/>
      <c r="F27" s="1235">
        <f>'Comps - Dataset'!T23</f>
        <v>252.06</v>
      </c>
      <c r="J27" s="1236">
        <f>F27</f>
        <v>252.06</v>
      </c>
      <c r="L27" s="1209"/>
      <c r="M27" s="1210" t="s">
        <v>1584</v>
      </c>
      <c r="N27" s="1203"/>
      <c r="O27" s="1210" t="s">
        <v>1584</v>
      </c>
      <c r="P27" s="1174"/>
      <c r="Q27" s="1176" t="s">
        <v>1584</v>
      </c>
    </row>
    <row r="28" spans="2:18" ht="10.199999999999999">
      <c r="B28" s="1237" t="s">
        <v>1498</v>
      </c>
      <c r="C28" s="1173"/>
      <c r="D28" s="1173"/>
      <c r="E28" s="1173"/>
      <c r="F28" s="1231">
        <f>SUM(F24:F27)</f>
        <v>2369.4353623188408</v>
      </c>
      <c r="J28" s="1231">
        <f>SUM(J24:J27)</f>
        <v>3201.41</v>
      </c>
      <c r="L28" s="1209"/>
      <c r="M28" s="1210" t="s">
        <v>1584</v>
      </c>
      <c r="N28" s="1203"/>
      <c r="O28" s="1210" t="s">
        <v>1584</v>
      </c>
      <c r="P28" s="1174"/>
      <c r="Q28" s="1176" t="s">
        <v>1584</v>
      </c>
    </row>
    <row r="29" spans="2:18" ht="10.199999999999999">
      <c r="B29" s="1238" t="s">
        <v>1612</v>
      </c>
      <c r="C29" s="1173"/>
      <c r="D29" s="1173"/>
      <c r="E29" s="1173"/>
      <c r="F29" s="1235">
        <f>'DCF - Valuation'!S25</f>
        <v>157.34</v>
      </c>
      <c r="J29" s="1235">
        <f>F29</f>
        <v>157.34</v>
      </c>
      <c r="L29" s="1209"/>
      <c r="M29" s="1210" t="s">
        <v>1584</v>
      </c>
      <c r="N29" s="1203"/>
      <c r="O29" s="1210" t="s">
        <v>1584</v>
      </c>
      <c r="P29" s="1174"/>
      <c r="Q29" s="1176" t="s">
        <v>1584</v>
      </c>
    </row>
    <row r="30" spans="2:18" ht="10.199999999999999">
      <c r="B30" s="1239" t="s">
        <v>1180</v>
      </c>
      <c r="C30" s="1173"/>
      <c r="D30" s="1173"/>
      <c r="E30" s="1173"/>
      <c r="F30" s="1240">
        <f>F28/F29</f>
        <v>15.059332415907212</v>
      </c>
      <c r="J30" s="1240">
        <f>J28/J29</f>
        <v>20.347082750730898</v>
      </c>
      <c r="L30" s="1209"/>
      <c r="M30" s="1203"/>
      <c r="N30" s="1203"/>
      <c r="O30" s="1203"/>
      <c r="P30" s="1174"/>
    </row>
    <row r="31" spans="2:18" ht="10.199999999999999">
      <c r="B31" s="1241"/>
      <c r="C31" s="1175"/>
      <c r="D31" s="1175"/>
      <c r="E31" s="1175"/>
      <c r="F31" s="1242"/>
      <c r="G31" s="1175"/>
      <c r="H31" s="1175"/>
      <c r="I31" s="1175"/>
      <c r="J31" s="1242"/>
      <c r="K31" s="1175"/>
      <c r="L31" s="1243"/>
      <c r="M31" s="1203"/>
      <c r="N31" s="1203"/>
      <c r="O31" s="1203"/>
      <c r="P31" s="1174"/>
    </row>
    <row r="32" spans="2:18" ht="10.199999999999999">
      <c r="B32" s="1203"/>
      <c r="L32" s="1203"/>
      <c r="M32" s="1210" t="s">
        <v>1584</v>
      </c>
      <c r="N32" s="1203"/>
      <c r="O32" s="1210" t="s">
        <v>1584</v>
      </c>
      <c r="P32" s="1174"/>
      <c r="Q32" s="1176" t="s">
        <v>1584</v>
      </c>
    </row>
    <row r="33" spans="2:17" ht="10.199999999999999" hidden="1">
      <c r="B33" s="1"/>
      <c r="L33" s="1203"/>
      <c r="M33" s="1210" t="s">
        <v>1584</v>
      </c>
      <c r="N33" s="1203"/>
      <c r="O33" s="1210" t="s">
        <v>1584</v>
      </c>
      <c r="P33" s="1203"/>
      <c r="Q33" s="1176" t="s">
        <v>1584</v>
      </c>
    </row>
    <row r="34" spans="2:17" ht="10.5" hidden="1" customHeight="1">
      <c r="B34" s="1203"/>
      <c r="L34" s="1203"/>
      <c r="M34" s="1203"/>
      <c r="N34" s="1203"/>
      <c r="O34" s="1203"/>
      <c r="P34" s="1203"/>
    </row>
    <row r="35" spans="2:17" ht="10.5" hidden="1" customHeight="1">
      <c r="B35" s="1203"/>
      <c r="L35" s="1203"/>
      <c r="M35" s="1203"/>
      <c r="N35" s="1203"/>
      <c r="O35" s="1203"/>
      <c r="P35" s="1203"/>
    </row>
    <row r="36" spans="2:17" ht="10.5" hidden="1" customHeight="1">
      <c r="B36" s="1203"/>
      <c r="L36" s="1203"/>
      <c r="M36" s="1203"/>
      <c r="N36" s="1203"/>
      <c r="O36" s="1203"/>
      <c r="P36" s="1203"/>
    </row>
    <row r="37" spans="2:17" ht="10.5" hidden="1" customHeight="1">
      <c r="B37" s="1203"/>
      <c r="L37" s="1203"/>
      <c r="M37" s="1203"/>
      <c r="N37" s="1203"/>
      <c r="O37" s="1203"/>
      <c r="P37" s="1203"/>
    </row>
    <row r="38" spans="2:17" ht="10.5" hidden="1" customHeight="1">
      <c r="B38" s="1203"/>
      <c r="L38" s="1203"/>
      <c r="M38" s="1203"/>
      <c r="N38" s="1203"/>
      <c r="O38" s="1203"/>
      <c r="P38" s="1203"/>
    </row>
    <row r="39" spans="2:17" ht="10.5" hidden="1" customHeight="1">
      <c r="B39" s="1203"/>
      <c r="L39" s="1203"/>
      <c r="M39" s="1203"/>
      <c r="N39" s="1203"/>
      <c r="O39" s="1203"/>
      <c r="P39" s="1203"/>
    </row>
    <row r="40" spans="2:17" ht="10.5" hidden="1" customHeight="1">
      <c r="B40" s="1203"/>
      <c r="L40" s="1203"/>
      <c r="M40" s="1203"/>
      <c r="N40" s="1203"/>
      <c r="O40" s="1203"/>
      <c r="P40" s="1203"/>
    </row>
    <row r="41" spans="2:17" ht="10.5" hidden="1" customHeight="1">
      <c r="B41" s="1203"/>
      <c r="L41" s="1203"/>
      <c r="M41" s="1203"/>
      <c r="N41" s="1203"/>
      <c r="O41" s="1203"/>
      <c r="P41" s="1203"/>
    </row>
    <row r="42" spans="2:17" ht="10.5" hidden="1" customHeight="1">
      <c r="B42" s="1203"/>
      <c r="L42" s="1203"/>
      <c r="M42" s="1203"/>
      <c r="N42" s="1203"/>
      <c r="O42" s="1203"/>
      <c r="P42" s="1203"/>
    </row>
    <row r="43" spans="2:17" ht="10.5" hidden="1" customHeight="1">
      <c r="B43" s="1203"/>
      <c r="L43" s="1203"/>
      <c r="M43" s="1203"/>
      <c r="N43" s="1203"/>
      <c r="O43" s="1203"/>
      <c r="P43" s="1203"/>
    </row>
    <row r="44" spans="2:17" ht="10.5" hidden="1" customHeight="1">
      <c r="B44" s="1203"/>
      <c r="L44" s="1203"/>
      <c r="M44" s="1203"/>
      <c r="N44" s="1203"/>
      <c r="O44" s="1203"/>
      <c r="P44" s="1203"/>
    </row>
    <row r="45" spans="2:17" ht="10.5" hidden="1" customHeight="1">
      <c r="B45" s="1203"/>
      <c r="L45" s="1203"/>
      <c r="M45" s="1203"/>
      <c r="N45" s="1203"/>
      <c r="O45" s="1203"/>
      <c r="P45" s="1203"/>
    </row>
    <row r="46" spans="2:17" ht="10.5" hidden="1" customHeight="1">
      <c r="B46" s="1203"/>
      <c r="L46" s="1203"/>
      <c r="M46" s="1203"/>
      <c r="N46" s="1203"/>
      <c r="O46" s="1203"/>
      <c r="P46" s="1203"/>
    </row>
    <row r="47" spans="2:17" ht="10.5" hidden="1" customHeight="1">
      <c r="B47" s="1203"/>
      <c r="L47" s="1203"/>
      <c r="M47" s="1203"/>
      <c r="N47" s="1203"/>
      <c r="O47" s="1203"/>
      <c r="P47" s="1203"/>
    </row>
    <row r="48" spans="2:17" ht="10.5" hidden="1" customHeight="1">
      <c r="B48" s="1203"/>
      <c r="L48" s="1203"/>
      <c r="M48" s="1203"/>
      <c r="N48" s="1203"/>
      <c r="O48" s="1203"/>
      <c r="P48" s="1203"/>
    </row>
    <row r="49" ht="10.5" hidden="1" customHeight="1"/>
    <row r="50" ht="10.5" hidden="1" customHeight="1"/>
    <row r="51" ht="10.5" hidden="1" customHeight="1"/>
    <row r="52" ht="10.5" hidden="1" customHeight="1"/>
    <row r="53" ht="10.5" hidden="1" customHeight="1"/>
    <row r="54" ht="10.5" hidden="1" customHeight="1"/>
    <row r="55" ht="10.5" hidden="1" customHeight="1"/>
    <row r="56" ht="10.5" hidden="1" customHeight="1"/>
    <row r="57" ht="10.5" hidden="1" customHeight="1"/>
    <row r="58" ht="10.5" hidden="1" customHeight="1"/>
    <row r="59" ht="10.5" hidden="1" customHeight="1"/>
    <row r="60" ht="10.5" hidden="1" customHeight="1"/>
    <row r="61" ht="10.5" hidden="1" customHeight="1"/>
    <row r="62" ht="10.5" hidden="1" customHeight="1"/>
    <row r="63" ht="10.5" hidden="1" customHeight="1"/>
    <row r="64" ht="10.5" hidden="1" customHeight="1"/>
    <row r="65" ht="10.5" hidden="1" customHeight="1"/>
    <row r="66" ht="10.5" hidden="1" customHeight="1"/>
    <row r="67" ht="10.5" hidden="1" customHeight="1"/>
    <row r="68" ht="10.5" hidden="1" customHeight="1"/>
    <row r="69" ht="10.5" hidden="1" customHeight="1"/>
    <row r="70" ht="10.5" hidden="1" customHeight="1"/>
    <row r="71" ht="10.5" hidden="1" customHeight="1"/>
    <row r="72" ht="10.5" hidden="1" customHeight="1"/>
    <row r="73" ht="10.5" hidden="1" customHeight="1"/>
    <row r="74" ht="10.5" hidden="1" customHeight="1"/>
    <row r="75" ht="10.5" hidden="1" customHeight="1"/>
    <row r="76" ht="10.5" hidden="1" customHeight="1"/>
    <row r="77" ht="10.5" hidden="1" customHeight="1"/>
    <row r="78" ht="10.5" hidden="1" customHeight="1"/>
    <row r="79" ht="10.5" hidden="1" customHeight="1"/>
    <row r="80" ht="10.5" hidden="1" customHeight="1"/>
    <row r="81" ht="10.5" hidden="1" customHeight="1"/>
    <row r="82" ht="10.5" hidden="1" customHeight="1"/>
    <row r="83" ht="10.5" hidden="1" customHeight="1"/>
    <row r="84" ht="10.5" hidden="1" customHeight="1"/>
    <row r="85" ht="10.5" hidden="1" customHeight="1"/>
    <row r="86" ht="10.5" hidden="1" customHeight="1"/>
    <row r="87" ht="10.5" hidden="1" customHeight="1"/>
    <row r="88" ht="10.5" hidden="1" customHeight="1"/>
  </sheetData>
  <conditionalFormatting sqref="D11:D19 H11:H19">
    <cfRule type="cellIs" dxfId="25" priority="4" operator="equal">
      <formula>0</formula>
    </cfRule>
  </conditionalFormatting>
  <conditionalFormatting sqref="F11">
    <cfRule type="expression" dxfId="24" priority="7">
      <formula>NOT(F11*D11)</formula>
    </cfRule>
  </conditionalFormatting>
  <conditionalFormatting sqref="F11:F18 J11:J18">
    <cfRule type="expression" dxfId="23" priority="8">
      <formula>NOT(F11*D11)</formula>
    </cfRule>
  </conditionalFormatting>
  <conditionalFormatting sqref="F19">
    <cfRule type="expression" dxfId="22" priority="5">
      <formula>NOT(F19*D19)</formula>
    </cfRule>
    <cfRule type="expression" dxfId="21" priority="6">
      <formula>NOT(F19*D19)</formula>
    </cfRule>
  </conditionalFormatting>
  <conditionalFormatting sqref="J11">
    <cfRule type="expression" dxfId="20" priority="3">
      <formula>NOT(J11*H11)</formula>
    </cfRule>
  </conditionalFormatting>
  <conditionalFormatting sqref="J19">
    <cfRule type="expression" dxfId="19" priority="1">
      <formula>NOT(J19*H19)</formula>
    </cfRule>
    <cfRule type="expression" dxfId="18" priority="2">
      <formula>NOT(J19*H19)</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2E576A"/>
  </sheetPr>
  <dimension ref="A1:CP22"/>
  <sheetViews>
    <sheetView showGridLines="0" zoomScale="125" workbookViewId="0">
      <selection activeCell="N22" sqref="N22"/>
    </sheetView>
  </sheetViews>
  <sheetFormatPr defaultColWidth="0" defaultRowHeight="14.4" zeroHeight="1"/>
  <cols>
    <col min="1" max="1" width="2.44140625" customWidth="1"/>
    <col min="2" max="2" width="24.44140625" customWidth="1"/>
    <col min="3" max="3" width="19.44140625" customWidth="1"/>
    <col min="4" max="4" width="1.44140625" customWidth="1"/>
    <col min="5" max="5" width="24.44140625" customWidth="1"/>
    <col min="6" max="6" width="20.109375" customWidth="1"/>
    <col min="7" max="7" width="1.44140625" customWidth="1"/>
    <col min="8" max="8" width="15.44140625" customWidth="1"/>
    <col min="9" max="9" width="4.44140625" bestFit="1" customWidth="1"/>
    <col min="10" max="10" width="91.109375" bestFit="1" customWidth="1"/>
    <col min="11" max="11" width="8.109375" customWidth="1"/>
    <col min="12" max="12" width="1.44140625" customWidth="1"/>
    <col min="13" max="13" width="9.109375" customWidth="1"/>
    <col min="14" max="14" width="8.44140625" customWidth="1"/>
    <col min="15" max="15" width="1.44140625" customWidth="1"/>
    <col min="16" max="17" width="7.88671875" customWidth="1"/>
    <col min="18" max="18" width="3.44140625" customWidth="1"/>
    <col min="19" max="94" width="0" hidden="1" customWidth="1"/>
    <col min="95" max="95" width="8.88671875" hidden="1" customWidth="1"/>
    <col min="96" max="16384" width="8.88671875" hidden="1"/>
  </cols>
  <sheetData>
    <row r="1" spans="1:94" s="1166" customFormat="1" ht="13.2">
      <c r="A1" s="36"/>
      <c r="B1" s="36" t="str">
        <f>'DCF - Assumptions'!$F$8&amp;" | Precedent Transactions - Dataset and Calculations"</f>
        <v>Bumble INC | Precedent Transactions - Dataset and Calculations</v>
      </c>
      <c r="C1" s="28"/>
      <c r="D1" s="28"/>
      <c r="E1" s="28"/>
      <c r="F1" s="28"/>
      <c r="G1" s="28"/>
      <c r="H1" s="28"/>
      <c r="I1" s="28"/>
      <c r="J1" s="28"/>
      <c r="K1" s="28"/>
      <c r="L1" s="28"/>
      <c r="M1" s="28"/>
      <c r="N1" s="28"/>
      <c r="O1" s="28"/>
      <c r="P1" s="28"/>
      <c r="Q1" s="28"/>
      <c r="R1" s="28"/>
      <c r="S1" s="28"/>
      <c r="T1" s="28"/>
      <c r="U1" s="28"/>
      <c r="V1" s="28"/>
      <c r="W1" s="28"/>
      <c r="X1" s="28"/>
      <c r="Y1" s="28"/>
      <c r="Z1" s="28"/>
      <c r="AA1" s="402"/>
      <c r="AB1" s="402"/>
      <c r="AC1" s="402"/>
      <c r="AD1" s="402"/>
      <c r="AE1" s="402"/>
      <c r="AF1" s="402"/>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row>
    <row r="2" spans="1:94" s="1167" customFormat="1" ht="15.75" customHeight="1">
      <c r="A2" s="115"/>
      <c r="B2" s="3"/>
      <c r="C2" s="81"/>
      <c r="D2" s="3"/>
      <c r="E2" s="3"/>
      <c r="F2" s="3"/>
      <c r="G2" s="3"/>
      <c r="H2" s="3"/>
      <c r="I2" s="3"/>
      <c r="J2" s="3"/>
      <c r="K2" s="3"/>
      <c r="L2" s="2"/>
      <c r="M2" s="2"/>
      <c r="N2" s="3"/>
      <c r="O2" s="3"/>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row>
    <row r="3" spans="1:94" s="1166" customFormat="1" ht="15.75" customHeight="1">
      <c r="A3" s="29"/>
      <c r="B3" s="28"/>
      <c r="C3" s="313"/>
      <c r="D3" s="28"/>
      <c r="E3" s="28"/>
      <c r="F3" s="28"/>
      <c r="G3" s="28"/>
      <c r="H3" s="28"/>
      <c r="I3" s="28"/>
      <c r="J3" s="28"/>
      <c r="K3" s="28"/>
      <c r="L3" s="26"/>
      <c r="M3" s="26"/>
      <c r="N3" s="28"/>
      <c r="O3" s="28"/>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row>
    <row r="4" spans="1:94">
      <c r="B4" s="1" t="s">
        <v>1613</v>
      </c>
      <c r="C4" s="1203"/>
      <c r="D4" s="1244"/>
      <c r="E4" s="1203"/>
      <c r="F4" s="1203"/>
      <c r="G4" s="1165"/>
      <c r="H4" s="1203"/>
      <c r="I4" s="1203"/>
      <c r="J4" s="1203"/>
      <c r="K4" s="1204"/>
      <c r="L4" s="1204"/>
      <c r="M4" s="1203"/>
      <c r="N4" s="1203"/>
      <c r="O4" s="1203"/>
      <c r="P4" s="1204"/>
      <c r="Q4" s="1204"/>
      <c r="R4" s="1203"/>
    </row>
    <row r="5" spans="1:94" ht="16.8">
      <c r="A5" s="1203"/>
      <c r="B5" s="1328" t="s">
        <v>1566</v>
      </c>
      <c r="C5" s="1329"/>
      <c r="D5" s="1311"/>
      <c r="E5" s="1329" t="s">
        <v>1614</v>
      </c>
      <c r="F5" s="1330"/>
      <c r="G5" s="1331"/>
      <c r="H5" s="1329" t="s">
        <v>1615</v>
      </c>
      <c r="I5" s="1330"/>
      <c r="J5" s="1330"/>
      <c r="K5" s="1330"/>
      <c r="L5" s="1323"/>
      <c r="M5" s="1602" t="s">
        <v>1536</v>
      </c>
      <c r="N5" s="1602"/>
      <c r="O5" s="1311"/>
      <c r="P5" s="1602" t="s">
        <v>1616</v>
      </c>
      <c r="Q5" s="1603"/>
      <c r="R5" s="1203"/>
      <c r="S5" s="1203"/>
    </row>
    <row r="6" spans="1:94" ht="15">
      <c r="A6" s="1203"/>
      <c r="B6" s="1322" t="s">
        <v>1617</v>
      </c>
      <c r="C6" s="1311" t="s">
        <v>1017</v>
      </c>
      <c r="D6" s="1311"/>
      <c r="E6" s="1311" t="s">
        <v>1617</v>
      </c>
      <c r="F6" s="1311" t="s">
        <v>1017</v>
      </c>
      <c r="G6" s="1331"/>
      <c r="H6" s="1311" t="s">
        <v>1618</v>
      </c>
      <c r="I6" s="1311" t="s">
        <v>1619</v>
      </c>
      <c r="J6" s="1311" t="s">
        <v>1620</v>
      </c>
      <c r="K6" s="1311" t="s">
        <v>1621</v>
      </c>
      <c r="L6" s="1311"/>
      <c r="M6" s="1311" t="s">
        <v>1190</v>
      </c>
      <c r="N6" s="1311" t="s">
        <v>640</v>
      </c>
      <c r="O6" s="1311"/>
      <c r="P6" s="1311" t="s">
        <v>1190</v>
      </c>
      <c r="Q6" s="1327" t="s">
        <v>640</v>
      </c>
      <c r="R6" s="1203"/>
      <c r="S6" s="1203"/>
    </row>
    <row r="7" spans="1:94">
      <c r="A7" s="1203"/>
      <c r="B7" s="1223"/>
      <c r="C7" s="1"/>
      <c r="D7" s="1244"/>
      <c r="E7" s="3"/>
      <c r="F7" s="3"/>
      <c r="G7" s="1165"/>
      <c r="H7" s="1203"/>
      <c r="I7" s="1203"/>
      <c r="J7" s="1203"/>
      <c r="K7" s="294"/>
      <c r="L7" s="294"/>
      <c r="M7" s="3"/>
      <c r="N7" s="3"/>
      <c r="O7" s="3"/>
      <c r="P7" s="294"/>
      <c r="Q7" s="1245"/>
      <c r="R7" s="1203"/>
      <c r="S7" s="1203"/>
    </row>
    <row r="8" spans="1:94" ht="15" customHeight="1">
      <c r="A8" s="1203"/>
      <c r="B8" s="1223"/>
      <c r="C8" s="1203"/>
      <c r="D8" s="1244"/>
      <c r="E8" s="3"/>
      <c r="F8" s="3"/>
      <c r="G8" s="1165"/>
      <c r="H8" s="1"/>
      <c r="I8" s="1"/>
      <c r="J8" s="1"/>
      <c r="K8" s="294"/>
      <c r="L8" s="294"/>
      <c r="M8" s="3"/>
      <c r="N8" s="3"/>
      <c r="O8" s="3"/>
      <c r="P8" s="294"/>
      <c r="Q8" s="1245"/>
      <c r="R8" s="1203"/>
      <c r="S8" s="1203"/>
    </row>
    <row r="9" spans="1:94" ht="15" customHeight="1">
      <c r="A9" s="1203"/>
      <c r="B9" s="1556" t="s">
        <v>1622</v>
      </c>
      <c r="C9" s="1557" t="s">
        <v>1623</v>
      </c>
      <c r="D9" s="1558"/>
      <c r="E9" s="1559" t="s">
        <v>1624</v>
      </c>
      <c r="F9" s="1560" t="s">
        <v>1625</v>
      </c>
      <c r="G9" s="1561"/>
      <c r="H9" s="1559" t="s">
        <v>1626</v>
      </c>
      <c r="I9" s="1562">
        <v>2022</v>
      </c>
      <c r="J9" s="1563" t="s">
        <v>1627</v>
      </c>
      <c r="K9" s="1246">
        <v>46173</v>
      </c>
      <c r="L9" s="1247"/>
      <c r="M9" s="1248">
        <v>5242</v>
      </c>
      <c r="N9" s="1249">
        <v>901</v>
      </c>
      <c r="O9" s="1250"/>
      <c r="P9" s="1251">
        <f t="shared" ref="P9:P16" si="0">IF(M9="","",K9/M9)</f>
        <v>8.8082792827165211</v>
      </c>
      <c r="Q9" s="1252">
        <f>IFERROR(K9/N9,"N/A")</f>
        <v>51.246392896781352</v>
      </c>
      <c r="R9" s="1203"/>
      <c r="S9" s="1203"/>
    </row>
    <row r="10" spans="1:94" ht="15" customHeight="1">
      <c r="A10" s="1203"/>
      <c r="B10" s="1564" t="s">
        <v>1628</v>
      </c>
      <c r="C10" s="1565" t="s">
        <v>1629</v>
      </c>
      <c r="D10" s="1558"/>
      <c r="E10" s="1253" t="s">
        <v>1630</v>
      </c>
      <c r="F10" s="1566" t="s">
        <v>1631</v>
      </c>
      <c r="G10" s="1561"/>
      <c r="H10" s="1253" t="s">
        <v>1632</v>
      </c>
      <c r="I10" s="1567">
        <v>2021</v>
      </c>
      <c r="J10" s="1570" t="s">
        <v>1633</v>
      </c>
      <c r="K10" s="1254">
        <v>1050</v>
      </c>
      <c r="L10" s="1247"/>
      <c r="M10" s="1255">
        <v>188</v>
      </c>
      <c r="N10" s="1256"/>
      <c r="O10" s="1250"/>
      <c r="P10" s="1257">
        <f t="shared" si="0"/>
        <v>5.5851063829787231</v>
      </c>
      <c r="Q10" s="1258"/>
      <c r="R10" s="1203"/>
      <c r="S10" s="1203"/>
    </row>
    <row r="11" spans="1:94" ht="15" customHeight="1">
      <c r="A11" s="1203"/>
      <c r="B11" s="1569" t="s">
        <v>1634</v>
      </c>
      <c r="C11" s="1570" t="s">
        <v>1635</v>
      </c>
      <c r="D11" s="1558"/>
      <c r="E11" s="1253" t="s">
        <v>1636</v>
      </c>
      <c r="F11" s="1566" t="s">
        <v>1635</v>
      </c>
      <c r="G11" s="1561"/>
      <c r="H11" s="1253" t="s">
        <v>1637</v>
      </c>
      <c r="I11" s="1567">
        <v>2020</v>
      </c>
      <c r="J11" s="1576" t="s">
        <v>1638</v>
      </c>
      <c r="K11" s="1254">
        <v>27770</v>
      </c>
      <c r="L11" s="1247"/>
      <c r="M11" s="1255">
        <v>834</v>
      </c>
      <c r="N11" s="1259">
        <v>-196</v>
      </c>
      <c r="O11" s="1250"/>
      <c r="P11" s="1257">
        <f t="shared" si="0"/>
        <v>33.297362110311752</v>
      </c>
      <c r="Q11" s="1260">
        <f>IFERROR(K11/N11,0)</f>
        <v>-141.68367346938774</v>
      </c>
      <c r="R11" s="1203"/>
      <c r="S11" s="1203"/>
    </row>
    <row r="12" spans="1:94" ht="15" customHeight="1">
      <c r="A12" s="1203"/>
      <c r="B12" s="1564" t="s">
        <v>1639</v>
      </c>
      <c r="C12" s="1565" t="s">
        <v>1640</v>
      </c>
      <c r="D12" s="1558"/>
      <c r="E12" s="1253" t="s">
        <v>1641</v>
      </c>
      <c r="F12" s="1566" t="s">
        <v>1640</v>
      </c>
      <c r="G12" s="1561"/>
      <c r="H12" s="1253" t="s">
        <v>1642</v>
      </c>
      <c r="I12" s="1567">
        <v>2019</v>
      </c>
      <c r="J12" s="1568" t="s">
        <v>1643</v>
      </c>
      <c r="K12" s="1254">
        <v>525</v>
      </c>
      <c r="L12" s="1247"/>
      <c r="M12" s="1255">
        <v>207</v>
      </c>
      <c r="N12" s="1259">
        <v>14</v>
      </c>
      <c r="O12" s="1250"/>
      <c r="P12" s="1257">
        <f t="shared" si="0"/>
        <v>2.5362318840579712</v>
      </c>
      <c r="Q12" s="1260">
        <f>IFERROR(K12/N12,"N/A")</f>
        <v>37.5</v>
      </c>
      <c r="R12" s="1203"/>
      <c r="S12" s="1203"/>
    </row>
    <row r="13" spans="1:94" ht="15" customHeight="1">
      <c r="A13" s="1203"/>
      <c r="B13" s="1569" t="s">
        <v>1644</v>
      </c>
      <c r="C13" s="1570" t="s">
        <v>1645</v>
      </c>
      <c r="D13" s="1558"/>
      <c r="E13" s="1253" t="s">
        <v>1646</v>
      </c>
      <c r="F13" s="1566" t="s">
        <v>1631</v>
      </c>
      <c r="G13" s="1561"/>
      <c r="H13" s="1253" t="s">
        <v>1647</v>
      </c>
      <c r="I13" s="1567">
        <v>2016</v>
      </c>
      <c r="J13" s="1568" t="s">
        <v>1648</v>
      </c>
      <c r="K13" s="1254">
        <v>25880</v>
      </c>
      <c r="L13" s="1247"/>
      <c r="M13" s="1255">
        <v>3214</v>
      </c>
      <c r="N13" s="1259">
        <v>266</v>
      </c>
      <c r="O13" s="1250"/>
      <c r="P13" s="1257">
        <f t="shared" si="0"/>
        <v>8.0522713130056012</v>
      </c>
      <c r="Q13" s="1260">
        <f>IFERROR(K13/N13,"N/A")</f>
        <v>97.293233082706763</v>
      </c>
      <c r="R13" s="1203"/>
      <c r="S13" s="1203"/>
    </row>
    <row r="14" spans="1:94" ht="15" customHeight="1">
      <c r="A14" s="1203"/>
      <c r="B14" s="1569" t="s">
        <v>1649</v>
      </c>
      <c r="C14" s="1570" t="s">
        <v>1650</v>
      </c>
      <c r="D14" s="1558"/>
      <c r="E14" s="1253" t="s">
        <v>1651</v>
      </c>
      <c r="F14" s="1566" t="s">
        <v>1631</v>
      </c>
      <c r="G14" s="1561"/>
      <c r="H14" s="1253" t="s">
        <v>1652</v>
      </c>
      <c r="I14" s="1567">
        <v>2014</v>
      </c>
      <c r="J14" s="1568" t="s">
        <v>1653</v>
      </c>
      <c r="K14" s="1261">
        <v>20071</v>
      </c>
      <c r="L14" s="1247"/>
      <c r="M14" s="1255">
        <v>10</v>
      </c>
      <c r="N14" s="1259">
        <v>-138</v>
      </c>
      <c r="O14" s="1250"/>
      <c r="P14" s="1257">
        <f t="shared" si="0"/>
        <v>2007.1</v>
      </c>
      <c r="Q14" s="1260">
        <f>IFERROR(K14/N14,"N/A")</f>
        <v>-145.44202898550725</v>
      </c>
      <c r="R14" s="1203"/>
      <c r="S14" s="1203"/>
    </row>
    <row r="15" spans="1:94" ht="15" customHeight="1">
      <c r="A15" s="1203"/>
      <c r="B15" s="1564" t="s">
        <v>1654</v>
      </c>
      <c r="C15" s="1565" t="s">
        <v>1645</v>
      </c>
      <c r="D15" s="1558"/>
      <c r="E15" s="1253" t="s">
        <v>1655</v>
      </c>
      <c r="F15" s="1566" t="s">
        <v>1631</v>
      </c>
      <c r="G15" s="1561"/>
      <c r="H15" s="1253" t="s">
        <v>1656</v>
      </c>
      <c r="I15" s="1567">
        <v>2013</v>
      </c>
      <c r="J15" s="1568" t="s">
        <v>1657</v>
      </c>
      <c r="K15" s="1261">
        <v>1100</v>
      </c>
      <c r="L15" s="1247"/>
      <c r="M15" s="1255">
        <v>13</v>
      </c>
      <c r="N15" s="1256"/>
      <c r="O15" s="1250"/>
      <c r="P15" s="1257">
        <f t="shared" si="0"/>
        <v>84.615384615384613</v>
      </c>
      <c r="Q15" s="1258"/>
      <c r="R15" s="1203"/>
      <c r="S15" s="1203"/>
    </row>
    <row r="16" spans="1:94" ht="15" customHeight="1">
      <c r="A16" s="1203"/>
      <c r="B16" s="1569" t="s">
        <v>1658</v>
      </c>
      <c r="C16" s="1570" t="s">
        <v>1635</v>
      </c>
      <c r="D16" s="1558"/>
      <c r="E16" s="1253" t="s">
        <v>1646</v>
      </c>
      <c r="F16" s="1566" t="s">
        <v>1631</v>
      </c>
      <c r="G16" s="1561"/>
      <c r="H16" s="1253" t="s">
        <v>1659</v>
      </c>
      <c r="I16" s="1567">
        <v>2011</v>
      </c>
      <c r="J16" s="1568" t="s">
        <v>1660</v>
      </c>
      <c r="K16" s="1254">
        <v>8560</v>
      </c>
      <c r="L16" s="1247"/>
      <c r="M16" s="1255">
        <v>860</v>
      </c>
      <c r="N16" s="1256"/>
      <c r="O16" s="1250"/>
      <c r="P16" s="1257">
        <f t="shared" si="0"/>
        <v>9.9534883720930232</v>
      </c>
      <c r="Q16" s="1258"/>
      <c r="R16" s="1203"/>
      <c r="S16" s="1203"/>
    </row>
    <row r="17" spans="1:19" ht="15" customHeight="1">
      <c r="A17" s="1203"/>
      <c r="B17" s="1571"/>
      <c r="C17" s="1572"/>
      <c r="D17" s="1558"/>
      <c r="E17" s="1573"/>
      <c r="F17" s="1574"/>
      <c r="G17" s="1561"/>
      <c r="H17" s="1575"/>
      <c r="I17" s="1604"/>
      <c r="J17" s="1605"/>
      <c r="K17" s="1262"/>
      <c r="L17" s="1247"/>
      <c r="M17" s="1263"/>
      <c r="N17" s="1264"/>
      <c r="O17" s="1250"/>
      <c r="P17" s="1265"/>
      <c r="Q17" s="1266"/>
      <c r="R17" s="1203"/>
      <c r="S17" s="1203"/>
    </row>
    <row r="18" spans="1:19" ht="15" customHeight="1">
      <c r="A18" s="1203"/>
      <c r="B18" s="1223"/>
      <c r="C18" s="1203"/>
      <c r="D18" s="1244"/>
      <c r="E18" s="1203"/>
      <c r="F18" s="1203"/>
      <c r="G18" s="1165"/>
      <c r="H18" s="1267"/>
      <c r="I18" s="1268"/>
      <c r="J18" s="1267"/>
      <c r="K18" s="1269"/>
      <c r="L18" s="1269"/>
      <c r="M18" s="1270"/>
      <c r="N18" s="1270"/>
      <c r="O18" s="1271"/>
      <c r="P18" s="1272"/>
      <c r="Q18" s="1273"/>
      <c r="R18" s="1203"/>
      <c r="S18" s="1203"/>
    </row>
    <row r="19" spans="1:19">
      <c r="A19" s="1203"/>
      <c r="B19" s="1274" t="s">
        <v>1661</v>
      </c>
      <c r="C19" s="1275"/>
      <c r="D19" s="1276"/>
      <c r="E19" s="1275"/>
      <c r="F19" s="1275"/>
      <c r="G19" s="1177"/>
      <c r="H19" s="1277"/>
      <c r="I19" s="1278"/>
      <c r="J19" s="1277"/>
      <c r="K19" s="1279">
        <f>AVERAGE(K9:K16)</f>
        <v>16391.125</v>
      </c>
      <c r="L19" s="1279"/>
      <c r="M19" s="1279">
        <f>AVERAGE(M9:M16)</f>
        <v>1321</v>
      </c>
      <c r="N19" s="1279">
        <f>AVERAGE(N9:N16)</f>
        <v>169.4</v>
      </c>
      <c r="O19" s="1280"/>
      <c r="P19" s="1281">
        <f>AVERAGE(P9:P16)</f>
        <v>269.99351549506855</v>
      </c>
      <c r="Q19" s="1282">
        <f>AVERAGEIF(Q9:Q17,"&gt;0")</f>
        <v>62.013208659829367</v>
      </c>
      <c r="R19" s="1203"/>
      <c r="S19" s="1203"/>
    </row>
    <row r="20" spans="1:19" ht="15" customHeight="1">
      <c r="A20" s="1203"/>
      <c r="B20" s="1283"/>
      <c r="C20" s="1283"/>
      <c r="D20" s="1244"/>
      <c r="E20" s="1203"/>
      <c r="F20" s="1203"/>
      <c r="G20" s="1165"/>
      <c r="H20" s="1203"/>
      <c r="I20" s="1203"/>
      <c r="J20" s="1203"/>
      <c r="K20" s="1204"/>
      <c r="L20" s="1204"/>
      <c r="M20" s="1203"/>
      <c r="N20" s="1203"/>
      <c r="O20" s="1203"/>
      <c r="P20" s="1204"/>
      <c r="Q20" s="1204"/>
      <c r="R20" s="1203"/>
      <c r="S20" s="1203"/>
    </row>
    <row r="21" spans="1:19">
      <c r="A21" s="1203"/>
      <c r="B21" s="1" t="s">
        <v>1662</v>
      </c>
      <c r="C21" s="1203"/>
      <c r="D21" s="1244"/>
      <c r="E21" s="1203"/>
      <c r="F21" s="1203"/>
      <c r="G21" s="1165"/>
      <c r="H21" s="1284"/>
      <c r="I21" s="1203"/>
      <c r="J21" s="1203"/>
      <c r="K21" s="1204"/>
      <c r="L21" s="1204"/>
      <c r="M21" s="1203"/>
      <c r="N21" s="1203"/>
      <c r="O21" s="1203"/>
      <c r="P21" s="1204"/>
      <c r="Q21" s="1204"/>
      <c r="R21" s="1203"/>
      <c r="S21" s="1203"/>
    </row>
    <row r="22" spans="1:19">
      <c r="M22" s="1178"/>
    </row>
  </sheetData>
  <mergeCells count="3">
    <mergeCell ref="M5:N5"/>
    <mergeCell ref="P5:Q5"/>
    <mergeCell ref="I17:J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499984740745262"/>
  </sheetPr>
  <dimension ref="A1:CV149"/>
  <sheetViews>
    <sheetView showGridLines="0" workbookViewId="0">
      <selection activeCell="O40" sqref="O40"/>
    </sheetView>
  </sheetViews>
  <sheetFormatPr defaultColWidth="0" defaultRowHeight="14.4" zeroHeight="1"/>
  <cols>
    <col min="1" max="1" width="2.44140625" customWidth="1"/>
    <col min="2" max="2" width="1" customWidth="1"/>
    <col min="3" max="3" width="37.44140625" customWidth="1"/>
    <col min="4" max="4" width="10.44140625" customWidth="1"/>
    <col min="5" max="16" width="9.44140625" customWidth="1"/>
    <col min="17" max="17" width="3.44140625" customWidth="1"/>
    <col min="18" max="19" width="5.44140625" customWidth="1"/>
    <col min="20" max="20" width="4.44140625" customWidth="1"/>
    <col min="21" max="21" width="4.44140625" hidden="1" customWidth="1"/>
    <col min="22" max="22" width="8.6640625" hidden="1" customWidth="1"/>
    <col min="23" max="100" width="0" hidden="1" customWidth="1"/>
    <col min="101" max="16384" width="8.6640625" hidden="1"/>
  </cols>
  <sheetData>
    <row r="1" spans="1:100" s="26" customFormat="1" ht="13.2">
      <c r="A1" s="36"/>
      <c r="B1" s="36"/>
      <c r="C1" s="36" t="str">
        <f>'DCF - Assumptions (old)'!$F$8&amp;" | LBO Model - Summary"</f>
        <v>Bumble INC | LBO Model - Summary</v>
      </c>
      <c r="D1" s="1131"/>
      <c r="E1" s="1132"/>
      <c r="F1" s="1132"/>
      <c r="G1" s="1132"/>
      <c r="H1" s="1132"/>
      <c r="I1" s="541"/>
      <c r="J1" s="541"/>
      <c r="K1" s="1132"/>
      <c r="L1" s="1132"/>
      <c r="M1" s="499"/>
      <c r="N1" s="1132"/>
      <c r="O1" s="1132"/>
      <c r="P1" s="1132"/>
      <c r="Q1" s="1132"/>
      <c r="R1" s="541" t="str">
        <f>IF(R5=S5,"OK","Check")</f>
        <v>Check</v>
      </c>
      <c r="S1" s="541" t="str">
        <f ca="1">IF(R6=S6,"OK","Check")</f>
        <v>Check</v>
      </c>
      <c r="T1" s="499"/>
      <c r="U1" s="499"/>
      <c r="V1" s="499"/>
      <c r="W1" s="499"/>
      <c r="X1" s="499"/>
      <c r="Y1" s="499"/>
      <c r="Z1" s="499"/>
      <c r="AA1" s="499"/>
      <c r="AB1" s="499"/>
      <c r="AC1" s="499"/>
    </row>
    <row r="2" spans="1:100" s="3" customFormat="1" ht="2.25" customHeight="1">
      <c r="A2" s="496"/>
      <c r="B2" s="496"/>
      <c r="C2" s="475"/>
      <c r="D2" s="475"/>
      <c r="E2" s="475"/>
      <c r="F2" s="475"/>
      <c r="G2" s="475"/>
      <c r="H2" s="475"/>
      <c r="I2" s="539"/>
      <c r="J2" s="539"/>
      <c r="K2" s="475"/>
      <c r="L2" s="475"/>
      <c r="M2" s="475"/>
      <c r="N2" s="475"/>
      <c r="O2" s="475"/>
      <c r="P2" s="475"/>
      <c r="Q2" s="475"/>
      <c r="R2" s="477"/>
      <c r="S2" s="477"/>
      <c r="T2" s="477"/>
      <c r="U2" s="477"/>
      <c r="V2" s="477"/>
      <c r="W2" s="477"/>
      <c r="X2" s="477"/>
      <c r="Y2" s="477"/>
      <c r="Z2" s="477"/>
      <c r="AA2" s="477"/>
      <c r="AB2" s="477"/>
      <c r="AC2" s="477"/>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s="28" customFormat="1" ht="3" customHeight="1">
      <c r="A3" s="497"/>
      <c r="B3" s="497"/>
      <c r="C3" s="498"/>
      <c r="D3" s="498"/>
      <c r="E3" s="498"/>
      <c r="F3" s="498"/>
      <c r="G3" s="498"/>
      <c r="H3" s="498"/>
      <c r="I3" s="499"/>
      <c r="J3" s="499"/>
      <c r="K3" s="498"/>
      <c r="L3" s="498"/>
      <c r="M3" s="498"/>
      <c r="N3" s="498"/>
      <c r="O3" s="498"/>
      <c r="P3" s="498"/>
      <c r="Q3" s="498"/>
      <c r="R3" s="499"/>
      <c r="S3" s="499"/>
      <c r="T3" s="499"/>
      <c r="U3" s="499"/>
      <c r="V3" s="499"/>
      <c r="W3" s="499"/>
      <c r="X3" s="499"/>
      <c r="Y3" s="499"/>
      <c r="Z3" s="499"/>
      <c r="AA3" s="499"/>
      <c r="AB3" s="499"/>
      <c r="AC3" s="499"/>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row>
    <row r="4" spans="1:100" s="162" customFormat="1" ht="11.25" customHeight="1">
      <c r="A4" s="540"/>
      <c r="B4" s="540"/>
      <c r="C4" s="540"/>
      <c r="D4" s="540"/>
      <c r="E4" s="540"/>
      <c r="F4" s="540"/>
      <c r="G4" s="540"/>
      <c r="H4" s="540"/>
      <c r="I4" s="475"/>
      <c r="J4" s="475"/>
      <c r="K4" s="540"/>
      <c r="L4" s="540"/>
      <c r="M4" s="540"/>
      <c r="N4" s="540"/>
      <c r="O4" s="540"/>
      <c r="P4" s="540"/>
      <c r="Q4" s="540"/>
      <c r="R4" s="540"/>
      <c r="S4" s="540"/>
      <c r="T4" s="540"/>
      <c r="U4" s="540"/>
      <c r="V4" s="540"/>
      <c r="W4" s="540"/>
      <c r="X4" s="540"/>
      <c r="Y4" s="540"/>
      <c r="Z4" s="540"/>
      <c r="AA4" s="540"/>
      <c r="AB4" s="540"/>
      <c r="AC4" s="540"/>
    </row>
    <row r="5" spans="1:100">
      <c r="A5" s="512"/>
      <c r="B5" s="512"/>
      <c r="C5" s="807" t="s">
        <v>1663</v>
      </c>
      <c r="D5" s="808"/>
      <c r="E5" s="808"/>
      <c r="F5" s="808"/>
      <c r="G5" s="808"/>
      <c r="H5" s="808"/>
      <c r="I5" s="808"/>
      <c r="J5" s="808"/>
      <c r="K5" s="808"/>
      <c r="L5" s="808"/>
      <c r="M5" s="808"/>
      <c r="N5" s="808"/>
      <c r="O5" s="808"/>
      <c r="P5" s="808"/>
      <c r="Q5" s="475"/>
      <c r="R5" s="501">
        <f>ROWS(C5:C120)</f>
        <v>116</v>
      </c>
      <c r="S5" s="502">
        <v>117</v>
      </c>
      <c r="T5" s="507"/>
      <c r="U5" s="507"/>
      <c r="V5" s="503"/>
      <c r="W5" s="503"/>
      <c r="X5" s="503"/>
      <c r="Y5" s="503"/>
      <c r="Z5" s="503"/>
      <c r="AA5" s="503"/>
      <c r="AB5" s="503"/>
      <c r="AC5" s="503"/>
    </row>
    <row r="6" spans="1:100" ht="15" thickBot="1">
      <c r="A6" s="512"/>
      <c r="B6" s="512"/>
      <c r="C6" s="504" t="s">
        <v>1664</v>
      </c>
      <c r="D6" s="504"/>
      <c r="E6" s="504"/>
      <c r="F6" s="504"/>
      <c r="G6" s="491"/>
      <c r="H6" s="504" t="s">
        <v>1665</v>
      </c>
      <c r="I6" s="504"/>
      <c r="J6" s="504"/>
      <c r="K6" s="504"/>
      <c r="L6" s="504"/>
      <c r="M6" s="504"/>
      <c r="N6" s="504"/>
      <c r="O6" s="504"/>
      <c r="P6" s="504"/>
      <c r="Q6" s="495"/>
      <c r="R6" s="501">
        <f ca="1">SUM(R7:R120)</f>
        <v>95</v>
      </c>
      <c r="S6" s="502">
        <v>96</v>
      </c>
      <c r="T6" s="507"/>
      <c r="U6" s="507"/>
      <c r="V6" s="503"/>
      <c r="W6" s="503"/>
      <c r="X6" s="503"/>
      <c r="Y6" s="503"/>
      <c r="Z6" s="503"/>
      <c r="AA6" s="503"/>
      <c r="AB6" s="503"/>
      <c r="AC6" s="503"/>
    </row>
    <row r="7" spans="1:100">
      <c r="A7" s="512"/>
      <c r="B7" s="512"/>
      <c r="C7" s="507" t="str">
        <f>'DCF - Assumptions (old)'!F8</f>
        <v>Bumble INC</v>
      </c>
      <c r="D7" s="483"/>
      <c r="E7" s="483">
        <f>'LBO - Assumptions'!F62</f>
        <v>0</v>
      </c>
      <c r="F7" s="692">
        <f ca="1">E7/$E$14</f>
        <v>0</v>
      </c>
      <c r="G7" s="507"/>
      <c r="H7" s="507" t="s">
        <v>1666</v>
      </c>
      <c r="I7" s="507"/>
      <c r="J7" s="507"/>
      <c r="K7" s="507"/>
      <c r="L7" s="507"/>
      <c r="M7" s="507"/>
      <c r="N7" s="507"/>
      <c r="O7" s="483">
        <f ca="1">'LBO - Assumptions'!F49</f>
        <v>0</v>
      </c>
      <c r="P7" s="693">
        <f ca="1">O7/$O$14</f>
        <v>0</v>
      </c>
      <c r="Q7" s="500"/>
      <c r="R7" s="501">
        <f t="shared" ref="R7:R71" si="0">IF(NOT(ISBLANK(C7)), 1, 0)</f>
        <v>1</v>
      </c>
      <c r="S7" s="502">
        <v>1</v>
      </c>
      <c r="T7" s="507"/>
      <c r="U7" s="507"/>
      <c r="V7" s="503"/>
      <c r="W7" s="503"/>
      <c r="X7" s="503"/>
      <c r="Y7" s="503"/>
      <c r="Z7" s="503"/>
      <c r="AA7" s="503"/>
      <c r="AB7" s="503"/>
      <c r="AC7" s="503"/>
    </row>
    <row r="8" spans="1:100">
      <c r="A8" s="512"/>
      <c r="B8" s="512"/>
      <c r="C8" s="526" t="str">
        <f ca="1">"Parent Equity Premium "&amp;TEXT('LBO - Assumptions'!G93,"(#0%)")</f>
        <v>Parent Equity Premium (0%)</v>
      </c>
      <c r="D8" s="524"/>
      <c r="E8" s="524">
        <f ca="1">'LBO - Assumptions'!F63</f>
        <v>0</v>
      </c>
      <c r="F8" s="525">
        <f ca="1">E8/$E$14</f>
        <v>0</v>
      </c>
      <c r="G8" s="507"/>
      <c r="H8" s="507" t="s">
        <v>1667</v>
      </c>
      <c r="I8" s="507"/>
      <c r="J8" s="507"/>
      <c r="K8" s="507"/>
      <c r="L8" s="507"/>
      <c r="M8" s="507"/>
      <c r="N8" s="507"/>
      <c r="O8" s="483">
        <f ca="1">'LBO - Assumptions'!F50</f>
        <v>0</v>
      </c>
      <c r="P8" s="693">
        <f ca="1">O8/O14</f>
        <v>0</v>
      </c>
      <c r="Q8" s="500"/>
      <c r="R8" s="501">
        <f t="shared" ca="1" si="0"/>
        <v>1</v>
      </c>
      <c r="S8" s="502">
        <v>1</v>
      </c>
      <c r="T8" s="507"/>
      <c r="U8" s="507"/>
      <c r="V8" s="503"/>
      <c r="W8" s="503"/>
      <c r="X8" s="503"/>
      <c r="Y8" s="503"/>
      <c r="Z8" s="503"/>
      <c r="AA8" s="503"/>
      <c r="AB8" s="503"/>
      <c r="AC8" s="503"/>
    </row>
    <row r="9" spans="1:100">
      <c r="A9" s="512"/>
      <c r="B9" s="512"/>
      <c r="C9" s="694" t="s">
        <v>1498</v>
      </c>
      <c r="D9" s="507"/>
      <c r="E9" s="483">
        <f ca="1">SUM(E7:E8)</f>
        <v>0</v>
      </c>
      <c r="F9" s="693">
        <f ca="1">E9/E14</f>
        <v>0</v>
      </c>
      <c r="G9" s="507"/>
      <c r="H9" s="507" t="s">
        <v>1668</v>
      </c>
      <c r="I9" s="507"/>
      <c r="J9" s="507"/>
      <c r="K9" s="507"/>
      <c r="L9" s="507"/>
      <c r="M9" s="507"/>
      <c r="N9" s="507"/>
      <c r="O9" s="483">
        <f ca="1">'LBO - Assumptions'!F51</f>
        <v>0</v>
      </c>
      <c r="P9" s="693">
        <f ca="1">O9/$O$14</f>
        <v>0</v>
      </c>
      <c r="Q9" s="500"/>
      <c r="R9" s="501">
        <f t="shared" si="0"/>
        <v>1</v>
      </c>
      <c r="S9" s="502">
        <v>1</v>
      </c>
      <c r="T9" s="507"/>
      <c r="U9" s="507"/>
      <c r="V9" s="503"/>
      <c r="W9" s="503"/>
      <c r="X9" s="503"/>
      <c r="Y9" s="503"/>
      <c r="Z9" s="503"/>
      <c r="AA9" s="503"/>
      <c r="AB9" s="503"/>
      <c r="AC9" s="503"/>
    </row>
    <row r="10" spans="1:100">
      <c r="A10" s="512"/>
      <c r="B10" s="512"/>
      <c r="C10" s="483" t="str">
        <f>'LBO - Assumptions'!C66</f>
        <v>Debt Retired / Assumed</v>
      </c>
      <c r="D10" s="483"/>
      <c r="E10" s="483">
        <f>'LBO - Assumptions'!F66</f>
        <v>620.92600000000004</v>
      </c>
      <c r="F10" s="692">
        <f ca="1">E10/$E$14</f>
        <v>1</v>
      </c>
      <c r="G10" s="507"/>
      <c r="H10" s="526" t="s">
        <v>1669</v>
      </c>
      <c r="I10" s="526"/>
      <c r="J10" s="526"/>
      <c r="K10" s="526"/>
      <c r="L10" s="526"/>
      <c r="M10" s="526"/>
      <c r="N10" s="526"/>
      <c r="O10" s="524">
        <f ca="1">'LBO - Assumptions'!F52</f>
        <v>0</v>
      </c>
      <c r="P10" s="695">
        <f ca="1">O10/$O$14</f>
        <v>0</v>
      </c>
      <c r="Q10" s="500"/>
      <c r="R10" s="501">
        <f t="shared" si="0"/>
        <v>1</v>
      </c>
      <c r="S10" s="502">
        <v>1</v>
      </c>
      <c r="T10" s="507"/>
      <c r="U10" s="507"/>
      <c r="V10" s="503"/>
      <c r="W10" s="503"/>
      <c r="X10" s="503"/>
      <c r="Y10" s="503"/>
      <c r="Z10" s="503"/>
      <c r="AA10" s="503"/>
      <c r="AB10" s="503"/>
      <c r="AC10" s="503"/>
    </row>
    <row r="11" spans="1:100">
      <c r="A11" s="512"/>
      <c r="B11" s="512"/>
      <c r="C11" s="507" t="s">
        <v>1670</v>
      </c>
      <c r="D11" s="483"/>
      <c r="E11" s="483">
        <f ca="1">'LBO - Assumptions'!F67</f>
        <v>0</v>
      </c>
      <c r="F11" s="692">
        <f ca="1">E11/$E$14</f>
        <v>0</v>
      </c>
      <c r="G11" s="507"/>
      <c r="H11" s="694" t="s">
        <v>1671</v>
      </c>
      <c r="I11" s="507"/>
      <c r="J11" s="507"/>
      <c r="K11" s="507"/>
      <c r="L11" s="507"/>
      <c r="M11" s="507"/>
      <c r="N11" s="507"/>
      <c r="O11" s="696">
        <f ca="1">SUM(O7:O10)</f>
        <v>0</v>
      </c>
      <c r="P11" s="697">
        <f ca="1">O11/$O$14</f>
        <v>0</v>
      </c>
      <c r="Q11" s="507"/>
      <c r="R11" s="501">
        <f t="shared" si="0"/>
        <v>1</v>
      </c>
      <c r="S11" s="502">
        <v>1</v>
      </c>
      <c r="T11" s="507"/>
      <c r="U11" s="507"/>
      <c r="V11" s="503"/>
      <c r="W11" s="503"/>
      <c r="X11" s="503"/>
      <c r="Y11" s="503"/>
      <c r="Z11" s="503"/>
      <c r="AA11" s="503"/>
      <c r="AB11" s="503"/>
      <c r="AC11" s="503"/>
    </row>
    <row r="12" spans="1:100">
      <c r="A12" s="512"/>
      <c r="B12" s="512"/>
      <c r="C12" s="507"/>
      <c r="D12" s="483"/>
      <c r="E12" s="483"/>
      <c r="F12" s="698"/>
      <c r="G12" s="507"/>
      <c r="H12" s="507" t="s">
        <v>1672</v>
      </c>
      <c r="I12" s="507"/>
      <c r="J12" s="507"/>
      <c r="K12" s="507"/>
      <c r="L12" s="507"/>
      <c r="M12" s="507"/>
      <c r="N12" s="507"/>
      <c r="O12" s="483">
        <f ca="1">'LBO - Assumptions'!F55</f>
        <v>265.28400000000005</v>
      </c>
      <c r="P12" s="699">
        <f ca="1">O12/$O$14</f>
        <v>0.42723931676238397</v>
      </c>
      <c r="Q12" s="500"/>
      <c r="R12" s="501">
        <f t="shared" si="0"/>
        <v>0</v>
      </c>
      <c r="S12" s="502">
        <v>0</v>
      </c>
      <c r="T12" s="507"/>
      <c r="U12" s="507"/>
      <c r="V12" s="503"/>
      <c r="W12" s="503"/>
      <c r="X12" s="503"/>
      <c r="Y12" s="503"/>
      <c r="Z12" s="503"/>
      <c r="AA12" s="503"/>
      <c r="AB12" s="503"/>
      <c r="AC12" s="503"/>
    </row>
    <row r="13" spans="1:100">
      <c r="A13" s="512"/>
      <c r="B13" s="512"/>
      <c r="C13" s="507"/>
      <c r="D13" s="483"/>
      <c r="E13" s="483"/>
      <c r="F13" s="698"/>
      <c r="G13" s="507"/>
      <c r="H13" s="507" t="s">
        <v>1673</v>
      </c>
      <c r="I13" s="507"/>
      <c r="J13" s="507"/>
      <c r="K13" s="507"/>
      <c r="L13" s="507"/>
      <c r="M13" s="507"/>
      <c r="N13" s="507"/>
      <c r="O13" s="483">
        <f ca="1">'LBO - Assumptions'!F58</f>
        <v>355.642</v>
      </c>
      <c r="P13" s="699">
        <f ca="1">O13/$O$14</f>
        <v>0.57276068323761598</v>
      </c>
      <c r="Q13" s="500"/>
      <c r="R13" s="501">
        <f t="shared" si="0"/>
        <v>0</v>
      </c>
      <c r="S13" s="502">
        <v>0</v>
      </c>
      <c r="T13" s="507"/>
      <c r="U13" s="507"/>
      <c r="V13" s="503"/>
      <c r="W13" s="503"/>
      <c r="X13" s="503"/>
      <c r="Y13" s="503"/>
      <c r="Z13" s="503"/>
      <c r="AA13" s="503"/>
      <c r="AB13" s="503"/>
      <c r="AC13" s="503"/>
    </row>
    <row r="14" spans="1:100">
      <c r="A14" s="512"/>
      <c r="B14" s="512"/>
      <c r="C14" s="484" t="s">
        <v>1674</v>
      </c>
      <c r="D14" s="476"/>
      <c r="E14" s="476">
        <f ca="1">SUM(E9:E13)</f>
        <v>620.92600000000004</v>
      </c>
      <c r="F14" s="527">
        <f ca="1">SUM(F9:F13)</f>
        <v>1</v>
      </c>
      <c r="G14" s="507"/>
      <c r="H14" s="484" t="s">
        <v>1675</v>
      </c>
      <c r="I14" s="484"/>
      <c r="J14" s="484"/>
      <c r="K14" s="484"/>
      <c r="L14" s="484"/>
      <c r="M14" s="484"/>
      <c r="N14" s="484"/>
      <c r="O14" s="476">
        <f ca="1">SUM(O11:O13)</f>
        <v>620.92600000000004</v>
      </c>
      <c r="P14" s="527">
        <f ca="1">SUM(P11:P13)</f>
        <v>1</v>
      </c>
      <c r="Q14" s="500"/>
      <c r="R14" s="501">
        <f t="shared" si="0"/>
        <v>1</v>
      </c>
      <c r="S14" s="502">
        <v>1</v>
      </c>
      <c r="T14" s="507"/>
      <c r="U14" s="507"/>
      <c r="V14" s="503"/>
      <c r="W14" s="503"/>
      <c r="X14" s="503"/>
      <c r="Y14" s="503"/>
      <c r="Z14" s="503"/>
      <c r="AA14" s="503"/>
      <c r="AB14" s="503"/>
      <c r="AC14" s="503"/>
    </row>
    <row r="15" spans="1:100">
      <c r="A15" s="512"/>
      <c r="B15" s="512"/>
      <c r="C15" s="507"/>
      <c r="D15" s="507"/>
      <c r="E15" s="507"/>
      <c r="F15" s="507"/>
      <c r="G15" s="507"/>
      <c r="H15" s="507"/>
      <c r="I15" s="507"/>
      <c r="J15" s="507"/>
      <c r="K15" s="1133" t="s">
        <v>1676</v>
      </c>
      <c r="L15" s="1133"/>
      <c r="M15" s="1133"/>
      <c r="N15" s="1133"/>
      <c r="O15" s="1133"/>
      <c r="P15" s="1133"/>
      <c r="Q15" s="528"/>
      <c r="R15" s="501">
        <f t="shared" si="0"/>
        <v>0</v>
      </c>
      <c r="S15" s="502">
        <v>0</v>
      </c>
      <c r="T15" s="507"/>
      <c r="U15" s="507"/>
      <c r="V15" s="503"/>
      <c r="W15" s="503"/>
      <c r="X15" s="503"/>
      <c r="Y15" s="503"/>
      <c r="Z15" s="503"/>
      <c r="AA15" s="503"/>
      <c r="AB15" s="503"/>
      <c r="AC15" s="503"/>
    </row>
    <row r="16" spans="1:100" ht="15" thickBot="1">
      <c r="A16" s="477"/>
      <c r="B16" s="477"/>
      <c r="C16" s="504" t="s">
        <v>1677</v>
      </c>
      <c r="D16" s="504"/>
      <c r="E16" s="504"/>
      <c r="F16" s="504"/>
      <c r="G16" s="504"/>
      <c r="H16" s="504"/>
      <c r="I16" s="505"/>
      <c r="J16" s="504">
        <f t="shared" ref="J16:P16" si="1">J32</f>
        <v>2023</v>
      </c>
      <c r="K16" s="505">
        <f t="shared" si="1"/>
        <v>2024</v>
      </c>
      <c r="L16" s="505">
        <f t="shared" si="1"/>
        <v>2025</v>
      </c>
      <c r="M16" s="505">
        <f t="shared" si="1"/>
        <v>2026</v>
      </c>
      <c r="N16" s="505">
        <f t="shared" si="1"/>
        <v>2027</v>
      </c>
      <c r="O16" s="505">
        <f t="shared" si="1"/>
        <v>2028</v>
      </c>
      <c r="P16" s="505">
        <f t="shared" si="1"/>
        <v>2029</v>
      </c>
      <c r="Q16" s="500"/>
      <c r="R16" s="501">
        <f t="shared" si="0"/>
        <v>1</v>
      </c>
      <c r="S16" s="502">
        <v>1</v>
      </c>
      <c r="T16" s="503"/>
      <c r="U16" s="503"/>
      <c r="V16" s="503"/>
      <c r="W16" s="503"/>
      <c r="X16" s="503"/>
      <c r="Y16" s="503"/>
      <c r="Z16" s="503"/>
      <c r="AA16" s="503"/>
      <c r="AB16" s="503"/>
      <c r="AC16" s="503"/>
    </row>
    <row r="17" spans="1:29">
      <c r="A17" s="477"/>
      <c r="B17" s="477"/>
      <c r="C17" s="475" t="str">
        <f>C52</f>
        <v>Proforma Revenue Forecast</v>
      </c>
      <c r="D17" s="700" t="s">
        <v>1678</v>
      </c>
      <c r="E17" s="701"/>
      <c r="F17" s="529">
        <f ca="1">IFERROR('LBO - Financials'!F72,0)</f>
        <v>0</v>
      </c>
      <c r="G17" s="491"/>
      <c r="H17" s="491"/>
      <c r="I17" s="702"/>
      <c r="J17" s="483"/>
      <c r="K17" s="483">
        <f t="shared" ref="K17:P17" ca="1" si="2">K52</f>
        <v>1278.226743738649</v>
      </c>
      <c r="L17" s="483">
        <f t="shared" ca="1" si="2"/>
        <v>1562.1187544339082</v>
      </c>
      <c r="M17" s="483">
        <f t="shared" ca="1" si="2"/>
        <v>1917.7398223858147</v>
      </c>
      <c r="N17" s="483">
        <f t="shared" ca="1" si="2"/>
        <v>2383.9369385812006</v>
      </c>
      <c r="O17" s="483">
        <f t="shared" ca="1" si="2"/>
        <v>2980.545632368242</v>
      </c>
      <c r="P17" s="483">
        <f t="shared" ca="1" si="2"/>
        <v>3750.6959718718617</v>
      </c>
      <c r="Q17" s="500"/>
      <c r="R17" s="501">
        <f t="shared" si="0"/>
        <v>1</v>
      </c>
      <c r="S17" s="502">
        <v>1</v>
      </c>
      <c r="T17" s="503"/>
      <c r="U17" s="503"/>
      <c r="V17" s="503"/>
      <c r="W17" s="503"/>
      <c r="X17" s="503"/>
      <c r="Y17" s="503"/>
      <c r="Z17" s="503"/>
      <c r="AA17" s="503"/>
      <c r="AB17" s="503"/>
      <c r="AC17" s="503"/>
    </row>
    <row r="18" spans="1:29">
      <c r="A18" s="477"/>
      <c r="B18" s="477"/>
      <c r="C18" s="475" t="str">
        <f>C55</f>
        <v>Revenue &amp; Margin Synergies EBITDA Contribution</v>
      </c>
      <c r="D18" s="475" t="s">
        <v>1679</v>
      </c>
      <c r="E18" s="491"/>
      <c r="F18" s="529">
        <f ca="1">'LBO - Financials'!F82</f>
        <v>0</v>
      </c>
      <c r="G18" s="491"/>
      <c r="H18" s="491"/>
      <c r="I18" s="702"/>
      <c r="J18" s="483"/>
      <c r="K18" s="483">
        <f t="shared" ref="K18:P19" ca="1" si="3">K55</f>
        <v>0</v>
      </c>
      <c r="L18" s="483">
        <f t="shared" ca="1" si="3"/>
        <v>0</v>
      </c>
      <c r="M18" s="483">
        <f t="shared" ca="1" si="3"/>
        <v>0</v>
      </c>
      <c r="N18" s="483">
        <f t="shared" ca="1" si="3"/>
        <v>0</v>
      </c>
      <c r="O18" s="483">
        <f t="shared" ca="1" si="3"/>
        <v>0</v>
      </c>
      <c r="P18" s="483">
        <f t="shared" ca="1" si="3"/>
        <v>0</v>
      </c>
      <c r="Q18" s="500"/>
      <c r="R18" s="501">
        <f t="shared" si="0"/>
        <v>1</v>
      </c>
      <c r="S18" s="502">
        <v>1</v>
      </c>
      <c r="T18" s="503"/>
      <c r="U18" s="503"/>
      <c r="V18" s="503"/>
      <c r="W18" s="503"/>
      <c r="X18" s="503"/>
      <c r="Y18" s="503"/>
      <c r="Z18" s="503"/>
      <c r="AA18" s="503"/>
      <c r="AB18" s="503"/>
      <c r="AC18" s="503"/>
    </row>
    <row r="19" spans="1:29">
      <c r="A19" s="477"/>
      <c r="B19" s="477"/>
      <c r="C19" s="475" t="str">
        <f>C56</f>
        <v>Proforma EBITDA Forecast</v>
      </c>
      <c r="D19" s="700" t="s">
        <v>1680</v>
      </c>
      <c r="E19" s="701"/>
      <c r="F19" s="529">
        <f ca="1">IFERROR(SUM(K19:P19)/SUM(K17:P17),0)</f>
        <v>6.692859872095816E-2</v>
      </c>
      <c r="G19" s="491"/>
      <c r="H19" s="491"/>
      <c r="I19" s="702"/>
      <c r="J19" s="483"/>
      <c r="K19" s="483">
        <f t="shared" ca="1" si="3"/>
        <v>104.35564190156782</v>
      </c>
      <c r="L19" s="483">
        <f t="shared" ca="1" si="3"/>
        <v>62.177476730226687</v>
      </c>
      <c r="M19" s="483">
        <f t="shared" ca="1" si="3"/>
        <v>96.95328784773379</v>
      </c>
      <c r="N19" s="483">
        <f t="shared" ca="1" si="3"/>
        <v>164.34007790514497</v>
      </c>
      <c r="O19" s="483">
        <f t="shared" ca="1" si="3"/>
        <v>244.68758901803909</v>
      </c>
      <c r="P19" s="483">
        <f t="shared" ca="1" si="3"/>
        <v>256.00403665939569</v>
      </c>
      <c r="Q19" s="500"/>
      <c r="R19" s="501">
        <f t="shared" si="0"/>
        <v>1</v>
      </c>
      <c r="S19" s="502">
        <v>1</v>
      </c>
      <c r="T19" s="503"/>
      <c r="U19" s="503"/>
      <c r="V19" s="503"/>
      <c r="W19" s="503"/>
      <c r="X19" s="503"/>
      <c r="Y19" s="503"/>
      <c r="Z19" s="503"/>
      <c r="AA19" s="503"/>
      <c r="AB19" s="503"/>
      <c r="AC19" s="503"/>
    </row>
    <row r="20" spans="1:29">
      <c r="A20" s="477"/>
      <c r="B20" s="477"/>
      <c r="C20" s="494" t="str">
        <f>C62</f>
        <v>Cashflow for Debt Service (post Taxes, Capex, &amp; WC)</v>
      </c>
      <c r="D20" s="530"/>
      <c r="E20" s="531"/>
      <c r="F20" s="532"/>
      <c r="G20" s="533"/>
      <c r="H20" s="533"/>
      <c r="I20" s="534"/>
      <c r="J20" s="535"/>
      <c r="K20" s="535">
        <f t="shared" ref="K20:P20" ca="1" si="4">K62</f>
        <v>74.491801058596124</v>
      </c>
      <c r="L20" s="535">
        <f t="shared" ca="1" si="4"/>
        <v>114.98863865893051</v>
      </c>
      <c r="M20" s="535">
        <f t="shared" ca="1" si="4"/>
        <v>100.91788690956157</v>
      </c>
      <c r="N20" s="535">
        <f t="shared" ca="1" si="4"/>
        <v>209.61819317439068</v>
      </c>
      <c r="O20" s="535">
        <f t="shared" ca="1" si="4"/>
        <v>267.49652016277685</v>
      </c>
      <c r="P20" s="535">
        <f t="shared" ca="1" si="4"/>
        <v>328.52433087288244</v>
      </c>
      <c r="Q20" s="500"/>
      <c r="R20" s="501">
        <f t="shared" si="0"/>
        <v>1</v>
      </c>
      <c r="S20" s="502">
        <v>1</v>
      </c>
      <c r="T20" s="503"/>
      <c r="U20" s="503"/>
      <c r="V20" s="503"/>
      <c r="W20" s="503"/>
      <c r="X20" s="503"/>
      <c r="Y20" s="503"/>
      <c r="Z20" s="503"/>
      <c r="AA20" s="503"/>
      <c r="AB20" s="503"/>
      <c r="AC20" s="503"/>
    </row>
    <row r="21" spans="1:29">
      <c r="A21" s="477"/>
      <c r="B21" s="477"/>
      <c r="C21" s="475" t="str">
        <f>C66</f>
        <v>Mandatory Debt Service (Interest Expense)</v>
      </c>
      <c r="D21" s="491"/>
      <c r="E21" s="491"/>
      <c r="F21" s="491"/>
      <c r="G21" s="491"/>
      <c r="H21" s="491"/>
      <c r="I21" s="702"/>
      <c r="J21" s="483"/>
      <c r="K21" s="483">
        <f t="shared" ref="K21:P21" ca="1" si="5">K66</f>
        <v>0</v>
      </c>
      <c r="L21" s="483">
        <f t="shared" ca="1" si="5"/>
        <v>0</v>
      </c>
      <c r="M21" s="483">
        <f t="shared" ca="1" si="5"/>
        <v>0</v>
      </c>
      <c r="N21" s="483">
        <f t="shared" ca="1" si="5"/>
        <v>0</v>
      </c>
      <c r="O21" s="483">
        <f t="shared" ca="1" si="5"/>
        <v>0</v>
      </c>
      <c r="P21" s="483">
        <f t="shared" ca="1" si="5"/>
        <v>0</v>
      </c>
      <c r="Q21" s="500"/>
      <c r="R21" s="501">
        <f t="shared" si="0"/>
        <v>1</v>
      </c>
      <c r="S21" s="502">
        <v>1</v>
      </c>
      <c r="T21" s="503"/>
      <c r="U21" s="503"/>
      <c r="V21" s="503"/>
      <c r="W21" s="503"/>
      <c r="X21" s="503"/>
      <c r="Y21" s="503"/>
      <c r="Z21" s="503"/>
      <c r="AA21" s="503"/>
      <c r="AB21" s="503"/>
      <c r="AC21" s="503"/>
    </row>
    <row r="22" spans="1:29">
      <c r="A22" s="477"/>
      <c r="B22" s="477"/>
      <c r="C22" s="475" t="str">
        <f>C74</f>
        <v>Repayment of LBO Debt</v>
      </c>
      <c r="D22" s="491"/>
      <c r="E22" s="491"/>
      <c r="F22" s="491"/>
      <c r="G22" s="491"/>
      <c r="H22" s="491"/>
      <c r="I22" s="702"/>
      <c r="J22" s="483"/>
      <c r="K22" s="483">
        <f t="shared" ref="K22:P22" ca="1" si="6">K74</f>
        <v>0</v>
      </c>
      <c r="L22" s="483">
        <f t="shared" ca="1" si="6"/>
        <v>0</v>
      </c>
      <c r="M22" s="483">
        <f t="shared" ca="1" si="6"/>
        <v>0</v>
      </c>
      <c r="N22" s="483">
        <f t="shared" ca="1" si="6"/>
        <v>0</v>
      </c>
      <c r="O22" s="483">
        <f t="shared" ca="1" si="6"/>
        <v>0</v>
      </c>
      <c r="P22" s="483">
        <f t="shared" ca="1" si="6"/>
        <v>0</v>
      </c>
      <c r="Q22" s="500"/>
      <c r="R22" s="501">
        <f t="shared" si="0"/>
        <v>1</v>
      </c>
      <c r="S22" s="502">
        <v>1</v>
      </c>
      <c r="T22" s="503"/>
      <c r="U22" s="503"/>
      <c r="V22" s="503"/>
      <c r="W22" s="503"/>
      <c r="X22" s="503"/>
      <c r="Y22" s="503"/>
      <c r="Z22" s="503"/>
      <c r="AA22" s="503"/>
      <c r="AB22" s="503"/>
      <c r="AC22" s="503"/>
    </row>
    <row r="23" spans="1:29">
      <c r="A23" s="477"/>
      <c r="B23" s="477"/>
      <c r="C23" s="494" t="s">
        <v>1681</v>
      </c>
      <c r="D23" s="533"/>
      <c r="E23" s="533"/>
      <c r="F23" s="533"/>
      <c r="G23" s="533"/>
      <c r="H23" s="533"/>
      <c r="I23" s="534"/>
      <c r="J23" s="535">
        <f t="shared" ref="J23:P23" si="7">SUM(J20:J22)</f>
        <v>0</v>
      </c>
      <c r="K23" s="535">
        <f t="shared" ca="1" si="7"/>
        <v>74.491801058596124</v>
      </c>
      <c r="L23" s="535">
        <f t="shared" ca="1" si="7"/>
        <v>114.98863865893051</v>
      </c>
      <c r="M23" s="535">
        <f t="shared" ca="1" si="7"/>
        <v>100.91788690956157</v>
      </c>
      <c r="N23" s="535">
        <f t="shared" ca="1" si="7"/>
        <v>209.61819317439068</v>
      </c>
      <c r="O23" s="535">
        <f t="shared" ca="1" si="7"/>
        <v>267.49652016277685</v>
      </c>
      <c r="P23" s="535">
        <f t="shared" ca="1" si="7"/>
        <v>328.52433087288244</v>
      </c>
      <c r="Q23" s="500"/>
      <c r="R23" s="501">
        <f t="shared" si="0"/>
        <v>1</v>
      </c>
      <c r="S23" s="502">
        <v>1</v>
      </c>
      <c r="T23" s="503"/>
      <c r="U23" s="503"/>
      <c r="V23" s="503"/>
      <c r="W23" s="503"/>
      <c r="X23" s="503"/>
      <c r="Y23" s="503"/>
      <c r="Z23" s="503"/>
      <c r="AA23" s="503"/>
      <c r="AB23" s="503"/>
      <c r="AC23" s="503"/>
    </row>
    <row r="24" spans="1:29">
      <c r="A24" s="512"/>
      <c r="B24" s="512"/>
      <c r="C24" s="507" t="s">
        <v>1682</v>
      </c>
      <c r="D24" s="520"/>
      <c r="E24" s="520"/>
      <c r="F24" s="520"/>
      <c r="G24" s="520"/>
      <c r="H24" s="507"/>
      <c r="I24" s="483"/>
      <c r="J24" s="483">
        <f ca="1">'LBO - Financials'!G32</f>
        <v>-265.28400000000005</v>
      </c>
      <c r="K24" s="483">
        <f>'LBO - Financials'!H32</f>
        <v>0</v>
      </c>
      <c r="L24" s="483">
        <f>'LBO - Financials'!I32</f>
        <v>0</v>
      </c>
      <c r="M24" s="483">
        <f>'LBO - Financials'!J32</f>
        <v>0</v>
      </c>
      <c r="N24" s="483">
        <f>'LBO - Financials'!K32</f>
        <v>0</v>
      </c>
      <c r="O24" s="483">
        <f>'LBO - Financials'!L32</f>
        <v>0</v>
      </c>
      <c r="P24" s="483">
        <f>'LBO - Financials'!M32</f>
        <v>0</v>
      </c>
      <c r="Q24" s="500"/>
      <c r="R24" s="501">
        <f t="shared" si="0"/>
        <v>1</v>
      </c>
      <c r="S24" s="502">
        <v>1</v>
      </c>
      <c r="T24" s="503"/>
      <c r="U24" s="503"/>
      <c r="V24" s="503"/>
      <c r="W24" s="503"/>
      <c r="X24" s="503"/>
      <c r="Y24" s="503"/>
      <c r="Z24" s="503"/>
      <c r="AA24" s="503"/>
      <c r="AB24" s="503"/>
      <c r="AC24" s="503"/>
    </row>
    <row r="25" spans="1:29">
      <c r="A25" s="512"/>
      <c r="B25" s="512"/>
      <c r="C25" s="507" t="str">
        <f ca="1">"Sales Proceeds (based on "&amp;TEXT('LBO - Assumptions'!E34,"#0.0x")&amp;" LTM EBITDA multiple)"</f>
        <v>Sales Proceeds (based on 0.0x LTM EBITDA multiple)</v>
      </c>
      <c r="D25" s="520"/>
      <c r="E25" s="520"/>
      <c r="F25" s="520"/>
      <c r="G25" s="520"/>
      <c r="H25" s="507"/>
      <c r="I25" s="483"/>
      <c r="J25" s="483">
        <f>'LBO - Financials'!G34</f>
        <v>0</v>
      </c>
      <c r="K25" s="483">
        <f ca="1">'LBO - Financials'!H34</f>
        <v>0</v>
      </c>
      <c r="L25" s="483">
        <f ca="1">'LBO - Financials'!I34</f>
        <v>0</v>
      </c>
      <c r="M25" s="483">
        <f ca="1">'LBO - Financials'!J34</f>
        <v>0</v>
      </c>
      <c r="N25" s="483">
        <f ca="1">'LBO - Financials'!K34</f>
        <v>0</v>
      </c>
      <c r="O25" s="483">
        <f ca="1">'LBO - Financials'!L34</f>
        <v>0</v>
      </c>
      <c r="P25" s="483">
        <f ca="1">'LBO - Financials'!M34</f>
        <v>0</v>
      </c>
      <c r="Q25" s="500"/>
      <c r="R25" s="501">
        <f t="shared" ca="1" si="0"/>
        <v>1</v>
      </c>
      <c r="S25" s="502">
        <v>1</v>
      </c>
      <c r="T25" s="503"/>
      <c r="U25" s="503"/>
      <c r="V25" s="503"/>
      <c r="W25" s="503"/>
      <c r="X25" s="503"/>
      <c r="Y25" s="503"/>
      <c r="Z25" s="503"/>
      <c r="AA25" s="503"/>
      <c r="AB25" s="503"/>
      <c r="AC25" s="503"/>
    </row>
    <row r="26" spans="1:29">
      <c r="A26" s="512"/>
      <c r="B26" s="512"/>
      <c r="C26" s="507" t="str">
        <f>'LBO - Financials'!C36</f>
        <v>(-) Exit Transaction Costs</v>
      </c>
      <c r="D26" s="507"/>
      <c r="E26" s="507"/>
      <c r="F26" s="507"/>
      <c r="G26" s="507" t="s">
        <v>1683</v>
      </c>
      <c r="H26" s="975">
        <f>'LBO - Assumptions'!G91</f>
        <v>0</v>
      </c>
      <c r="I26" s="483"/>
      <c r="J26" s="483">
        <f>'LBO - Financials'!G36</f>
        <v>0</v>
      </c>
      <c r="K26" s="483">
        <f ca="1">'LBO - Financials'!H36</f>
        <v>0</v>
      </c>
      <c r="L26" s="483">
        <f ca="1">'LBO - Financials'!I36</f>
        <v>0</v>
      </c>
      <c r="M26" s="483">
        <f ca="1">'LBO - Financials'!J36</f>
        <v>0</v>
      </c>
      <c r="N26" s="483">
        <f ca="1">'LBO - Financials'!K36</f>
        <v>0</v>
      </c>
      <c r="O26" s="483">
        <f ca="1">'LBO - Financials'!L36</f>
        <v>0</v>
      </c>
      <c r="P26" s="483">
        <f ca="1">'LBO - Financials'!M36</f>
        <v>0</v>
      </c>
      <c r="Q26" s="500"/>
      <c r="R26" s="501">
        <f t="shared" si="0"/>
        <v>1</v>
      </c>
      <c r="S26" s="502">
        <v>1</v>
      </c>
      <c r="T26" s="503"/>
      <c r="U26" s="503"/>
      <c r="V26" s="503"/>
      <c r="W26" s="503"/>
      <c r="X26" s="503"/>
      <c r="Y26" s="503"/>
      <c r="Z26" s="503"/>
      <c r="AA26" s="503"/>
      <c r="AB26" s="503"/>
      <c r="AC26" s="503"/>
    </row>
    <row r="27" spans="1:29">
      <c r="A27" s="507"/>
      <c r="B27" s="507"/>
      <c r="C27" s="483" t="str">
        <f>'LBO - Financials'!C35</f>
        <v>(-) Remaining Debt at Exit</v>
      </c>
      <c r="D27" s="507"/>
      <c r="E27" s="507"/>
      <c r="F27" s="507"/>
      <c r="G27" s="507" t="s">
        <v>1684</v>
      </c>
      <c r="H27" s="976">
        <f ca="1">'LBO - Assumptions'!G94</f>
        <v>0</v>
      </c>
      <c r="I27" s="483"/>
      <c r="J27" s="483">
        <f>'LBO - Financials'!G35</f>
        <v>0</v>
      </c>
      <c r="K27" s="483">
        <f ca="1">'LBO - Financials'!H35</f>
        <v>0</v>
      </c>
      <c r="L27" s="483">
        <f ca="1">'LBO - Financials'!I35</f>
        <v>0</v>
      </c>
      <c r="M27" s="483">
        <f ca="1">'LBO - Financials'!J35</f>
        <v>0</v>
      </c>
      <c r="N27" s="483">
        <f ca="1">'LBO - Financials'!K35</f>
        <v>0</v>
      </c>
      <c r="O27" s="483">
        <f ca="1">'LBO - Financials'!L35</f>
        <v>0</v>
      </c>
      <c r="P27" s="483">
        <f ca="1">'LBO - Financials'!M35</f>
        <v>0</v>
      </c>
      <c r="Q27" s="500"/>
      <c r="R27" s="501">
        <f t="shared" si="0"/>
        <v>1</v>
      </c>
      <c r="S27" s="502">
        <v>1</v>
      </c>
      <c r="T27" s="503"/>
      <c r="U27" s="503"/>
      <c r="V27" s="503"/>
      <c r="W27" s="503"/>
      <c r="X27" s="503"/>
      <c r="Y27" s="503"/>
      <c r="Z27" s="503"/>
      <c r="AA27" s="503"/>
      <c r="AB27" s="503"/>
      <c r="AC27" s="503"/>
    </row>
    <row r="28" spans="1:29">
      <c r="A28" s="512"/>
      <c r="B28" s="512"/>
      <c r="C28" s="483" t="str">
        <f>'LBO - Financials'!C33</f>
        <v>(+) Excess Cash</v>
      </c>
      <c r="D28" s="520"/>
      <c r="E28" s="520"/>
      <c r="F28" s="507"/>
      <c r="G28" s="507" t="s">
        <v>1685</v>
      </c>
      <c r="H28" s="1196">
        <f ca="1">'LBO - Assumptions'!G93</f>
        <v>0</v>
      </c>
      <c r="I28" s="483"/>
      <c r="J28" s="483">
        <f>'LBO - Financials'!G33</f>
        <v>0</v>
      </c>
      <c r="K28" s="483">
        <f ca="1">'LBO - Financials'!H33</f>
        <v>0</v>
      </c>
      <c r="L28" s="483">
        <f ca="1">'LBO - Financials'!I33</f>
        <v>0</v>
      </c>
      <c r="M28" s="483">
        <f ca="1">'LBO - Financials'!J33</f>
        <v>0</v>
      </c>
      <c r="N28" s="483">
        <f ca="1">'LBO - Financials'!K33</f>
        <v>0</v>
      </c>
      <c r="O28" s="483">
        <f ca="1">'LBO - Financials'!L33</f>
        <v>0</v>
      </c>
      <c r="P28" s="483">
        <f ca="1">'LBO - Financials'!M33</f>
        <v>0</v>
      </c>
      <c r="Q28" s="500"/>
      <c r="R28" s="501">
        <f t="shared" si="0"/>
        <v>1</v>
      </c>
      <c r="S28" s="502">
        <v>1</v>
      </c>
      <c r="T28" s="503"/>
      <c r="U28" s="503"/>
      <c r="V28" s="503"/>
      <c r="W28" s="503"/>
      <c r="X28" s="503"/>
      <c r="Y28" s="503"/>
      <c r="Z28" s="503"/>
      <c r="AA28" s="503"/>
      <c r="AB28" s="503"/>
      <c r="AC28" s="503"/>
    </row>
    <row r="29" spans="1:29">
      <c r="A29" s="507"/>
      <c r="B29" s="507"/>
      <c r="C29" s="483" t="str">
        <f>'LBO - Financials'!C37</f>
        <v>(+) Residual Cash Flows</v>
      </c>
      <c r="D29" s="507"/>
      <c r="E29" s="507"/>
      <c r="F29" s="507"/>
      <c r="G29" s="507"/>
      <c r="H29" s="703"/>
      <c r="I29" s="483"/>
      <c r="J29" s="483">
        <f>'LBO - Financials'!G37</f>
        <v>0</v>
      </c>
      <c r="K29" s="483">
        <f ca="1">'LBO - Financials'!H37</f>
        <v>46.777251804687147</v>
      </c>
      <c r="L29" s="483">
        <f ca="1">'LBO - Financials'!I37</f>
        <v>79.783848990355921</v>
      </c>
      <c r="M29" s="483">
        <f ca="1">'LBO - Financials'!J37</f>
        <v>150.57278524999799</v>
      </c>
      <c r="N29" s="483">
        <f ca="1">'LBO - Financials'!K37</f>
        <v>163.34817700231031</v>
      </c>
      <c r="O29" s="483">
        <f ca="1">'LBO - Financials'!L37</f>
        <v>259.8243747589288</v>
      </c>
      <c r="P29" s="483">
        <f ca="1">'LBO - Financials'!M37</f>
        <v>261.84652387532986</v>
      </c>
      <c r="Q29" s="500"/>
      <c r="R29" s="501">
        <f t="shared" si="0"/>
        <v>1</v>
      </c>
      <c r="S29" s="502">
        <v>1</v>
      </c>
      <c r="T29" s="503"/>
      <c r="U29" s="503"/>
      <c r="V29" s="503"/>
      <c r="W29" s="503"/>
      <c r="X29" s="503"/>
      <c r="Y29" s="503"/>
      <c r="Z29" s="503"/>
      <c r="AA29" s="503"/>
      <c r="AB29" s="503"/>
      <c r="AC29" s="503"/>
    </row>
    <row r="30" spans="1:29">
      <c r="A30" s="512"/>
      <c r="B30" s="512"/>
      <c r="C30" s="484" t="s">
        <v>1686</v>
      </c>
      <c r="D30" s="536"/>
      <c r="E30" s="537"/>
      <c r="F30" s="484"/>
      <c r="G30" s="484" t="s">
        <v>1687</v>
      </c>
      <c r="H30" s="538">
        <f ca="1">IFERROR('LBO - Financials'!G39,0)</f>
        <v>0.38387479019818049</v>
      </c>
      <c r="I30" s="476"/>
      <c r="J30" s="476">
        <f t="shared" ref="J30:P30" ca="1" si="8">SUM(J24:J29)</f>
        <v>-265.28400000000005</v>
      </c>
      <c r="K30" s="476">
        <f t="shared" ca="1" si="8"/>
        <v>46.777251804687147</v>
      </c>
      <c r="L30" s="476">
        <f t="shared" ca="1" si="8"/>
        <v>79.783848990355921</v>
      </c>
      <c r="M30" s="476">
        <f t="shared" ca="1" si="8"/>
        <v>150.57278524999799</v>
      </c>
      <c r="N30" s="476">
        <f t="shared" ca="1" si="8"/>
        <v>163.34817700231031</v>
      </c>
      <c r="O30" s="476">
        <f t="shared" ca="1" si="8"/>
        <v>259.8243747589288</v>
      </c>
      <c r="P30" s="476">
        <f t="shared" ca="1" si="8"/>
        <v>261.84652387532986</v>
      </c>
      <c r="Q30" s="500"/>
      <c r="R30" s="501">
        <f t="shared" si="0"/>
        <v>1</v>
      </c>
      <c r="S30" s="502">
        <v>1</v>
      </c>
      <c r="T30" s="503"/>
      <c r="U30" s="503"/>
      <c r="V30" s="503"/>
      <c r="W30" s="503"/>
      <c r="X30" s="503"/>
      <c r="Y30" s="503"/>
      <c r="Z30" s="503"/>
      <c r="AA30" s="503"/>
      <c r="AB30" s="503"/>
      <c r="AC30" s="503"/>
    </row>
    <row r="31" spans="1:29">
      <c r="A31" s="506"/>
      <c r="B31" s="506"/>
      <c r="C31" s="491"/>
      <c r="D31" s="701"/>
      <c r="E31" s="701"/>
      <c r="F31" s="491"/>
      <c r="G31" s="491"/>
      <c r="H31" s="704"/>
      <c r="I31" s="492"/>
      <c r="J31" s="492"/>
      <c r="K31" s="1133" t="s">
        <v>1676</v>
      </c>
      <c r="L31" s="1133"/>
      <c r="M31" s="1133"/>
      <c r="N31" s="1133"/>
      <c r="O31" s="1133"/>
      <c r="P31" s="1133"/>
      <c r="Q31" s="500"/>
      <c r="R31" s="501">
        <f t="shared" si="0"/>
        <v>0</v>
      </c>
      <c r="S31" s="502">
        <v>0</v>
      </c>
      <c r="T31" s="503"/>
      <c r="U31" s="503"/>
      <c r="V31" s="503"/>
      <c r="W31" s="503"/>
      <c r="X31" s="503"/>
      <c r="Y31" s="503"/>
      <c r="Z31" s="503"/>
      <c r="AA31" s="503"/>
      <c r="AB31" s="503"/>
      <c r="AC31" s="503"/>
    </row>
    <row r="32" spans="1:29" ht="15" thickBot="1">
      <c r="A32" s="477"/>
      <c r="B32" s="477"/>
      <c r="C32" s="504" t="s">
        <v>1688</v>
      </c>
      <c r="D32" s="504"/>
      <c r="E32" s="504"/>
      <c r="F32" s="504"/>
      <c r="G32" s="504"/>
      <c r="H32" s="504"/>
      <c r="I32" s="504"/>
      <c r="J32" s="504">
        <f>'DCF - Capital Structure'!K7</f>
        <v>2023</v>
      </c>
      <c r="K32" s="505">
        <f>'DCF - Capital Structure'!L7</f>
        <v>2024</v>
      </c>
      <c r="L32" s="505">
        <f>'DCF - Capital Structure'!M7</f>
        <v>2025</v>
      </c>
      <c r="M32" s="505">
        <f>'DCF - Capital Structure'!N7</f>
        <v>2026</v>
      </c>
      <c r="N32" s="505">
        <f>'DCF - Capital Structure'!O7</f>
        <v>2027</v>
      </c>
      <c r="O32" s="505">
        <f>'DCF - Capital Structure'!P7</f>
        <v>2028</v>
      </c>
      <c r="P32" s="505">
        <f>'DCF - Capital Structure'!Q7</f>
        <v>2029</v>
      </c>
      <c r="Q32" s="503"/>
      <c r="R32" s="501">
        <f t="shared" si="0"/>
        <v>1</v>
      </c>
      <c r="S32" s="502">
        <v>1</v>
      </c>
      <c r="T32" s="503"/>
      <c r="U32" s="503"/>
      <c r="V32" s="503"/>
      <c r="W32" s="503"/>
      <c r="X32" s="503"/>
      <c r="Y32" s="503"/>
      <c r="Z32" s="503"/>
      <c r="AA32" s="503"/>
      <c r="AB32" s="503"/>
      <c r="AC32" s="503"/>
    </row>
    <row r="33" spans="1:29">
      <c r="A33" s="477"/>
      <c r="B33" s="477"/>
      <c r="C33" s="475" t="s">
        <v>1689</v>
      </c>
      <c r="D33" s="491"/>
      <c r="E33" s="491"/>
      <c r="F33" s="491"/>
      <c r="G33" s="491"/>
      <c r="H33" s="491"/>
      <c r="I33" s="491"/>
      <c r="J33" s="702"/>
      <c r="K33" s="483">
        <f ca="1">'LBO - Financials'!H48</f>
        <v>0</v>
      </c>
      <c r="L33" s="483">
        <f ca="1">'LBO - Financials'!I48</f>
        <v>0</v>
      </c>
      <c r="M33" s="483">
        <f ca="1">'LBO - Financials'!J48</f>
        <v>0</v>
      </c>
      <c r="N33" s="483">
        <f ca="1">'LBO - Financials'!K48</f>
        <v>0</v>
      </c>
      <c r="O33" s="483">
        <f ca="1">'LBO - Financials'!L48</f>
        <v>0</v>
      </c>
      <c r="P33" s="483">
        <f ca="1">'LBO - Financials'!M48</f>
        <v>0</v>
      </c>
      <c r="Q33" s="503"/>
      <c r="R33" s="501">
        <f t="shared" si="0"/>
        <v>1</v>
      </c>
      <c r="S33" s="502">
        <v>1</v>
      </c>
      <c r="T33" s="503"/>
      <c r="U33" s="503"/>
      <c r="V33" s="503"/>
      <c r="W33" s="503"/>
      <c r="X33" s="503"/>
      <c r="Y33" s="503"/>
      <c r="Z33" s="503"/>
      <c r="AA33" s="503"/>
      <c r="AB33" s="503"/>
      <c r="AC33" s="503"/>
    </row>
    <row r="34" spans="1:29">
      <c r="A34" s="512"/>
      <c r="B34" s="512"/>
      <c r="C34" s="507" t="str">
        <f ca="1">"Junior Debt Ending Balance at "&amp;TEXT('LBO - Assumptions'!G76,"0.0%")</f>
        <v>Junior Debt Ending Balance at 0.0%</v>
      </c>
      <c r="D34" s="507"/>
      <c r="E34" s="507"/>
      <c r="F34" s="507"/>
      <c r="G34" s="507"/>
      <c r="H34" s="507"/>
      <c r="I34" s="483"/>
      <c r="J34" s="483">
        <f ca="1">'LBO - Financials'!G98</f>
        <v>0</v>
      </c>
      <c r="K34" s="483">
        <f ca="1">'LBO - Financials'!H98</f>
        <v>0</v>
      </c>
      <c r="L34" s="483">
        <f ca="1">'LBO - Financials'!I98</f>
        <v>0</v>
      </c>
      <c r="M34" s="483">
        <f ca="1">'LBO - Financials'!J98</f>
        <v>0</v>
      </c>
      <c r="N34" s="483">
        <f ca="1">'LBO - Financials'!K98</f>
        <v>0</v>
      </c>
      <c r="O34" s="483">
        <f ca="1">'LBO - Financials'!L98</f>
        <v>0</v>
      </c>
      <c r="P34" s="483">
        <f ca="1">'LBO - Financials'!M98</f>
        <v>0</v>
      </c>
      <c r="Q34" s="500"/>
      <c r="R34" s="501">
        <f t="shared" ca="1" si="0"/>
        <v>1</v>
      </c>
      <c r="S34" s="502">
        <v>1</v>
      </c>
      <c r="T34" s="507"/>
      <c r="U34" s="507"/>
      <c r="V34" s="503"/>
      <c r="W34" s="503"/>
      <c r="X34" s="503"/>
      <c r="Y34" s="503"/>
      <c r="Z34" s="503"/>
      <c r="AA34" s="503"/>
      <c r="AB34" s="503"/>
      <c r="AC34" s="503"/>
    </row>
    <row r="35" spans="1:29">
      <c r="A35" s="477"/>
      <c r="B35" s="477"/>
      <c r="C35" s="475" t="s">
        <v>1690</v>
      </c>
      <c r="D35" s="491"/>
      <c r="E35" s="491"/>
      <c r="F35" s="491"/>
      <c r="G35" s="491"/>
      <c r="H35" s="491"/>
      <c r="I35" s="491"/>
      <c r="J35" s="702"/>
      <c r="K35" s="483">
        <f ca="1">'LBO - Financials'!H52</f>
        <v>0</v>
      </c>
      <c r="L35" s="483">
        <f ca="1">'LBO - Financials'!I52</f>
        <v>0</v>
      </c>
      <c r="M35" s="483">
        <f ca="1">'LBO - Financials'!J52</f>
        <v>0</v>
      </c>
      <c r="N35" s="483">
        <f ca="1">'LBO - Financials'!K52</f>
        <v>0</v>
      </c>
      <c r="O35" s="483">
        <f ca="1">'LBO - Financials'!L52</f>
        <v>0</v>
      </c>
      <c r="P35" s="483">
        <f ca="1">'LBO - Financials'!M52</f>
        <v>0</v>
      </c>
      <c r="Q35" s="503"/>
      <c r="R35" s="501">
        <f t="shared" si="0"/>
        <v>1</v>
      </c>
      <c r="S35" s="502">
        <v>1</v>
      </c>
      <c r="T35" s="503"/>
      <c r="U35" s="503"/>
      <c r="V35" s="503"/>
      <c r="W35" s="503"/>
      <c r="X35" s="503"/>
      <c r="Y35" s="503"/>
      <c r="Z35" s="503"/>
      <c r="AA35" s="503"/>
      <c r="AB35" s="503"/>
      <c r="AC35" s="503"/>
    </row>
    <row r="36" spans="1:29">
      <c r="A36" s="512"/>
      <c r="B36" s="512"/>
      <c r="C36" s="507" t="str">
        <f ca="1">"Senior Debt Ending Balance at "&amp;TEXT('LBO - Assumptions'!G75,"0.0%")</f>
        <v>Senior Debt Ending Balance at 0.0%</v>
      </c>
      <c r="D36" s="507"/>
      <c r="E36" s="507"/>
      <c r="F36" s="507"/>
      <c r="G36" s="507"/>
      <c r="H36" s="507"/>
      <c r="I36" s="483"/>
      <c r="J36" s="483">
        <f ca="1">'LBO - Financials'!G103</f>
        <v>0</v>
      </c>
      <c r="K36" s="483">
        <f ca="1">'LBO - Financials'!H103</f>
        <v>0</v>
      </c>
      <c r="L36" s="483">
        <f ca="1">'LBO - Financials'!I103</f>
        <v>0</v>
      </c>
      <c r="M36" s="483">
        <f ca="1">'LBO - Financials'!J103</f>
        <v>0</v>
      </c>
      <c r="N36" s="483">
        <f ca="1">'LBO - Financials'!K103</f>
        <v>0</v>
      </c>
      <c r="O36" s="483">
        <f ca="1">'LBO - Financials'!L103</f>
        <v>0</v>
      </c>
      <c r="P36" s="483">
        <f ca="1">'LBO - Financials'!M103</f>
        <v>0</v>
      </c>
      <c r="Q36" s="500"/>
      <c r="R36" s="501">
        <f t="shared" ca="1" si="0"/>
        <v>1</v>
      </c>
      <c r="S36" s="502">
        <v>1</v>
      </c>
      <c r="T36" s="507"/>
      <c r="U36" s="507"/>
      <c r="V36" s="503"/>
      <c r="W36" s="503"/>
      <c r="X36" s="503"/>
      <c r="Y36" s="503"/>
      <c r="Z36" s="503"/>
      <c r="AA36" s="503"/>
      <c r="AB36" s="503"/>
      <c r="AC36" s="503"/>
    </row>
    <row r="37" spans="1:29">
      <c r="A37" s="512"/>
      <c r="B37" s="512"/>
      <c r="C37" s="507" t="s">
        <v>1691</v>
      </c>
      <c r="D37" s="507"/>
      <c r="E37" s="507"/>
      <c r="F37" s="507"/>
      <c r="G37" s="507"/>
      <c r="H37" s="507"/>
      <c r="I37" s="483"/>
      <c r="J37" s="483"/>
      <c r="K37" s="483">
        <f ca="1">'LBO - Financials'!H56</f>
        <v>0</v>
      </c>
      <c r="L37" s="483">
        <f ca="1">'LBO - Financials'!I56</f>
        <v>0</v>
      </c>
      <c r="M37" s="483">
        <f ca="1">'LBO - Financials'!J56</f>
        <v>0</v>
      </c>
      <c r="N37" s="483">
        <f ca="1">'LBO - Financials'!K56</f>
        <v>0</v>
      </c>
      <c r="O37" s="483">
        <f ca="1">'LBO - Financials'!L56</f>
        <v>0</v>
      </c>
      <c r="P37" s="483">
        <f ca="1">'LBO - Financials'!M56</f>
        <v>0</v>
      </c>
      <c r="Q37" s="500"/>
      <c r="R37" s="501">
        <f t="shared" si="0"/>
        <v>1</v>
      </c>
      <c r="S37" s="502">
        <v>1</v>
      </c>
      <c r="T37" s="507"/>
      <c r="U37" s="507"/>
      <c r="V37" s="503"/>
      <c r="W37" s="503"/>
      <c r="X37" s="503"/>
      <c r="Y37" s="503"/>
      <c r="Z37" s="503"/>
      <c r="AA37" s="503"/>
      <c r="AB37" s="503"/>
      <c r="AC37" s="503"/>
    </row>
    <row r="38" spans="1:29">
      <c r="A38" s="512"/>
      <c r="B38" s="512"/>
      <c r="C38" s="507" t="str">
        <f ca="1">"Revolver Debt Ending Balance at "&amp;TEXT('LBO - Assumptions'!G77,"0.0%")</f>
        <v>Revolver Debt Ending Balance at 0.0%</v>
      </c>
      <c r="D38" s="507"/>
      <c r="E38" s="507"/>
      <c r="F38" s="507"/>
      <c r="G38" s="507"/>
      <c r="H38" s="507"/>
      <c r="I38" s="483"/>
      <c r="J38" s="483">
        <f ca="1">'LBO - Financials'!G108</f>
        <v>0</v>
      </c>
      <c r="K38" s="483">
        <f ca="1">'LBO - Financials'!H108</f>
        <v>0</v>
      </c>
      <c r="L38" s="483">
        <f ca="1">'LBO - Financials'!I108</f>
        <v>0</v>
      </c>
      <c r="M38" s="483">
        <f ca="1">'LBO - Financials'!J108</f>
        <v>0</v>
      </c>
      <c r="N38" s="483">
        <f ca="1">'LBO - Financials'!K108</f>
        <v>0</v>
      </c>
      <c r="O38" s="483">
        <f ca="1">'LBO - Financials'!L108</f>
        <v>0</v>
      </c>
      <c r="P38" s="483">
        <f ca="1">'LBO - Financials'!M108</f>
        <v>0</v>
      </c>
      <c r="Q38" s="500"/>
      <c r="R38" s="501">
        <f t="shared" ca="1" si="0"/>
        <v>1</v>
      </c>
      <c r="S38" s="502">
        <v>1</v>
      </c>
      <c r="T38" s="507"/>
      <c r="U38" s="507"/>
      <c r="V38" s="503"/>
      <c r="W38" s="503"/>
      <c r="X38" s="503"/>
      <c r="Y38" s="503"/>
      <c r="Z38" s="503"/>
      <c r="AA38" s="503"/>
      <c r="AB38" s="503"/>
      <c r="AC38" s="503"/>
    </row>
    <row r="39" spans="1:29">
      <c r="A39" s="512"/>
      <c r="B39" s="512"/>
      <c r="C39" s="507" t="s">
        <v>1692</v>
      </c>
      <c r="D39" s="507"/>
      <c r="E39" s="507"/>
      <c r="F39" s="507"/>
      <c r="G39" s="507"/>
      <c r="H39" s="507"/>
      <c r="I39" s="483"/>
      <c r="J39" s="483"/>
      <c r="K39" s="483">
        <f ca="1">'LBO - Financials'!H60</f>
        <v>0</v>
      </c>
      <c r="L39" s="483">
        <f ca="1">'LBO - Financials'!I60</f>
        <v>0</v>
      </c>
      <c r="M39" s="483">
        <f ca="1">'LBO - Financials'!J60</f>
        <v>0</v>
      </c>
      <c r="N39" s="483">
        <f ca="1">'LBO - Financials'!K60</f>
        <v>0</v>
      </c>
      <c r="O39" s="483">
        <f ca="1">'LBO - Financials'!L60</f>
        <v>0</v>
      </c>
      <c r="P39" s="483">
        <f ca="1">'LBO - Financials'!M60</f>
        <v>0</v>
      </c>
      <c r="Q39" s="500"/>
      <c r="R39" s="501">
        <f t="shared" si="0"/>
        <v>1</v>
      </c>
      <c r="S39" s="502">
        <v>1</v>
      </c>
      <c r="T39" s="507"/>
      <c r="U39" s="507"/>
      <c r="V39" s="503"/>
      <c r="W39" s="503"/>
      <c r="X39" s="503"/>
      <c r="Y39" s="503"/>
      <c r="Z39" s="503"/>
      <c r="AA39" s="503"/>
      <c r="AB39" s="503"/>
      <c r="AC39" s="503"/>
    </row>
    <row r="40" spans="1:29">
      <c r="A40" s="512"/>
      <c r="B40" s="512"/>
      <c r="C40" s="507" t="str">
        <f ca="1">"Assumed Debt Ending Balance at "&amp;TEXT('LBO - Assumptions'!G78,"0.0%")</f>
        <v>Assumed Debt Ending Balance at 0.0%</v>
      </c>
      <c r="D40" s="507"/>
      <c r="E40" s="507"/>
      <c r="F40" s="507"/>
      <c r="G40" s="507"/>
      <c r="H40" s="507"/>
      <c r="I40" s="483"/>
      <c r="J40" s="483">
        <f ca="1">'LBO - Financials'!G113</f>
        <v>0</v>
      </c>
      <c r="K40" s="483">
        <f ca="1">'LBO - Financials'!H113</f>
        <v>0</v>
      </c>
      <c r="L40" s="483">
        <f ca="1">'LBO - Financials'!I113</f>
        <v>0</v>
      </c>
      <c r="M40" s="483">
        <f ca="1">'LBO - Financials'!J113</f>
        <v>0</v>
      </c>
      <c r="N40" s="483">
        <f ca="1">'LBO - Financials'!K113</f>
        <v>0</v>
      </c>
      <c r="O40" s="483">
        <f ca="1">'LBO - Financials'!L113</f>
        <v>0</v>
      </c>
      <c r="P40" s="483">
        <f ca="1">'LBO - Financials'!M113</f>
        <v>0</v>
      </c>
      <c r="Q40" s="500"/>
      <c r="R40" s="501">
        <f t="shared" ca="1" si="0"/>
        <v>1</v>
      </c>
      <c r="S40" s="502">
        <v>1</v>
      </c>
      <c r="T40" s="507"/>
      <c r="U40" s="507"/>
      <c r="V40" s="503"/>
      <c r="W40" s="503"/>
      <c r="X40" s="503"/>
      <c r="Y40" s="503"/>
      <c r="Z40" s="503"/>
      <c r="AA40" s="503"/>
      <c r="AB40" s="503"/>
      <c r="AC40" s="503"/>
    </row>
    <row r="41" spans="1:29">
      <c r="A41" s="512"/>
      <c r="B41" s="512"/>
      <c r="C41" s="484" t="s">
        <v>1693</v>
      </c>
      <c r="D41" s="484"/>
      <c r="E41" s="484"/>
      <c r="F41" s="484"/>
      <c r="G41" s="484"/>
      <c r="H41" s="484"/>
      <c r="I41" s="476"/>
      <c r="J41" s="476">
        <f t="shared" ref="J41:P41" ca="1" si="9">SUM(J34,J36,J38,J40)</f>
        <v>0</v>
      </c>
      <c r="K41" s="476">
        <f t="shared" ca="1" si="9"/>
        <v>0</v>
      </c>
      <c r="L41" s="476">
        <f t="shared" ca="1" si="9"/>
        <v>0</v>
      </c>
      <c r="M41" s="476">
        <f t="shared" ca="1" si="9"/>
        <v>0</v>
      </c>
      <c r="N41" s="476">
        <f t="shared" ca="1" si="9"/>
        <v>0</v>
      </c>
      <c r="O41" s="476">
        <f t="shared" ca="1" si="9"/>
        <v>0</v>
      </c>
      <c r="P41" s="476">
        <f t="shared" ca="1" si="9"/>
        <v>0</v>
      </c>
      <c r="Q41" s="500"/>
      <c r="R41" s="501">
        <f t="shared" si="0"/>
        <v>1</v>
      </c>
      <c r="S41" s="502">
        <v>1</v>
      </c>
      <c r="T41" s="507"/>
      <c r="U41" s="507"/>
      <c r="V41" s="503"/>
      <c r="W41" s="503"/>
      <c r="X41" s="503"/>
      <c r="Y41" s="503"/>
      <c r="Z41" s="503"/>
      <c r="AA41" s="503"/>
      <c r="AB41" s="503"/>
      <c r="AC41" s="503"/>
    </row>
    <row r="42" spans="1:29" ht="3" customHeight="1">
      <c r="A42" s="512"/>
      <c r="B42" s="512"/>
      <c r="C42" s="520"/>
      <c r="D42" s="520"/>
      <c r="E42" s="520"/>
      <c r="F42" s="520"/>
      <c r="G42" s="520"/>
      <c r="H42" s="520"/>
      <c r="I42" s="487"/>
      <c r="J42" s="487"/>
      <c r="K42" s="487"/>
      <c r="L42" s="487"/>
      <c r="M42" s="487"/>
      <c r="N42" s="487"/>
      <c r="O42" s="487"/>
      <c r="P42" s="487"/>
      <c r="Q42" s="500"/>
      <c r="R42" s="501">
        <f t="shared" si="0"/>
        <v>0</v>
      </c>
      <c r="S42" s="502">
        <v>0</v>
      </c>
      <c r="T42" s="507"/>
      <c r="U42" s="507"/>
      <c r="V42" s="503"/>
      <c r="W42" s="503"/>
      <c r="X42" s="503"/>
      <c r="Y42" s="503"/>
      <c r="Z42" s="503"/>
      <c r="AA42" s="503"/>
      <c r="AB42" s="503"/>
      <c r="AC42" s="503"/>
    </row>
    <row r="43" spans="1:29">
      <c r="A43" s="506"/>
      <c r="B43" s="506"/>
      <c r="C43" s="475" t="s">
        <v>1694</v>
      </c>
      <c r="D43" s="491"/>
      <c r="E43" s="478"/>
      <c r="F43" s="491"/>
      <c r="G43" s="491"/>
      <c r="H43" s="491"/>
      <c r="I43" s="705"/>
      <c r="J43" s="706">
        <f t="shared" ref="J43:P43" ca="1" si="10">J68</f>
        <v>0</v>
      </c>
      <c r="K43" s="706">
        <f t="shared" ca="1" si="10"/>
        <v>0</v>
      </c>
      <c r="L43" s="706">
        <f t="shared" ca="1" si="10"/>
        <v>0</v>
      </c>
      <c r="M43" s="706">
        <f t="shared" ca="1" si="10"/>
        <v>0</v>
      </c>
      <c r="N43" s="706">
        <f t="shared" ca="1" si="10"/>
        <v>0</v>
      </c>
      <c r="O43" s="706">
        <f t="shared" ca="1" si="10"/>
        <v>0</v>
      </c>
      <c r="P43" s="706">
        <f t="shared" ca="1" si="10"/>
        <v>0</v>
      </c>
      <c r="Q43" s="500"/>
      <c r="R43" s="501">
        <f t="shared" si="0"/>
        <v>1</v>
      </c>
      <c r="S43" s="502">
        <v>1</v>
      </c>
      <c r="T43" s="475"/>
      <c r="U43" s="475"/>
      <c r="V43" s="503"/>
      <c r="W43" s="503"/>
      <c r="X43" s="503"/>
      <c r="Y43" s="503"/>
      <c r="Z43" s="503"/>
      <c r="AA43" s="503"/>
      <c r="AB43" s="503"/>
      <c r="AC43" s="503"/>
    </row>
    <row r="44" spans="1:29">
      <c r="A44" s="512"/>
      <c r="B44" s="512"/>
      <c r="C44" s="475" t="str">
        <f>C70</f>
        <v xml:space="preserve">Cashflows for Debt Service / Total Interest Expense </v>
      </c>
      <c r="D44" s="491"/>
      <c r="E44" s="478"/>
      <c r="F44" s="491"/>
      <c r="G44" s="478"/>
      <c r="H44" s="491"/>
      <c r="I44" s="492"/>
      <c r="J44" s="706">
        <f t="shared" ref="J44:P45" si="11">J70</f>
        <v>0</v>
      </c>
      <c r="K44" s="706" t="str">
        <f t="shared" ca="1" si="11"/>
        <v>NM</v>
      </c>
      <c r="L44" s="706" t="str">
        <f t="shared" ca="1" si="11"/>
        <v>NM</v>
      </c>
      <c r="M44" s="706" t="str">
        <f t="shared" ca="1" si="11"/>
        <v>NM</v>
      </c>
      <c r="N44" s="706" t="str">
        <f t="shared" ca="1" si="11"/>
        <v>NM</v>
      </c>
      <c r="O44" s="706" t="str">
        <f t="shared" ca="1" si="11"/>
        <v>NM</v>
      </c>
      <c r="P44" s="706" t="str">
        <f t="shared" ca="1" si="11"/>
        <v>NM</v>
      </c>
      <c r="Q44" s="500"/>
      <c r="R44" s="501">
        <f t="shared" si="0"/>
        <v>1</v>
      </c>
      <c r="S44" s="502">
        <v>1</v>
      </c>
      <c r="T44" s="507"/>
      <c r="U44" s="507"/>
      <c r="V44" s="503"/>
      <c r="W44" s="503"/>
      <c r="X44" s="503"/>
      <c r="Y44" s="503"/>
      <c r="Z44" s="503"/>
      <c r="AA44" s="503"/>
      <c r="AB44" s="503"/>
      <c r="AC44" s="503"/>
    </row>
    <row r="45" spans="1:29">
      <c r="A45" s="506"/>
      <c r="B45" s="506"/>
      <c r="C45" s="475" t="str">
        <f>C71</f>
        <v>Cashflows for Debt Service / Senior Interest Expense</v>
      </c>
      <c r="D45" s="491"/>
      <c r="E45" s="478"/>
      <c r="F45" s="491"/>
      <c r="G45" s="478"/>
      <c r="H45" s="491"/>
      <c r="I45" s="492"/>
      <c r="J45" s="706">
        <f t="shared" si="11"/>
        <v>0</v>
      </c>
      <c r="K45" s="706" t="str">
        <f t="shared" ca="1" si="11"/>
        <v>NM</v>
      </c>
      <c r="L45" s="706" t="str">
        <f t="shared" ca="1" si="11"/>
        <v>NM</v>
      </c>
      <c r="M45" s="706" t="str">
        <f t="shared" ca="1" si="11"/>
        <v>NM</v>
      </c>
      <c r="N45" s="706" t="str">
        <f t="shared" ca="1" si="11"/>
        <v>NM</v>
      </c>
      <c r="O45" s="706" t="str">
        <f t="shared" ca="1" si="11"/>
        <v>NM</v>
      </c>
      <c r="P45" s="706" t="str">
        <f t="shared" ca="1" si="11"/>
        <v>NM</v>
      </c>
      <c r="Q45" s="500"/>
      <c r="R45" s="501">
        <f t="shared" si="0"/>
        <v>1</v>
      </c>
      <c r="S45" s="502">
        <v>1</v>
      </c>
      <c r="T45" s="475"/>
      <c r="U45" s="475"/>
      <c r="V45" s="503"/>
      <c r="W45" s="503"/>
      <c r="X45" s="503"/>
      <c r="Y45" s="503"/>
      <c r="Z45" s="503"/>
      <c r="AA45" s="503"/>
      <c r="AB45" s="503"/>
      <c r="AC45" s="503"/>
    </row>
    <row r="46" spans="1:29">
      <c r="A46" s="506"/>
      <c r="B46" s="506"/>
      <c r="C46" s="475"/>
      <c r="D46" s="475"/>
      <c r="E46" s="475"/>
      <c r="F46" s="475"/>
      <c r="G46" s="475"/>
      <c r="H46" s="475"/>
      <c r="I46" s="475"/>
      <c r="J46" s="475"/>
      <c r="K46" s="475"/>
      <c r="L46" s="475"/>
      <c r="M46" s="475"/>
      <c r="N46" s="475"/>
      <c r="O46" s="475"/>
      <c r="P46" s="475"/>
      <c r="Q46" s="500"/>
      <c r="R46" s="501">
        <f t="shared" si="0"/>
        <v>0</v>
      </c>
      <c r="S46" s="502">
        <v>0</v>
      </c>
      <c r="T46" s="475"/>
      <c r="U46" s="475"/>
      <c r="V46" s="503"/>
      <c r="W46" s="503"/>
      <c r="X46" s="503"/>
      <c r="Y46" s="503"/>
      <c r="Z46" s="503"/>
      <c r="AA46" s="503"/>
      <c r="AB46" s="503"/>
      <c r="AC46" s="503"/>
    </row>
    <row r="47" spans="1:29">
      <c r="A47" s="512"/>
      <c r="B47" s="512"/>
      <c r="C47" s="807" t="s">
        <v>1695</v>
      </c>
      <c r="D47" s="808"/>
      <c r="E47" s="808"/>
      <c r="F47" s="808"/>
      <c r="G47" s="808"/>
      <c r="H47" s="808"/>
      <c r="I47" s="808"/>
      <c r="J47" s="808"/>
      <c r="K47" s="808"/>
      <c r="L47" s="808"/>
      <c r="M47" s="808"/>
      <c r="N47" s="808"/>
      <c r="O47" s="808"/>
      <c r="P47" s="808"/>
      <c r="Q47" s="500"/>
      <c r="R47" s="501">
        <f t="shared" si="0"/>
        <v>1</v>
      </c>
      <c r="S47" s="502">
        <v>1</v>
      </c>
      <c r="T47" s="503"/>
      <c r="U47" s="503"/>
      <c r="V47" s="503"/>
      <c r="W47" s="503"/>
      <c r="X47" s="503"/>
      <c r="Y47" s="503"/>
      <c r="Z47" s="503"/>
      <c r="AA47" s="503"/>
      <c r="AB47" s="503"/>
      <c r="AC47" s="503"/>
    </row>
    <row r="48" spans="1:29">
      <c r="A48" s="477"/>
      <c r="B48" s="477"/>
      <c r="C48" s="482"/>
      <c r="D48" s="482"/>
      <c r="E48" s="482"/>
      <c r="F48" s="482"/>
      <c r="G48" s="482"/>
      <c r="H48" s="482"/>
      <c r="I48" s="482"/>
      <c r="J48" s="482"/>
      <c r="K48" s="1133" t="s">
        <v>1676</v>
      </c>
      <c r="L48" s="1133"/>
      <c r="M48" s="1133"/>
      <c r="N48" s="1133"/>
      <c r="O48" s="1133"/>
      <c r="P48" s="1133"/>
      <c r="Q48" s="500"/>
      <c r="R48" s="501">
        <f t="shared" si="0"/>
        <v>0</v>
      </c>
      <c r="S48" s="502">
        <v>0</v>
      </c>
      <c r="T48" s="503"/>
      <c r="U48" s="503"/>
      <c r="V48" s="503"/>
      <c r="W48" s="503"/>
      <c r="X48" s="503"/>
      <c r="Y48" s="503"/>
      <c r="Z48" s="503"/>
      <c r="AA48" s="503"/>
      <c r="AB48" s="503"/>
      <c r="AC48" s="503"/>
    </row>
    <row r="49" spans="1:29" ht="15" thickBot="1">
      <c r="A49" s="477"/>
      <c r="B49" s="477"/>
      <c r="C49" s="504" t="str">
        <f>'DCF - Outputs'!C7</f>
        <v>* All amounts in millions of US dollars except per share and multiples</v>
      </c>
      <c r="D49" s="504"/>
      <c r="E49" s="504"/>
      <c r="F49" s="504">
        <f>'DCF - Capital Structure'!G7</f>
        <v>2019</v>
      </c>
      <c r="G49" s="504">
        <f>'DCF - Capital Structure'!H7</f>
        <v>2020</v>
      </c>
      <c r="H49" s="504">
        <f>'DCF - Capital Structure'!I7</f>
        <v>2021</v>
      </c>
      <c r="I49" s="504">
        <f>'DCF - Capital Structure'!J7</f>
        <v>2022</v>
      </c>
      <c r="J49" s="504">
        <f>'DCF - Capital Structure'!K7</f>
        <v>2023</v>
      </c>
      <c r="K49" s="505">
        <f>'DCF - Capital Structure'!L7</f>
        <v>2024</v>
      </c>
      <c r="L49" s="505">
        <f>'DCF - Capital Structure'!M7</f>
        <v>2025</v>
      </c>
      <c r="M49" s="505">
        <f>'DCF - Capital Structure'!N7</f>
        <v>2026</v>
      </c>
      <c r="N49" s="505">
        <f>'DCF - Capital Structure'!O7</f>
        <v>2027</v>
      </c>
      <c r="O49" s="505">
        <f>'DCF - Capital Structure'!P7</f>
        <v>2028</v>
      </c>
      <c r="P49" s="505">
        <f>'DCF - Capital Structure'!Q7</f>
        <v>2029</v>
      </c>
      <c r="Q49" s="500"/>
      <c r="R49" s="501">
        <f t="shared" si="0"/>
        <v>1</v>
      </c>
      <c r="S49" s="502">
        <v>1</v>
      </c>
      <c r="T49" s="503"/>
      <c r="U49" s="503"/>
      <c r="V49" s="503"/>
      <c r="W49" s="503"/>
      <c r="X49" s="503"/>
      <c r="Y49" s="503"/>
      <c r="Z49" s="503"/>
      <c r="AA49" s="503"/>
      <c r="AB49" s="503"/>
      <c r="AC49" s="503"/>
    </row>
    <row r="50" spans="1:29">
      <c r="A50" s="477"/>
      <c r="B50" s="477"/>
      <c r="C50" s="475" t="s">
        <v>1696</v>
      </c>
      <c r="D50" s="491"/>
      <c r="E50" s="480"/>
      <c r="F50" s="480"/>
      <c r="G50" s="480">
        <f>'DCF - Financials'!H9</f>
        <v>582.18200000000002</v>
      </c>
      <c r="H50" s="480">
        <f>'DCF - Financials'!I9</f>
        <v>760.91</v>
      </c>
      <c r="I50" s="480">
        <f>'DCF - Financials'!J9</f>
        <v>903.50300000000004</v>
      </c>
      <c r="J50" s="480">
        <f>'DCF - Financials'!K9</f>
        <v>1051.83</v>
      </c>
      <c r="K50" s="480">
        <f>'DCF - Financials'!L9</f>
        <v>1278.226743738649</v>
      </c>
      <c r="L50" s="480">
        <f>'DCF - Financials'!M9</f>
        <v>1562.1187544339082</v>
      </c>
      <c r="M50" s="480">
        <f>'DCF - Financials'!N9</f>
        <v>1917.7398223858147</v>
      </c>
      <c r="N50" s="480">
        <f>'DCF - Financials'!O9</f>
        <v>2383.9369385812006</v>
      </c>
      <c r="O50" s="480">
        <f>'DCF - Financials'!P9</f>
        <v>2980.545632368242</v>
      </c>
      <c r="P50" s="480">
        <f>'DCF - Financials'!Q9</f>
        <v>3750.6959718718617</v>
      </c>
      <c r="Q50" s="500"/>
      <c r="R50" s="501">
        <f t="shared" si="0"/>
        <v>1</v>
      </c>
      <c r="S50" s="502">
        <v>1</v>
      </c>
      <c r="T50" s="503"/>
      <c r="U50" s="503"/>
      <c r="V50" s="503"/>
      <c r="W50" s="503"/>
      <c r="X50" s="503"/>
      <c r="Y50" s="503"/>
      <c r="Z50" s="503"/>
      <c r="AA50" s="503"/>
      <c r="AB50" s="503"/>
      <c r="AC50" s="503"/>
    </row>
    <row r="51" spans="1:29">
      <c r="A51" s="477"/>
      <c r="B51" s="477"/>
      <c r="C51" s="475" t="s">
        <v>1697</v>
      </c>
      <c r="D51" s="513"/>
      <c r="E51" s="480"/>
      <c r="F51" s="480"/>
      <c r="G51" s="480">
        <v>0</v>
      </c>
      <c r="H51" s="480">
        <v>0</v>
      </c>
      <c r="I51" s="480">
        <v>0</v>
      </c>
      <c r="J51" s="480">
        <v>0</v>
      </c>
      <c r="K51" s="480">
        <f ca="1">'LBO - Financials'!H72</f>
        <v>0</v>
      </c>
      <c r="L51" s="480">
        <f ca="1">'LBO - Financials'!I72</f>
        <v>0</v>
      </c>
      <c r="M51" s="480">
        <f ca="1">'LBO - Financials'!J72</f>
        <v>0</v>
      </c>
      <c r="N51" s="480">
        <f ca="1">'LBO - Financials'!K72</f>
        <v>0</v>
      </c>
      <c r="O51" s="480">
        <f ca="1">'LBO - Financials'!L72</f>
        <v>0</v>
      </c>
      <c r="P51" s="480">
        <f ca="1">'LBO - Financials'!M72</f>
        <v>0</v>
      </c>
      <c r="Q51" s="500"/>
      <c r="R51" s="501">
        <f t="shared" si="0"/>
        <v>1</v>
      </c>
      <c r="S51" s="502">
        <v>1</v>
      </c>
      <c r="T51" s="503"/>
      <c r="U51" s="503"/>
      <c r="V51" s="503"/>
      <c r="W51" s="503"/>
      <c r="X51" s="503"/>
      <c r="Y51" s="503"/>
      <c r="Z51" s="503"/>
      <c r="AA51" s="503"/>
      <c r="AB51" s="503"/>
      <c r="AC51" s="503"/>
    </row>
    <row r="52" spans="1:29">
      <c r="A52" s="477"/>
      <c r="B52" s="477"/>
      <c r="C52" s="690" t="s">
        <v>1698</v>
      </c>
      <c r="D52" s="690"/>
      <c r="E52" s="519"/>
      <c r="F52" s="519"/>
      <c r="G52" s="519">
        <f t="shared" ref="G52:P52" si="12">SUM(G50:G51)</f>
        <v>582.18200000000002</v>
      </c>
      <c r="H52" s="519">
        <f t="shared" si="12"/>
        <v>760.91</v>
      </c>
      <c r="I52" s="519">
        <f t="shared" si="12"/>
        <v>903.50300000000004</v>
      </c>
      <c r="J52" s="519">
        <f t="shared" si="12"/>
        <v>1051.83</v>
      </c>
      <c r="K52" s="519">
        <f t="shared" ca="1" si="12"/>
        <v>1278.226743738649</v>
      </c>
      <c r="L52" s="519">
        <f t="shared" ca="1" si="12"/>
        <v>1562.1187544339082</v>
      </c>
      <c r="M52" s="519">
        <f t="shared" ca="1" si="12"/>
        <v>1917.7398223858147</v>
      </c>
      <c r="N52" s="519">
        <f t="shared" ca="1" si="12"/>
        <v>2383.9369385812006</v>
      </c>
      <c r="O52" s="519">
        <f t="shared" ca="1" si="12"/>
        <v>2980.545632368242</v>
      </c>
      <c r="P52" s="519">
        <f t="shared" ca="1" si="12"/>
        <v>3750.6959718718617</v>
      </c>
      <c r="Q52" s="514"/>
      <c r="R52" s="501">
        <f t="shared" si="0"/>
        <v>1</v>
      </c>
      <c r="S52" s="502">
        <v>1</v>
      </c>
      <c r="T52" s="477"/>
      <c r="U52" s="477"/>
      <c r="V52" s="503"/>
      <c r="W52" s="503"/>
      <c r="X52" s="503"/>
      <c r="Y52" s="503"/>
      <c r="Z52" s="503"/>
      <c r="AA52" s="503"/>
      <c r="AB52" s="503"/>
      <c r="AC52" s="503"/>
    </row>
    <row r="53" spans="1:29">
      <c r="A53" s="477"/>
      <c r="B53" s="477"/>
      <c r="C53" s="478" t="s">
        <v>1699</v>
      </c>
      <c r="D53" s="475"/>
      <c r="E53" s="515"/>
      <c r="F53" s="515"/>
      <c r="G53" s="515"/>
      <c r="H53" s="515">
        <f t="shared" ref="H53:P53" si="13">IFERROR(H52/G52-1,0)</f>
        <v>0.30699678107533379</v>
      </c>
      <c r="I53" s="515">
        <f t="shared" si="13"/>
        <v>0.18739798399285079</v>
      </c>
      <c r="J53" s="516">
        <f t="shared" si="13"/>
        <v>0.16416879634046588</v>
      </c>
      <c r="K53" s="516">
        <f t="shared" ca="1" si="13"/>
        <v>0.2152408124303824</v>
      </c>
      <c r="L53" s="516">
        <f t="shared" ca="1" si="13"/>
        <v>0.2220983186949379</v>
      </c>
      <c r="M53" s="516">
        <f t="shared" ca="1" si="13"/>
        <v>0.22765303018257343</v>
      </c>
      <c r="N53" s="516">
        <f t="shared" ca="1" si="13"/>
        <v>0.24309716612934551</v>
      </c>
      <c r="O53" s="516">
        <f t="shared" ca="1" si="13"/>
        <v>0.25026194448839445</v>
      </c>
      <c r="P53" s="516">
        <f t="shared" ca="1" si="13"/>
        <v>0.2583924000826936</v>
      </c>
      <c r="Q53" s="500"/>
      <c r="R53" s="501">
        <f t="shared" si="0"/>
        <v>1</v>
      </c>
      <c r="S53" s="502">
        <v>1</v>
      </c>
      <c r="T53" s="477"/>
      <c r="U53" s="477"/>
      <c r="V53" s="503"/>
      <c r="W53" s="503"/>
      <c r="X53" s="503"/>
      <c r="Y53" s="503"/>
      <c r="Z53" s="503"/>
      <c r="AA53" s="503"/>
      <c r="AB53" s="503"/>
      <c r="AC53" s="503"/>
    </row>
    <row r="54" spans="1:29">
      <c r="A54" s="477"/>
      <c r="B54" s="477"/>
      <c r="C54" s="475" t="s">
        <v>1700</v>
      </c>
      <c r="D54" s="475"/>
      <c r="E54" s="480"/>
      <c r="F54" s="480"/>
      <c r="G54" s="480">
        <f>'DCF - Financials'!H56</f>
        <v>20.764000000000042</v>
      </c>
      <c r="H54" s="480">
        <f>'DCF - Financials'!I56</f>
        <v>68.208000000000041</v>
      </c>
      <c r="I54" s="480">
        <f>'DCF - Financials'!J56</f>
        <v>63.499000000000038</v>
      </c>
      <c r="J54" s="480">
        <f>'DCF - Financials'!K56</f>
        <v>228.08399999999983</v>
      </c>
      <c r="K54" s="480">
        <f>'DCF - Financials'!L56</f>
        <v>104.35564190156782</v>
      </c>
      <c r="L54" s="480">
        <f>'DCF - Financials'!M56</f>
        <v>62.177476730226687</v>
      </c>
      <c r="M54" s="480">
        <f>'DCF - Financials'!N56</f>
        <v>96.95328784773379</v>
      </c>
      <c r="N54" s="480">
        <f>'DCF - Financials'!O56</f>
        <v>164.34007790514497</v>
      </c>
      <c r="O54" s="480">
        <f>'DCF - Financials'!P56</f>
        <v>244.68758901803909</v>
      </c>
      <c r="P54" s="480">
        <f>'DCF - Financials'!Q56</f>
        <v>256.00403665939569</v>
      </c>
      <c r="Q54" s="500"/>
      <c r="R54" s="501">
        <f t="shared" si="0"/>
        <v>1</v>
      </c>
      <c r="S54" s="502">
        <v>1</v>
      </c>
      <c r="T54" s="477"/>
      <c r="U54" s="477"/>
      <c r="V54" s="503"/>
      <c r="W54" s="503"/>
      <c r="X54" s="503"/>
      <c r="Y54" s="503"/>
      <c r="Z54" s="503"/>
      <c r="AA54" s="503"/>
      <c r="AB54" s="503"/>
      <c r="AC54" s="503"/>
    </row>
    <row r="55" spans="1:29">
      <c r="A55" s="477"/>
      <c r="B55" s="477"/>
      <c r="C55" s="475" t="s">
        <v>1701</v>
      </c>
      <c r="D55" s="475"/>
      <c r="E55" s="480"/>
      <c r="F55" s="480"/>
      <c r="G55" s="480">
        <v>0</v>
      </c>
      <c r="H55" s="480">
        <v>0</v>
      </c>
      <c r="I55" s="480">
        <v>0</v>
      </c>
      <c r="J55" s="480">
        <v>0</v>
      </c>
      <c r="K55" s="480">
        <f ca="1">'LBO - Financials'!H89</f>
        <v>0</v>
      </c>
      <c r="L55" s="480">
        <f ca="1">'LBO - Financials'!I89</f>
        <v>0</v>
      </c>
      <c r="M55" s="480">
        <f ca="1">'LBO - Financials'!J89</f>
        <v>0</v>
      </c>
      <c r="N55" s="480">
        <f ca="1">'LBO - Financials'!K89</f>
        <v>0</v>
      </c>
      <c r="O55" s="480">
        <f ca="1">'LBO - Financials'!L89</f>
        <v>0</v>
      </c>
      <c r="P55" s="480">
        <f ca="1">'LBO - Financials'!M89</f>
        <v>0</v>
      </c>
      <c r="Q55" s="500"/>
      <c r="R55" s="501">
        <f t="shared" si="0"/>
        <v>1</v>
      </c>
      <c r="S55" s="502">
        <v>1</v>
      </c>
      <c r="T55" s="477"/>
      <c r="U55" s="477"/>
      <c r="V55" s="503"/>
      <c r="W55" s="503"/>
      <c r="X55" s="503"/>
      <c r="Y55" s="503"/>
      <c r="Z55" s="503"/>
      <c r="AA55" s="503"/>
      <c r="AB55" s="503"/>
      <c r="AC55" s="503"/>
    </row>
    <row r="56" spans="1:29">
      <c r="A56" s="477"/>
      <c r="B56" s="477"/>
      <c r="C56" s="690" t="s">
        <v>1702</v>
      </c>
      <c r="D56" s="690"/>
      <c r="E56" s="519"/>
      <c r="F56" s="519"/>
      <c r="G56" s="519">
        <f t="shared" ref="G56:P56" si="14">SUM(G54:G55)</f>
        <v>20.764000000000042</v>
      </c>
      <c r="H56" s="519">
        <f t="shared" si="14"/>
        <v>68.208000000000041</v>
      </c>
      <c r="I56" s="519">
        <f t="shared" si="14"/>
        <v>63.499000000000038</v>
      </c>
      <c r="J56" s="519">
        <f t="shared" si="14"/>
        <v>228.08399999999983</v>
      </c>
      <c r="K56" s="519">
        <f t="shared" ca="1" si="14"/>
        <v>104.35564190156782</v>
      </c>
      <c r="L56" s="519">
        <f t="shared" ca="1" si="14"/>
        <v>62.177476730226687</v>
      </c>
      <c r="M56" s="519">
        <f t="shared" ca="1" si="14"/>
        <v>96.95328784773379</v>
      </c>
      <c r="N56" s="519">
        <f t="shared" ca="1" si="14"/>
        <v>164.34007790514497</v>
      </c>
      <c r="O56" s="519">
        <f t="shared" ca="1" si="14"/>
        <v>244.68758901803909</v>
      </c>
      <c r="P56" s="519">
        <f t="shared" ca="1" si="14"/>
        <v>256.00403665939569</v>
      </c>
      <c r="Q56" s="500"/>
      <c r="R56" s="501">
        <f t="shared" si="0"/>
        <v>1</v>
      </c>
      <c r="S56" s="502">
        <v>1</v>
      </c>
      <c r="T56" s="477"/>
      <c r="U56" s="477"/>
      <c r="V56" s="503"/>
      <c r="W56" s="503"/>
      <c r="X56" s="503"/>
      <c r="Y56" s="503"/>
      <c r="Z56" s="503"/>
      <c r="AA56" s="503"/>
      <c r="AB56" s="503"/>
      <c r="AC56" s="503"/>
    </row>
    <row r="57" spans="1:29">
      <c r="A57" s="477"/>
      <c r="B57" s="477"/>
      <c r="C57" s="478" t="s">
        <v>1703</v>
      </c>
      <c r="D57" s="475"/>
      <c r="E57" s="515"/>
      <c r="F57" s="515"/>
      <c r="G57" s="515">
        <f t="shared" ref="G57:P57" si="15">IFERROR(G56/G52,0)</f>
        <v>3.5665822715233449E-2</v>
      </c>
      <c r="H57" s="515">
        <f t="shared" si="15"/>
        <v>8.9640036272358156E-2</v>
      </c>
      <c r="I57" s="515">
        <f t="shared" si="15"/>
        <v>7.0280895580866948E-2</v>
      </c>
      <c r="J57" s="516">
        <f t="shared" si="15"/>
        <v>0.21684492741222428</v>
      </c>
      <c r="K57" s="516">
        <f t="shared" ca="1" si="15"/>
        <v>8.164094704851893E-2</v>
      </c>
      <c r="L57" s="516">
        <f t="shared" ca="1" si="15"/>
        <v>3.9803296998862939E-2</v>
      </c>
      <c r="M57" s="516">
        <f t="shared" ca="1" si="15"/>
        <v>5.0556017409659093E-2</v>
      </c>
      <c r="N57" s="516">
        <f t="shared" ca="1" si="15"/>
        <v>6.8936419938587776E-2</v>
      </c>
      <c r="O57" s="516">
        <f t="shared" ca="1" si="15"/>
        <v>8.2094897780047915E-2</v>
      </c>
      <c r="P57" s="516">
        <f t="shared" ca="1" si="15"/>
        <v>6.825507547913344E-2</v>
      </c>
      <c r="Q57" s="500"/>
      <c r="R57" s="501">
        <f t="shared" si="0"/>
        <v>1</v>
      </c>
      <c r="S57" s="502">
        <v>1</v>
      </c>
      <c r="T57" s="477"/>
      <c r="U57" s="477"/>
      <c r="V57" s="503"/>
      <c r="W57" s="503"/>
      <c r="X57" s="503"/>
      <c r="Y57" s="503"/>
      <c r="Z57" s="503"/>
      <c r="AA57" s="503"/>
      <c r="AB57" s="503"/>
      <c r="AC57" s="503"/>
    </row>
    <row r="58" spans="1:29" ht="2.85" customHeight="1">
      <c r="A58" s="477"/>
      <c r="B58" s="477"/>
      <c r="C58" s="478"/>
      <c r="D58" s="475"/>
      <c r="E58" s="517"/>
      <c r="F58" s="517"/>
      <c r="G58" s="517"/>
      <c r="H58" s="517"/>
      <c r="I58" s="517"/>
      <c r="J58" s="518"/>
      <c r="K58" s="518"/>
      <c r="L58" s="518"/>
      <c r="M58" s="518"/>
      <c r="N58" s="518"/>
      <c r="O58" s="518"/>
      <c r="P58" s="518"/>
      <c r="Q58" s="500"/>
      <c r="R58" s="501">
        <f t="shared" si="0"/>
        <v>0</v>
      </c>
      <c r="S58" s="502">
        <v>0</v>
      </c>
      <c r="T58" s="477"/>
      <c r="U58" s="477"/>
      <c r="V58" s="503"/>
      <c r="W58" s="503"/>
      <c r="X58" s="503"/>
      <c r="Y58" s="503"/>
      <c r="Z58" s="503"/>
      <c r="AA58" s="503"/>
      <c r="AB58" s="503"/>
      <c r="AC58" s="503"/>
    </row>
    <row r="59" spans="1:29">
      <c r="A59" s="477"/>
      <c r="B59" s="477"/>
      <c r="C59" s="475" t="s">
        <v>1704</v>
      </c>
      <c r="D59" s="475"/>
      <c r="E59" s="480"/>
      <c r="F59" s="480"/>
      <c r="G59" s="480">
        <f>'DCF - Financials'!H33</f>
        <v>-8.4909999999999997</v>
      </c>
      <c r="H59" s="480">
        <f>'DCF - Financials'!I33</f>
        <v>437.83699999999999</v>
      </c>
      <c r="I59" s="480">
        <f>'DCF - Financials'!J33</f>
        <v>-3.4060000000000001</v>
      </c>
      <c r="J59" s="480">
        <f>'DCF - Financials'!K33</f>
        <v>-7.17</v>
      </c>
      <c r="K59" s="480">
        <f ca="1">'LBO - Financials'!H17</f>
        <v>-5.8176801207091211</v>
      </c>
      <c r="L59" s="480">
        <f ca="1">'LBO - Financials'!I17</f>
        <v>39.998578260979578</v>
      </c>
      <c r="M59" s="480">
        <f ca="1">'LBO - Financials'!J17</f>
        <v>56.913006823518877</v>
      </c>
      <c r="N59" s="480">
        <f ca="1">'LBO - Financials'!K17</f>
        <v>68.202838371435988</v>
      </c>
      <c r="O59" s="480">
        <f ca="1">'LBO - Financials'!L17</f>
        <v>68.463282371269841</v>
      </c>
      <c r="P59" s="480">
        <f ca="1">'LBO - Financials'!M17</f>
        <v>79.936164229988108</v>
      </c>
      <c r="Q59" s="500"/>
      <c r="R59" s="501">
        <f t="shared" si="0"/>
        <v>1</v>
      </c>
      <c r="S59" s="502">
        <v>1</v>
      </c>
      <c r="T59" s="477"/>
      <c r="U59" s="477"/>
      <c r="V59" s="503"/>
      <c r="W59" s="503"/>
      <c r="X59" s="503"/>
      <c r="Y59" s="503"/>
      <c r="Z59" s="503"/>
      <c r="AA59" s="503"/>
      <c r="AB59" s="503"/>
      <c r="AC59" s="503"/>
    </row>
    <row r="60" spans="1:29">
      <c r="A60" s="477"/>
      <c r="B60" s="477"/>
      <c r="C60" s="475" t="s">
        <v>1705</v>
      </c>
      <c r="D60" s="475"/>
      <c r="E60" s="480"/>
      <c r="F60" s="480"/>
      <c r="G60" s="480">
        <f>'DCF - Outputs'!I35</f>
        <v>-2850.6510000000003</v>
      </c>
      <c r="H60" s="480">
        <f>'DCF - Outputs'!J35</f>
        <v>-12.484</v>
      </c>
      <c r="I60" s="480">
        <f>'DCF - Outputs'!K35</f>
        <v>-86.052999999999997</v>
      </c>
      <c r="J60" s="480">
        <f>'DCF - Outputs'!L35</f>
        <v>-24.755000000000003</v>
      </c>
      <c r="K60" s="480">
        <f>'DCF - Outputs'!M35</f>
        <v>-63.90270997617155</v>
      </c>
      <c r="L60" s="480">
        <f>'DCF - Outputs'!N35</f>
        <v>-62.248755254759317</v>
      </c>
      <c r="M60" s="480">
        <f>'DCF - Outputs'!O35</f>
        <v>-78.35484834373824</v>
      </c>
      <c r="N60" s="480">
        <f>'DCF - Outputs'!P35</f>
        <v>-94.601179856317813</v>
      </c>
      <c r="O60" s="480">
        <f>'DCF - Outputs'!Q35</f>
        <v>-125.00295338450766</v>
      </c>
      <c r="P60" s="480">
        <f>'DCF - Outputs'!R35</f>
        <v>-153.44227917202954</v>
      </c>
      <c r="Q60" s="480"/>
      <c r="R60" s="501">
        <f t="shared" si="0"/>
        <v>1</v>
      </c>
      <c r="S60" s="502">
        <v>1</v>
      </c>
      <c r="T60" s="477"/>
      <c r="U60" s="477"/>
      <c r="V60" s="503"/>
      <c r="W60" s="503"/>
      <c r="X60" s="503"/>
      <c r="Y60" s="503"/>
      <c r="Z60" s="503"/>
      <c r="AA60" s="503"/>
      <c r="AB60" s="503"/>
      <c r="AC60" s="503"/>
    </row>
    <row r="61" spans="1:29">
      <c r="A61" s="477"/>
      <c r="B61" s="477"/>
      <c r="C61" s="475" t="s">
        <v>974</v>
      </c>
      <c r="D61" s="475"/>
      <c r="E61" s="480"/>
      <c r="F61" s="480"/>
      <c r="G61" s="480">
        <f>'DCF - Outputs'!I34</f>
        <v>34.411999999999999</v>
      </c>
      <c r="H61" s="480">
        <f>'DCF - Outputs'!J34</f>
        <v>-51.96</v>
      </c>
      <c r="I61" s="480">
        <f>'DCF - Outputs'!K34</f>
        <v>-28.863000000000003</v>
      </c>
      <c r="J61" s="480">
        <f>'DCF - Outputs'!L34</f>
        <v>12.142000000000003</v>
      </c>
      <c r="K61" s="480">
        <f>'DCF - Outputs'!M34</f>
        <v>39.85654925390898</v>
      </c>
      <c r="L61" s="480">
        <f>'DCF - Outputs'!N34</f>
        <v>75.061338922483571</v>
      </c>
      <c r="M61" s="480">
        <f>'DCF - Outputs'!O34</f>
        <v>25.40644058204715</v>
      </c>
      <c r="N61" s="480">
        <f>'DCF - Outputs'!P34</f>
        <v>71.676456754127557</v>
      </c>
      <c r="O61" s="480">
        <f>'DCF - Outputs'!Q34</f>
        <v>79.348602157975606</v>
      </c>
      <c r="P61" s="480">
        <f>'DCF - Outputs'!R34</f>
        <v>146.0264091555282</v>
      </c>
      <c r="Q61" s="480"/>
      <c r="R61" s="501">
        <f t="shared" si="0"/>
        <v>1</v>
      </c>
      <c r="S61" s="502">
        <v>1</v>
      </c>
      <c r="T61" s="477"/>
      <c r="U61" s="477"/>
      <c r="V61" s="503"/>
      <c r="W61" s="503"/>
      <c r="X61" s="503"/>
      <c r="Y61" s="503"/>
      <c r="Z61" s="503"/>
      <c r="AA61" s="503"/>
      <c r="AB61" s="503"/>
      <c r="AC61" s="503"/>
    </row>
    <row r="62" spans="1:29">
      <c r="A62" s="512"/>
      <c r="B62" s="512"/>
      <c r="C62" s="690" t="s">
        <v>1706</v>
      </c>
      <c r="D62" s="519"/>
      <c r="E62" s="519"/>
      <c r="F62" s="519"/>
      <c r="G62" s="519">
        <f t="shared" ref="G62:P62" si="16">G56+SUM(G59:G61)</f>
        <v>-2803.9660000000003</v>
      </c>
      <c r="H62" s="519">
        <f t="shared" si="16"/>
        <v>441.60100000000006</v>
      </c>
      <c r="I62" s="519">
        <f t="shared" si="16"/>
        <v>-54.822999999999965</v>
      </c>
      <c r="J62" s="519">
        <f t="shared" si="16"/>
        <v>208.30099999999982</v>
      </c>
      <c r="K62" s="519">
        <f t="shared" ca="1" si="16"/>
        <v>74.491801058596124</v>
      </c>
      <c r="L62" s="519">
        <f t="shared" ca="1" si="16"/>
        <v>114.98863865893051</v>
      </c>
      <c r="M62" s="519">
        <f t="shared" ca="1" si="16"/>
        <v>100.91788690956157</v>
      </c>
      <c r="N62" s="519">
        <f t="shared" ca="1" si="16"/>
        <v>209.61819317439068</v>
      </c>
      <c r="O62" s="519">
        <f t="shared" ca="1" si="16"/>
        <v>267.49652016277685</v>
      </c>
      <c r="P62" s="519">
        <f t="shared" ca="1" si="16"/>
        <v>328.52433087288244</v>
      </c>
      <c r="Q62" s="500"/>
      <c r="R62" s="501">
        <f t="shared" si="0"/>
        <v>1</v>
      </c>
      <c r="S62" s="502">
        <v>1</v>
      </c>
      <c r="T62" s="507"/>
      <c r="U62" s="507"/>
      <c r="V62" s="503"/>
      <c r="W62" s="503"/>
      <c r="X62" s="503"/>
      <c r="Y62" s="503"/>
      <c r="Z62" s="503"/>
      <c r="AA62" s="503"/>
      <c r="AB62" s="503"/>
      <c r="AC62" s="503"/>
    </row>
    <row r="63" spans="1:29">
      <c r="A63" s="506"/>
      <c r="B63" s="512"/>
      <c r="C63" s="507" t="s">
        <v>1707</v>
      </c>
      <c r="D63" s="483"/>
      <c r="E63" s="483"/>
      <c r="F63" s="483"/>
      <c r="G63" s="483">
        <f>'DCF - Capital Structure'!H64</f>
        <v>0</v>
      </c>
      <c r="H63" s="483">
        <f>'DCF - Capital Structure'!I64</f>
        <v>-24.574000000000002</v>
      </c>
      <c r="I63" s="483">
        <f>'DCF - Capital Structure'!J64</f>
        <v>-24.062999999999999</v>
      </c>
      <c r="J63" s="483">
        <f>'DCF - Capital Structure'!K64</f>
        <v>-21.533999999999999</v>
      </c>
      <c r="K63" s="480">
        <f ca="1">'LBO - Financials'!H135</f>
        <v>0</v>
      </c>
      <c r="L63" s="480">
        <f ca="1">'LBO - Financials'!I135</f>
        <v>0</v>
      </c>
      <c r="M63" s="480">
        <f ca="1">'LBO - Financials'!J135</f>
        <v>0</v>
      </c>
      <c r="N63" s="480">
        <f ca="1">'LBO - Financials'!K135</f>
        <v>0</v>
      </c>
      <c r="O63" s="480">
        <f ca="1">'LBO - Financials'!L135</f>
        <v>0</v>
      </c>
      <c r="P63" s="480">
        <f ca="1">'LBO - Financials'!M135</f>
        <v>0</v>
      </c>
      <c r="Q63" s="500"/>
      <c r="R63" s="501">
        <f t="shared" si="0"/>
        <v>1</v>
      </c>
      <c r="S63" s="502">
        <v>1</v>
      </c>
      <c r="T63" s="507"/>
      <c r="U63" s="507"/>
      <c r="V63" s="503"/>
      <c r="W63" s="503"/>
      <c r="X63" s="503"/>
      <c r="Y63" s="503"/>
      <c r="Z63" s="503"/>
      <c r="AA63" s="503"/>
      <c r="AB63" s="503"/>
      <c r="AC63" s="503"/>
    </row>
    <row r="64" spans="1:29">
      <c r="A64" s="512"/>
      <c r="B64" s="512"/>
      <c r="C64" s="507" t="s">
        <v>1708</v>
      </c>
      <c r="D64" s="483"/>
      <c r="E64" s="483"/>
      <c r="F64" s="483">
        <v>0</v>
      </c>
      <c r="G64" s="483">
        <v>0</v>
      </c>
      <c r="H64" s="483">
        <v>0</v>
      </c>
      <c r="I64" s="483">
        <v>0</v>
      </c>
      <c r="J64" s="483">
        <v>0</v>
      </c>
      <c r="K64" s="480">
        <f ca="1">-'LBO - Financials'!H136</f>
        <v>0</v>
      </c>
      <c r="L64" s="480">
        <f ca="1">-'LBO - Financials'!I136</f>
        <v>0</v>
      </c>
      <c r="M64" s="480">
        <f ca="1">-'LBO - Financials'!J136</f>
        <v>0</v>
      </c>
      <c r="N64" s="480">
        <f ca="1">-'LBO - Financials'!K136</f>
        <v>0</v>
      </c>
      <c r="O64" s="480">
        <f ca="1">-'LBO - Financials'!L136</f>
        <v>0</v>
      </c>
      <c r="P64" s="480">
        <f ca="1">-'LBO - Financials'!M136</f>
        <v>0</v>
      </c>
      <c r="Q64" s="500"/>
      <c r="R64" s="501">
        <f t="shared" si="0"/>
        <v>1</v>
      </c>
      <c r="S64" s="502">
        <v>1</v>
      </c>
      <c r="T64" s="507"/>
      <c r="U64" s="507"/>
      <c r="V64" s="503"/>
      <c r="W64" s="503"/>
      <c r="X64" s="503"/>
      <c r="Y64" s="503"/>
      <c r="Z64" s="503"/>
      <c r="AA64" s="503"/>
      <c r="AB64" s="503"/>
      <c r="AC64" s="503"/>
    </row>
    <row r="65" spans="1:29">
      <c r="A65" s="512"/>
      <c r="B65" s="512"/>
      <c r="C65" s="507" t="s">
        <v>1709</v>
      </c>
      <c r="D65" s="483"/>
      <c r="E65" s="483"/>
      <c r="F65" s="483">
        <v>0</v>
      </c>
      <c r="G65" s="483">
        <v>0</v>
      </c>
      <c r="H65" s="483">
        <v>0</v>
      </c>
      <c r="I65" s="483">
        <v>0</v>
      </c>
      <c r="J65" s="483">
        <v>0</v>
      </c>
      <c r="K65" s="480">
        <f ca="1">-'LBO - Financials'!H137</f>
        <v>0</v>
      </c>
      <c r="L65" s="480">
        <f ca="1">-'LBO - Financials'!I137</f>
        <v>0</v>
      </c>
      <c r="M65" s="480">
        <f ca="1">-'LBO - Financials'!J137</f>
        <v>0</v>
      </c>
      <c r="N65" s="480">
        <f ca="1">-'LBO - Financials'!K137</f>
        <v>0</v>
      </c>
      <c r="O65" s="480">
        <f ca="1">-'LBO - Financials'!L137</f>
        <v>0</v>
      </c>
      <c r="P65" s="480">
        <f ca="1">-'LBO - Financials'!M137</f>
        <v>0</v>
      </c>
      <c r="Q65" s="500"/>
      <c r="R65" s="501">
        <f t="shared" si="0"/>
        <v>1</v>
      </c>
      <c r="S65" s="502">
        <v>1</v>
      </c>
      <c r="T65" s="507"/>
      <c r="U65" s="507"/>
      <c r="V65" s="503"/>
      <c r="W65" s="503"/>
      <c r="X65" s="503"/>
      <c r="Y65" s="503"/>
      <c r="Z65" s="503"/>
      <c r="AA65" s="503"/>
      <c r="AB65" s="503"/>
      <c r="AC65" s="503"/>
    </row>
    <row r="66" spans="1:29">
      <c r="A66" s="512"/>
      <c r="B66" s="512"/>
      <c r="C66" s="690" t="s">
        <v>1710</v>
      </c>
      <c r="D66" s="519"/>
      <c r="E66" s="519">
        <f t="shared" ref="E66:P66" si="17">SUM(E63:E65)</f>
        <v>0</v>
      </c>
      <c r="F66" s="519">
        <f t="shared" si="17"/>
        <v>0</v>
      </c>
      <c r="G66" s="519">
        <f t="shared" si="17"/>
        <v>0</v>
      </c>
      <c r="H66" s="519">
        <f t="shared" si="17"/>
        <v>-24.574000000000002</v>
      </c>
      <c r="I66" s="519">
        <f t="shared" si="17"/>
        <v>-24.062999999999999</v>
      </c>
      <c r="J66" s="519">
        <f t="shared" si="17"/>
        <v>-21.533999999999999</v>
      </c>
      <c r="K66" s="519">
        <f t="shared" ca="1" si="17"/>
        <v>0</v>
      </c>
      <c r="L66" s="519">
        <f t="shared" ca="1" si="17"/>
        <v>0</v>
      </c>
      <c r="M66" s="519">
        <f t="shared" ca="1" si="17"/>
        <v>0</v>
      </c>
      <c r="N66" s="519">
        <f t="shared" ca="1" si="17"/>
        <v>0</v>
      </c>
      <c r="O66" s="519">
        <f t="shared" ca="1" si="17"/>
        <v>0</v>
      </c>
      <c r="P66" s="519">
        <f t="shared" ca="1" si="17"/>
        <v>0</v>
      </c>
      <c r="Q66" s="500"/>
      <c r="R66" s="501">
        <f t="shared" si="0"/>
        <v>1</v>
      </c>
      <c r="S66" s="502">
        <v>1</v>
      </c>
      <c r="T66" s="507"/>
      <c r="U66" s="507"/>
      <c r="V66" s="503"/>
      <c r="W66" s="503"/>
      <c r="X66" s="503"/>
      <c r="Y66" s="503"/>
      <c r="Z66" s="503"/>
      <c r="AA66" s="503"/>
      <c r="AB66" s="503"/>
      <c r="AC66" s="503"/>
    </row>
    <row r="67" spans="1:29" ht="4.5" customHeight="1">
      <c r="A67" s="512"/>
      <c r="B67" s="512"/>
      <c r="C67" s="707"/>
      <c r="D67" s="507"/>
      <c r="E67" s="507"/>
      <c r="F67" s="507"/>
      <c r="G67" s="507"/>
      <c r="H67" s="507"/>
      <c r="I67" s="507"/>
      <c r="J67" s="475"/>
      <c r="K67" s="475"/>
      <c r="L67" s="475"/>
      <c r="M67" s="475"/>
      <c r="N67" s="475"/>
      <c r="O67" s="475"/>
      <c r="P67" s="475"/>
      <c r="Q67" s="500"/>
      <c r="R67" s="501">
        <f t="shared" si="0"/>
        <v>0</v>
      </c>
      <c r="S67" s="502">
        <v>0</v>
      </c>
      <c r="T67" s="507"/>
      <c r="U67" s="507"/>
      <c r="V67" s="503"/>
      <c r="W67" s="503"/>
      <c r="X67" s="503"/>
      <c r="Y67" s="503"/>
      <c r="Z67" s="503"/>
      <c r="AA67" s="503"/>
      <c r="AB67" s="503"/>
      <c r="AC67" s="503"/>
    </row>
    <row r="68" spans="1:29">
      <c r="A68" s="512"/>
      <c r="B68" s="512"/>
      <c r="C68" s="656" t="s">
        <v>1694</v>
      </c>
      <c r="D68" s="708"/>
      <c r="E68" s="709"/>
      <c r="F68" s="709"/>
      <c r="G68" s="709"/>
      <c r="H68" s="709"/>
      <c r="I68" s="709"/>
      <c r="J68" s="710">
        <f t="shared" ref="J68:P68" ca="1" si="18">IFERROR(J41/J56,"NM")</f>
        <v>0</v>
      </c>
      <c r="K68" s="710">
        <f t="shared" ca="1" si="18"/>
        <v>0</v>
      </c>
      <c r="L68" s="710">
        <f t="shared" ca="1" si="18"/>
        <v>0</v>
      </c>
      <c r="M68" s="710">
        <f t="shared" ca="1" si="18"/>
        <v>0</v>
      </c>
      <c r="N68" s="710">
        <f t="shared" ca="1" si="18"/>
        <v>0</v>
      </c>
      <c r="O68" s="710">
        <f t="shared" ca="1" si="18"/>
        <v>0</v>
      </c>
      <c r="P68" s="710">
        <f t="shared" ca="1" si="18"/>
        <v>0</v>
      </c>
      <c r="Q68" s="500"/>
      <c r="R68" s="501">
        <f t="shared" si="0"/>
        <v>1</v>
      </c>
      <c r="S68" s="502">
        <v>1</v>
      </c>
      <c r="T68" s="507"/>
      <c r="U68" s="507"/>
      <c r="V68" s="503"/>
      <c r="W68" s="503"/>
      <c r="X68" s="503"/>
      <c r="Y68" s="503"/>
      <c r="Z68" s="503"/>
      <c r="AA68" s="503"/>
      <c r="AB68" s="503"/>
      <c r="AC68" s="503"/>
    </row>
    <row r="69" spans="1:29">
      <c r="A69" s="512"/>
      <c r="B69" s="512"/>
      <c r="C69" s="656" t="s">
        <v>1711</v>
      </c>
      <c r="D69" s="708"/>
      <c r="E69" s="709"/>
      <c r="F69" s="709"/>
      <c r="G69" s="709"/>
      <c r="H69" s="709"/>
      <c r="I69" s="709"/>
      <c r="J69" s="710"/>
      <c r="K69" s="710" t="e">
        <f t="shared" ref="K69:P69" ca="1" si="19">-K56/K66</f>
        <v>#DIV/0!</v>
      </c>
      <c r="L69" s="710" t="e">
        <f t="shared" ca="1" si="19"/>
        <v>#DIV/0!</v>
      </c>
      <c r="M69" s="710" t="e">
        <f t="shared" ca="1" si="19"/>
        <v>#DIV/0!</v>
      </c>
      <c r="N69" s="710" t="e">
        <f t="shared" ca="1" si="19"/>
        <v>#DIV/0!</v>
      </c>
      <c r="O69" s="710" t="e">
        <f t="shared" ca="1" si="19"/>
        <v>#DIV/0!</v>
      </c>
      <c r="P69" s="710" t="e">
        <f t="shared" ca="1" si="19"/>
        <v>#DIV/0!</v>
      </c>
      <c r="Q69" s="500"/>
      <c r="R69" s="501">
        <f t="shared" si="0"/>
        <v>1</v>
      </c>
      <c r="S69" s="502">
        <v>1</v>
      </c>
      <c r="T69" s="507"/>
      <c r="U69" s="507"/>
      <c r="V69" s="503"/>
      <c r="W69" s="503"/>
      <c r="X69" s="503"/>
      <c r="Y69" s="503"/>
      <c r="Z69" s="503"/>
      <c r="AA69" s="503"/>
      <c r="AB69" s="503"/>
      <c r="AC69" s="503"/>
    </row>
    <row r="70" spans="1:29">
      <c r="A70" s="512"/>
      <c r="B70" s="512"/>
      <c r="C70" s="656" t="s">
        <v>1712</v>
      </c>
      <c r="D70" s="708"/>
      <c r="E70" s="710"/>
      <c r="F70" s="710"/>
      <c r="G70" s="710"/>
      <c r="H70" s="710"/>
      <c r="I70" s="710"/>
      <c r="J70" s="710"/>
      <c r="K70" s="710" t="str">
        <f t="shared" ref="K70:P70" ca="1" si="20">IFERROR(IF(K62&lt;0,"NM",MAX(-K62/K66,0)),"NM")</f>
        <v>NM</v>
      </c>
      <c r="L70" s="710" t="str">
        <f t="shared" ca="1" si="20"/>
        <v>NM</v>
      </c>
      <c r="M70" s="710" t="str">
        <f t="shared" ca="1" si="20"/>
        <v>NM</v>
      </c>
      <c r="N70" s="710" t="str">
        <f t="shared" ca="1" si="20"/>
        <v>NM</v>
      </c>
      <c r="O70" s="710" t="str">
        <f t="shared" ca="1" si="20"/>
        <v>NM</v>
      </c>
      <c r="P70" s="710" t="str">
        <f t="shared" ca="1" si="20"/>
        <v>NM</v>
      </c>
      <c r="Q70" s="500"/>
      <c r="R70" s="501">
        <f t="shared" si="0"/>
        <v>1</v>
      </c>
      <c r="S70" s="502">
        <v>1</v>
      </c>
      <c r="T70" s="507"/>
      <c r="U70" s="507"/>
      <c r="V70" s="503"/>
      <c r="W70" s="503"/>
      <c r="X70" s="503"/>
      <c r="Y70" s="503"/>
      <c r="Z70" s="503"/>
      <c r="AA70" s="503"/>
      <c r="AB70" s="503"/>
      <c r="AC70" s="503"/>
    </row>
    <row r="71" spans="1:29">
      <c r="A71" s="512"/>
      <c r="B71" s="512"/>
      <c r="C71" s="656" t="s">
        <v>1713</v>
      </c>
      <c r="D71" s="708"/>
      <c r="E71" s="710"/>
      <c r="F71" s="710"/>
      <c r="G71" s="710"/>
      <c r="H71" s="710"/>
      <c r="I71" s="710"/>
      <c r="J71" s="710"/>
      <c r="K71" s="710" t="str">
        <f t="shared" ref="K71:P71" ca="1" si="21">IFERROR(IF(K62&lt;0,"NM",MAX(-K62/SUM(K63,K64),0)),"NM")</f>
        <v>NM</v>
      </c>
      <c r="L71" s="710" t="str">
        <f t="shared" ca="1" si="21"/>
        <v>NM</v>
      </c>
      <c r="M71" s="710" t="str">
        <f t="shared" ca="1" si="21"/>
        <v>NM</v>
      </c>
      <c r="N71" s="710" t="str">
        <f t="shared" ca="1" si="21"/>
        <v>NM</v>
      </c>
      <c r="O71" s="710" t="str">
        <f t="shared" ca="1" si="21"/>
        <v>NM</v>
      </c>
      <c r="P71" s="710" t="str">
        <f t="shared" ca="1" si="21"/>
        <v>NM</v>
      </c>
      <c r="Q71" s="500"/>
      <c r="R71" s="501">
        <f t="shared" si="0"/>
        <v>1</v>
      </c>
      <c r="S71" s="502">
        <v>1</v>
      </c>
      <c r="T71" s="507"/>
      <c r="U71" s="507"/>
      <c r="V71" s="503"/>
      <c r="W71" s="503"/>
      <c r="X71" s="503"/>
      <c r="Y71" s="503"/>
      <c r="Z71" s="503"/>
      <c r="AA71" s="503"/>
      <c r="AB71" s="503"/>
      <c r="AC71" s="503"/>
    </row>
    <row r="72" spans="1:29" ht="5.85" customHeight="1">
      <c r="A72" s="512"/>
      <c r="B72" s="512"/>
      <c r="C72" s="707"/>
      <c r="D72" s="507"/>
      <c r="E72" s="507"/>
      <c r="F72" s="507"/>
      <c r="G72" s="507"/>
      <c r="H72" s="507"/>
      <c r="I72" s="507"/>
      <c r="J72" s="475"/>
      <c r="K72" s="475"/>
      <c r="L72" s="475"/>
      <c r="M72" s="475"/>
      <c r="N72" s="475"/>
      <c r="O72" s="475"/>
      <c r="P72" s="475"/>
      <c r="Q72" s="500"/>
      <c r="R72" s="501">
        <f t="shared" ref="R72:R120" si="22">IF(NOT(ISBLANK(C72)), 1, 0)</f>
        <v>0</v>
      </c>
      <c r="S72" s="502">
        <v>0</v>
      </c>
      <c r="T72" s="507"/>
      <c r="U72" s="507"/>
      <c r="V72" s="503"/>
      <c r="W72" s="503"/>
      <c r="X72" s="503"/>
      <c r="Y72" s="503"/>
      <c r="Z72" s="503"/>
      <c r="AA72" s="503"/>
      <c r="AB72" s="503"/>
      <c r="AC72" s="503"/>
    </row>
    <row r="73" spans="1:29">
      <c r="A73" s="512"/>
      <c r="B73" s="512"/>
      <c r="C73" s="711" t="s">
        <v>1714</v>
      </c>
      <c r="D73" s="712"/>
      <c r="E73" s="712">
        <f t="shared" ref="E73:P73" si="23">E62+E66</f>
        <v>0</v>
      </c>
      <c r="F73" s="712">
        <f t="shared" si="23"/>
        <v>0</v>
      </c>
      <c r="G73" s="712">
        <f t="shared" si="23"/>
        <v>-2803.9660000000003</v>
      </c>
      <c r="H73" s="712">
        <f t="shared" si="23"/>
        <v>417.02700000000004</v>
      </c>
      <c r="I73" s="712">
        <f t="shared" si="23"/>
        <v>-78.885999999999967</v>
      </c>
      <c r="J73" s="712">
        <f t="shared" si="23"/>
        <v>186.76699999999983</v>
      </c>
      <c r="K73" s="712">
        <f t="shared" ca="1" si="23"/>
        <v>74.491801058596124</v>
      </c>
      <c r="L73" s="712">
        <f t="shared" ca="1" si="23"/>
        <v>114.98863865893051</v>
      </c>
      <c r="M73" s="712">
        <f t="shared" ca="1" si="23"/>
        <v>100.91788690956157</v>
      </c>
      <c r="N73" s="712">
        <f t="shared" ca="1" si="23"/>
        <v>209.61819317439068</v>
      </c>
      <c r="O73" s="712">
        <f t="shared" ca="1" si="23"/>
        <v>267.49652016277685</v>
      </c>
      <c r="P73" s="712">
        <f t="shared" ca="1" si="23"/>
        <v>328.52433087288244</v>
      </c>
      <c r="Q73" s="500"/>
      <c r="R73" s="501">
        <f t="shared" si="22"/>
        <v>1</v>
      </c>
      <c r="S73" s="502">
        <v>1</v>
      </c>
      <c r="T73" s="507"/>
      <c r="U73" s="507"/>
      <c r="V73" s="503"/>
      <c r="W73" s="503"/>
      <c r="X73" s="503"/>
      <c r="Y73" s="503"/>
      <c r="Z73" s="503"/>
      <c r="AA73" s="503"/>
      <c r="AB73" s="503"/>
      <c r="AC73" s="503"/>
    </row>
    <row r="74" spans="1:29">
      <c r="A74" s="512"/>
      <c r="B74" s="512"/>
      <c r="C74" s="507" t="s">
        <v>1715</v>
      </c>
      <c r="D74" s="483"/>
      <c r="E74" s="483"/>
      <c r="F74" s="483"/>
      <c r="G74" s="483"/>
      <c r="H74" s="480"/>
      <c r="I74" s="480"/>
      <c r="J74" s="480">
        <f>'LBO - Financials'!G24</f>
        <v>0</v>
      </c>
      <c r="K74" s="480">
        <f ca="1">'LBO - Financials'!H24</f>
        <v>0</v>
      </c>
      <c r="L74" s="480">
        <f ca="1">'LBO - Financials'!I24</f>
        <v>0</v>
      </c>
      <c r="M74" s="480">
        <f ca="1">'LBO - Financials'!J24</f>
        <v>0</v>
      </c>
      <c r="N74" s="480">
        <f ca="1">'LBO - Financials'!K24</f>
        <v>0</v>
      </c>
      <c r="O74" s="480">
        <f ca="1">'LBO - Financials'!L24</f>
        <v>0</v>
      </c>
      <c r="P74" s="480">
        <f ca="1">'LBO - Financials'!M24</f>
        <v>0</v>
      </c>
      <c r="Q74" s="500"/>
      <c r="R74" s="501">
        <f t="shared" si="22"/>
        <v>1</v>
      </c>
      <c r="S74" s="502">
        <v>1</v>
      </c>
      <c r="T74" s="507"/>
      <c r="U74" s="507"/>
      <c r="V74" s="503"/>
      <c r="W74" s="503"/>
      <c r="X74" s="503"/>
      <c r="Y74" s="503"/>
      <c r="Z74" s="503"/>
      <c r="AA74" s="503"/>
      <c r="AB74" s="503"/>
      <c r="AC74" s="503"/>
    </row>
    <row r="75" spans="1:29">
      <c r="A75" s="512"/>
      <c r="B75" s="512"/>
      <c r="C75" s="491" t="s">
        <v>1716</v>
      </c>
      <c r="D75" s="492"/>
      <c r="E75" s="492"/>
      <c r="F75" s="492"/>
      <c r="G75" s="492"/>
      <c r="H75" s="492"/>
      <c r="I75" s="492"/>
      <c r="J75" s="492"/>
      <c r="K75" s="492">
        <f t="shared" ref="K75:P75" ca="1" si="24">SUM(K73:K74)</f>
        <v>74.491801058596124</v>
      </c>
      <c r="L75" s="492">
        <f t="shared" ca="1" si="24"/>
        <v>114.98863865893051</v>
      </c>
      <c r="M75" s="492">
        <f t="shared" ca="1" si="24"/>
        <v>100.91788690956157</v>
      </c>
      <c r="N75" s="492">
        <f t="shared" ca="1" si="24"/>
        <v>209.61819317439068</v>
      </c>
      <c r="O75" s="492">
        <f t="shared" ca="1" si="24"/>
        <v>267.49652016277685</v>
      </c>
      <c r="P75" s="492">
        <f t="shared" ca="1" si="24"/>
        <v>328.52433087288244</v>
      </c>
      <c r="Q75" s="500"/>
      <c r="R75" s="501">
        <f t="shared" si="22"/>
        <v>1</v>
      </c>
      <c r="S75" s="502">
        <v>1</v>
      </c>
      <c r="T75" s="507"/>
      <c r="U75" s="507"/>
      <c r="V75" s="503"/>
      <c r="W75" s="503"/>
      <c r="X75" s="503"/>
      <c r="Y75" s="503"/>
      <c r="Z75" s="503"/>
      <c r="AA75" s="503"/>
      <c r="AB75" s="503"/>
      <c r="AC75" s="503"/>
    </row>
    <row r="76" spans="1:29" ht="3" customHeight="1">
      <c r="A76" s="512"/>
      <c r="B76" s="512"/>
      <c r="C76" s="707"/>
      <c r="D76" s="507"/>
      <c r="E76" s="507"/>
      <c r="F76" s="507"/>
      <c r="G76" s="507"/>
      <c r="H76" s="507"/>
      <c r="I76" s="507"/>
      <c r="J76" s="475"/>
      <c r="K76" s="475"/>
      <c r="L76" s="475"/>
      <c r="M76" s="475"/>
      <c r="N76" s="475"/>
      <c r="O76" s="475"/>
      <c r="P76" s="475"/>
      <c r="Q76" s="500"/>
      <c r="R76" s="501">
        <f t="shared" si="22"/>
        <v>0</v>
      </c>
      <c r="S76" s="502">
        <v>0</v>
      </c>
      <c r="T76" s="507"/>
      <c r="U76" s="507"/>
      <c r="V76" s="503"/>
      <c r="W76" s="503"/>
      <c r="X76" s="503"/>
      <c r="Y76" s="503"/>
      <c r="Z76" s="503"/>
      <c r="AA76" s="503"/>
      <c r="AB76" s="503"/>
      <c r="AC76" s="503"/>
    </row>
    <row r="77" spans="1:29">
      <c r="A77" s="512"/>
      <c r="B77" s="512"/>
      <c r="C77" s="713" t="s">
        <v>1717</v>
      </c>
      <c r="D77" s="507"/>
      <c r="E77" s="507"/>
      <c r="F77" s="507"/>
      <c r="G77" s="507"/>
      <c r="H77" s="507"/>
      <c r="I77" s="507"/>
      <c r="J77" s="475"/>
      <c r="K77" s="475"/>
      <c r="L77" s="475"/>
      <c r="M77" s="475"/>
      <c r="N77" s="475"/>
      <c r="O77" s="475"/>
      <c r="P77" s="475"/>
      <c r="Q77" s="500"/>
      <c r="R77" s="501">
        <f t="shared" si="22"/>
        <v>1</v>
      </c>
      <c r="S77" s="502">
        <v>1</v>
      </c>
      <c r="T77" s="507"/>
      <c r="U77" s="507"/>
      <c r="V77" s="503"/>
      <c r="W77" s="503"/>
      <c r="X77" s="503"/>
      <c r="Y77" s="503"/>
      <c r="Z77" s="503"/>
      <c r="AA77" s="503"/>
      <c r="AB77" s="503"/>
      <c r="AC77" s="503"/>
    </row>
    <row r="78" spans="1:29">
      <c r="A78" s="512"/>
      <c r="B78" s="512"/>
      <c r="C78" s="789" t="s">
        <v>1718</v>
      </c>
      <c r="D78" s="535"/>
      <c r="E78" s="535"/>
      <c r="F78" s="535"/>
      <c r="G78" s="789"/>
      <c r="H78" s="789"/>
      <c r="I78" s="789"/>
      <c r="J78" s="535">
        <f ca="1">O13</f>
        <v>355.642</v>
      </c>
      <c r="K78" s="532">
        <v>0</v>
      </c>
      <c r="L78" s="532">
        <v>0</v>
      </c>
      <c r="M78" s="532">
        <v>0</v>
      </c>
      <c r="N78" s="532">
        <v>0</v>
      </c>
      <c r="O78" s="532">
        <v>0</v>
      </c>
      <c r="P78" s="532">
        <v>0</v>
      </c>
      <c r="Q78" s="500"/>
      <c r="R78" s="501">
        <f t="shared" si="22"/>
        <v>1</v>
      </c>
      <c r="S78" s="502">
        <v>1</v>
      </c>
      <c r="T78" s="507"/>
      <c r="U78" s="507"/>
      <c r="V78" s="503"/>
      <c r="W78" s="503"/>
      <c r="X78" s="503"/>
      <c r="Y78" s="503"/>
      <c r="Z78" s="503"/>
      <c r="AA78" s="503"/>
      <c r="AB78" s="503"/>
      <c r="AC78" s="503"/>
    </row>
    <row r="79" spans="1:29">
      <c r="A79" s="512"/>
      <c r="B79" s="512"/>
      <c r="C79" s="507" t="s">
        <v>1719</v>
      </c>
      <c r="D79" s="483"/>
      <c r="E79" s="483"/>
      <c r="F79" s="483"/>
      <c r="G79" s="507"/>
      <c r="H79" s="507"/>
      <c r="I79" s="507"/>
      <c r="J79" s="483">
        <f ca="1">O12</f>
        <v>265.28400000000005</v>
      </c>
      <c r="K79" s="480">
        <v>0</v>
      </c>
      <c r="L79" s="480">
        <v>0</v>
      </c>
      <c r="M79" s="480">
        <v>0</v>
      </c>
      <c r="N79" s="480">
        <v>0</v>
      </c>
      <c r="O79" s="480">
        <v>0</v>
      </c>
      <c r="P79" s="480">
        <v>0</v>
      </c>
      <c r="Q79" s="500"/>
      <c r="R79" s="501">
        <f t="shared" si="22"/>
        <v>1</v>
      </c>
      <c r="S79" s="502">
        <v>1</v>
      </c>
      <c r="T79" s="507"/>
      <c r="U79" s="507"/>
      <c r="V79" s="503"/>
      <c r="W79" s="503"/>
      <c r="X79" s="503"/>
      <c r="Y79" s="503"/>
      <c r="Z79" s="503"/>
      <c r="AA79" s="503"/>
      <c r="AB79" s="503"/>
      <c r="AC79" s="503"/>
    </row>
    <row r="80" spans="1:29">
      <c r="A80" s="512"/>
      <c r="B80" s="512"/>
      <c r="C80" s="507" t="s">
        <v>1720</v>
      </c>
      <c r="D80" s="483"/>
      <c r="E80" s="483"/>
      <c r="F80" s="483"/>
      <c r="G80" s="507"/>
      <c r="H80" s="507"/>
      <c r="I80" s="507"/>
      <c r="J80" s="483">
        <f ca="1">O7</f>
        <v>0</v>
      </c>
      <c r="K80" s="480">
        <v>0</v>
      </c>
      <c r="L80" s="480">
        <v>0</v>
      </c>
      <c r="M80" s="480">
        <v>0</v>
      </c>
      <c r="N80" s="480">
        <v>0</v>
      </c>
      <c r="O80" s="480">
        <v>0</v>
      </c>
      <c r="P80" s="480">
        <v>0</v>
      </c>
      <c r="Q80" s="500"/>
      <c r="R80" s="501">
        <f t="shared" si="22"/>
        <v>1</v>
      </c>
      <c r="S80" s="502">
        <v>1</v>
      </c>
      <c r="T80" s="507"/>
      <c r="U80" s="507"/>
      <c r="V80" s="503"/>
      <c r="W80" s="503"/>
      <c r="X80" s="503"/>
      <c r="Y80" s="503"/>
      <c r="Z80" s="503"/>
      <c r="AA80" s="503"/>
      <c r="AB80" s="503"/>
      <c r="AC80" s="503"/>
    </row>
    <row r="81" spans="1:29">
      <c r="A81" s="512"/>
      <c r="B81" s="512"/>
      <c r="C81" s="507" t="s">
        <v>1721</v>
      </c>
      <c r="D81" s="483"/>
      <c r="E81" s="483"/>
      <c r="F81" s="483"/>
      <c r="G81" s="507"/>
      <c r="H81" s="507"/>
      <c r="I81" s="507"/>
      <c r="J81" s="483">
        <f ca="1">O8</f>
        <v>0</v>
      </c>
      <c r="K81" s="480">
        <v>0</v>
      </c>
      <c r="L81" s="480">
        <v>0</v>
      </c>
      <c r="M81" s="480">
        <v>0</v>
      </c>
      <c r="N81" s="480">
        <v>0</v>
      </c>
      <c r="O81" s="480">
        <v>0</v>
      </c>
      <c r="P81" s="480">
        <v>0</v>
      </c>
      <c r="Q81" s="500"/>
      <c r="R81" s="501">
        <f t="shared" si="22"/>
        <v>1</v>
      </c>
      <c r="S81" s="502">
        <v>1</v>
      </c>
      <c r="T81" s="507"/>
      <c r="U81" s="507"/>
      <c r="V81" s="503"/>
      <c r="W81" s="503"/>
      <c r="X81" s="503"/>
      <c r="Y81" s="503"/>
      <c r="Z81" s="503"/>
      <c r="AA81" s="503"/>
      <c r="AB81" s="503"/>
      <c r="AC81" s="503"/>
    </row>
    <row r="82" spans="1:29">
      <c r="A82" s="512"/>
      <c r="B82" s="512"/>
      <c r="C82" s="507" t="s">
        <v>1722</v>
      </c>
      <c r="D82" s="483"/>
      <c r="E82" s="483"/>
      <c r="F82" s="483"/>
      <c r="G82" s="507"/>
      <c r="H82" s="507"/>
      <c r="I82" s="507"/>
      <c r="J82" s="483">
        <f ca="1">-E14</f>
        <v>-620.92600000000004</v>
      </c>
      <c r="K82" s="480">
        <v>0</v>
      </c>
      <c r="L82" s="480">
        <v>0</v>
      </c>
      <c r="M82" s="480">
        <v>0</v>
      </c>
      <c r="N82" s="480">
        <v>0</v>
      </c>
      <c r="O82" s="480">
        <v>0</v>
      </c>
      <c r="P82" s="480">
        <v>0</v>
      </c>
      <c r="Q82" s="500"/>
      <c r="R82" s="501">
        <f t="shared" si="22"/>
        <v>1</v>
      </c>
      <c r="S82" s="502">
        <v>1</v>
      </c>
      <c r="T82" s="507"/>
      <c r="U82" s="507"/>
      <c r="V82" s="503"/>
      <c r="W82" s="503"/>
      <c r="X82" s="503"/>
      <c r="Y82" s="503"/>
      <c r="Z82" s="503"/>
      <c r="AA82" s="503"/>
      <c r="AB82" s="503"/>
      <c r="AC82" s="503"/>
    </row>
    <row r="83" spans="1:29" ht="2.85" customHeight="1">
      <c r="A83" s="512"/>
      <c r="B83" s="512"/>
      <c r="C83" s="707"/>
      <c r="D83" s="507"/>
      <c r="E83" s="507"/>
      <c r="F83" s="507"/>
      <c r="G83" s="507"/>
      <c r="H83" s="507"/>
      <c r="I83" s="507"/>
      <c r="J83" s="475"/>
      <c r="K83" s="475"/>
      <c r="L83" s="480">
        <v>0</v>
      </c>
      <c r="M83" s="480">
        <v>0</v>
      </c>
      <c r="N83" s="480">
        <v>0</v>
      </c>
      <c r="O83" s="480">
        <v>0</v>
      </c>
      <c r="P83" s="480">
        <v>0</v>
      </c>
      <c r="Q83" s="500"/>
      <c r="R83" s="501">
        <f t="shared" si="22"/>
        <v>0</v>
      </c>
      <c r="S83" s="502">
        <v>0</v>
      </c>
      <c r="T83" s="507"/>
      <c r="U83" s="507"/>
      <c r="V83" s="503"/>
      <c r="W83" s="503"/>
      <c r="X83" s="503"/>
      <c r="Y83" s="503"/>
      <c r="Z83" s="503"/>
      <c r="AA83" s="503"/>
      <c r="AB83" s="503"/>
      <c r="AC83" s="503"/>
    </row>
    <row r="84" spans="1:29">
      <c r="A84" s="512"/>
      <c r="B84" s="512"/>
      <c r="C84" s="713" t="s">
        <v>1723</v>
      </c>
      <c r="D84" s="507"/>
      <c r="E84" s="507"/>
      <c r="F84" s="507"/>
      <c r="G84" s="507"/>
      <c r="H84" s="507"/>
      <c r="I84" s="507"/>
      <c r="J84" s="475"/>
      <c r="K84" s="475"/>
      <c r="L84" s="475"/>
      <c r="M84" s="475"/>
      <c r="N84" s="475"/>
      <c r="O84" s="475"/>
      <c r="P84" s="475"/>
      <c r="Q84" s="500"/>
      <c r="R84" s="501">
        <f t="shared" si="22"/>
        <v>1</v>
      </c>
      <c r="S84" s="502">
        <v>1</v>
      </c>
      <c r="T84" s="507"/>
      <c r="U84" s="507"/>
      <c r="V84" s="503"/>
      <c r="W84" s="503"/>
      <c r="X84" s="503"/>
      <c r="Y84" s="503"/>
      <c r="Z84" s="503"/>
      <c r="AA84" s="503"/>
      <c r="AB84" s="503"/>
      <c r="AC84" s="503"/>
    </row>
    <row r="85" spans="1:29">
      <c r="A85" s="512"/>
      <c r="B85" s="512"/>
      <c r="C85" s="789" t="s">
        <v>1724</v>
      </c>
      <c r="D85" s="790"/>
      <c r="E85" s="790"/>
      <c r="F85" s="790"/>
      <c r="G85" s="535"/>
      <c r="H85" s="535"/>
      <c r="I85" s="789"/>
      <c r="J85" s="535">
        <f ca="1">-O12</f>
        <v>-265.28400000000005</v>
      </c>
      <c r="K85" s="791">
        <v>0</v>
      </c>
      <c r="L85" s="791">
        <v>0</v>
      </c>
      <c r="M85" s="791">
        <v>0</v>
      </c>
      <c r="N85" s="791">
        <v>0</v>
      </c>
      <c r="O85" s="791">
        <v>0</v>
      </c>
      <c r="P85" s="791">
        <v>0</v>
      </c>
      <c r="Q85" s="500"/>
      <c r="R85" s="501">
        <f t="shared" si="22"/>
        <v>1</v>
      </c>
      <c r="S85" s="502">
        <v>1</v>
      </c>
      <c r="T85" s="507"/>
      <c r="U85" s="507"/>
      <c r="V85" s="503"/>
      <c r="W85" s="503"/>
      <c r="X85" s="503"/>
      <c r="Y85" s="503"/>
      <c r="Z85" s="503"/>
      <c r="AA85" s="503"/>
      <c r="AB85" s="503"/>
      <c r="AC85" s="503"/>
    </row>
    <row r="86" spans="1:29">
      <c r="A86" s="512"/>
      <c r="B86" s="512"/>
      <c r="C86" s="507" t="s">
        <v>1725</v>
      </c>
      <c r="D86" s="487"/>
      <c r="E86" s="487"/>
      <c r="F86" s="487"/>
      <c r="G86" s="487"/>
      <c r="H86" s="483"/>
      <c r="I86" s="483"/>
      <c r="J86" s="480">
        <f>'LBO - Financials'!G34</f>
        <v>0</v>
      </c>
      <c r="K86" s="480">
        <f ca="1">'LBO - Financials'!H34</f>
        <v>0</v>
      </c>
      <c r="L86" s="480">
        <f ca="1">'LBO - Financials'!I34</f>
        <v>0</v>
      </c>
      <c r="M86" s="480">
        <f ca="1">'LBO - Financials'!J34</f>
        <v>0</v>
      </c>
      <c r="N86" s="480">
        <f ca="1">'LBO - Financials'!K34</f>
        <v>0</v>
      </c>
      <c r="O86" s="480">
        <f ca="1">'LBO - Financials'!L34</f>
        <v>0</v>
      </c>
      <c r="P86" s="480">
        <f ca="1">'LBO - Financials'!M34</f>
        <v>0</v>
      </c>
      <c r="Q86" s="500"/>
      <c r="R86" s="501">
        <f t="shared" si="22"/>
        <v>1</v>
      </c>
      <c r="S86" s="502">
        <v>1</v>
      </c>
      <c r="T86" s="507"/>
      <c r="U86" s="507"/>
      <c r="V86" s="503"/>
      <c r="W86" s="503"/>
      <c r="X86" s="503"/>
      <c r="Y86" s="503"/>
      <c r="Z86" s="503"/>
      <c r="AA86" s="503"/>
      <c r="AB86" s="503"/>
      <c r="AC86" s="503"/>
    </row>
    <row r="87" spans="1:29">
      <c r="A87" s="512"/>
      <c r="B87" s="512"/>
      <c r="C87" s="507" t="s">
        <v>1726</v>
      </c>
      <c r="D87" s="487"/>
      <c r="E87" s="487"/>
      <c r="F87" s="487"/>
      <c r="G87" s="487"/>
      <c r="H87" s="483"/>
      <c r="I87" s="483"/>
      <c r="J87" s="480">
        <f>'LBO - Financials'!G36</f>
        <v>0</v>
      </c>
      <c r="K87" s="480">
        <f ca="1">'LBO - Financials'!H36</f>
        <v>0</v>
      </c>
      <c r="L87" s="480">
        <f ca="1">'LBO - Financials'!I36</f>
        <v>0</v>
      </c>
      <c r="M87" s="480">
        <f ca="1">'LBO - Financials'!J36</f>
        <v>0</v>
      </c>
      <c r="N87" s="480">
        <f ca="1">'LBO - Financials'!K36</f>
        <v>0</v>
      </c>
      <c r="O87" s="480">
        <f ca="1">'LBO - Financials'!L36</f>
        <v>0</v>
      </c>
      <c r="P87" s="480">
        <f ca="1">'LBO - Financials'!M36</f>
        <v>0</v>
      </c>
      <c r="Q87" s="500"/>
      <c r="R87" s="501">
        <f t="shared" si="22"/>
        <v>1</v>
      </c>
      <c r="S87" s="502">
        <v>1</v>
      </c>
      <c r="T87" s="507"/>
      <c r="U87" s="507"/>
      <c r="V87" s="503"/>
      <c r="W87" s="503"/>
      <c r="X87" s="503"/>
      <c r="Y87" s="503"/>
      <c r="Z87" s="503"/>
      <c r="AA87" s="503"/>
      <c r="AB87" s="503"/>
      <c r="AC87" s="503"/>
    </row>
    <row r="88" spans="1:29">
      <c r="A88" s="512"/>
      <c r="B88" s="512"/>
      <c r="C88" s="507" t="s">
        <v>1727</v>
      </c>
      <c r="D88" s="487"/>
      <c r="E88" s="487"/>
      <c r="F88" s="487"/>
      <c r="G88" s="487"/>
      <c r="H88" s="483"/>
      <c r="I88" s="483"/>
      <c r="J88" s="480">
        <f>'LBO - Financials'!G35</f>
        <v>0</v>
      </c>
      <c r="K88" s="480">
        <f ca="1">'LBO - Financials'!H35</f>
        <v>0</v>
      </c>
      <c r="L88" s="480">
        <f ca="1">'LBO - Financials'!I35</f>
        <v>0</v>
      </c>
      <c r="M88" s="480">
        <f ca="1">'LBO - Financials'!J35</f>
        <v>0</v>
      </c>
      <c r="N88" s="480">
        <f ca="1">'LBO - Financials'!K35</f>
        <v>0</v>
      </c>
      <c r="O88" s="480">
        <f ca="1">'LBO - Financials'!L35</f>
        <v>0</v>
      </c>
      <c r="P88" s="480">
        <f ca="1">'LBO - Financials'!M35</f>
        <v>0</v>
      </c>
      <c r="Q88" s="500"/>
      <c r="R88" s="501">
        <f t="shared" si="22"/>
        <v>1</v>
      </c>
      <c r="S88" s="502">
        <v>1</v>
      </c>
      <c r="T88" s="507"/>
      <c r="U88" s="507"/>
      <c r="V88" s="503"/>
      <c r="W88" s="503"/>
      <c r="X88" s="503"/>
      <c r="Y88" s="503"/>
      <c r="Z88" s="503"/>
      <c r="AA88" s="503"/>
      <c r="AB88" s="503"/>
      <c r="AC88" s="503"/>
    </row>
    <row r="89" spans="1:29">
      <c r="A89" s="512"/>
      <c r="B89" s="512"/>
      <c r="C89" s="480" t="s">
        <v>1728</v>
      </c>
      <c r="D89" s="487"/>
      <c r="E89" s="487"/>
      <c r="F89" s="487"/>
      <c r="G89" s="487"/>
      <c r="H89" s="483"/>
      <c r="I89" s="483"/>
      <c r="J89" s="480">
        <f>'LBO - Financials'!G33</f>
        <v>0</v>
      </c>
      <c r="K89" s="480">
        <f ca="1">'LBO - Financials'!H33</f>
        <v>0</v>
      </c>
      <c r="L89" s="480">
        <f ca="1">'LBO - Financials'!I33</f>
        <v>0</v>
      </c>
      <c r="M89" s="480">
        <f ca="1">'LBO - Financials'!J33</f>
        <v>0</v>
      </c>
      <c r="N89" s="480">
        <f ca="1">'LBO - Financials'!K33</f>
        <v>0</v>
      </c>
      <c r="O89" s="480">
        <f ca="1">'LBO - Financials'!L33</f>
        <v>0</v>
      </c>
      <c r="P89" s="480">
        <f ca="1">'LBO - Financials'!M33</f>
        <v>0</v>
      </c>
      <c r="Q89" s="500"/>
      <c r="R89" s="501">
        <f t="shared" si="22"/>
        <v>1</v>
      </c>
      <c r="S89" s="502">
        <v>1</v>
      </c>
      <c r="T89" s="507"/>
      <c r="U89" s="507"/>
      <c r="V89" s="503"/>
      <c r="W89" s="503"/>
      <c r="X89" s="503"/>
      <c r="Y89" s="503"/>
      <c r="Z89" s="503"/>
      <c r="AA89" s="503"/>
      <c r="AB89" s="503"/>
      <c r="AC89" s="503"/>
    </row>
    <row r="90" spans="1:29">
      <c r="A90" s="512"/>
      <c r="B90" s="512"/>
      <c r="C90" s="507" t="s">
        <v>1729</v>
      </c>
      <c r="D90" s="487"/>
      <c r="E90" s="487"/>
      <c r="F90" s="487"/>
      <c r="G90" s="483"/>
      <c r="H90" s="483"/>
      <c r="I90" s="483"/>
      <c r="J90" s="480">
        <f t="shared" ref="J90:P90" si="25">J75</f>
        <v>0</v>
      </c>
      <c r="K90" s="480">
        <f t="shared" ca="1" si="25"/>
        <v>74.491801058596124</v>
      </c>
      <c r="L90" s="480">
        <f t="shared" ca="1" si="25"/>
        <v>114.98863865893051</v>
      </c>
      <c r="M90" s="480">
        <f t="shared" ca="1" si="25"/>
        <v>100.91788690956157</v>
      </c>
      <c r="N90" s="480">
        <f t="shared" ca="1" si="25"/>
        <v>209.61819317439068</v>
      </c>
      <c r="O90" s="480">
        <f t="shared" ca="1" si="25"/>
        <v>267.49652016277685</v>
      </c>
      <c r="P90" s="480">
        <f t="shared" ca="1" si="25"/>
        <v>328.52433087288244</v>
      </c>
      <c r="Q90" s="500"/>
      <c r="R90" s="501">
        <f t="shared" si="22"/>
        <v>1</v>
      </c>
      <c r="S90" s="502">
        <v>1</v>
      </c>
      <c r="T90" s="507"/>
      <c r="U90" s="507"/>
      <c r="V90" s="503"/>
      <c r="W90" s="503"/>
      <c r="X90" s="503"/>
      <c r="Y90" s="503"/>
      <c r="Z90" s="503"/>
      <c r="AA90" s="503"/>
      <c r="AB90" s="503"/>
      <c r="AC90" s="503"/>
    </row>
    <row r="91" spans="1:29">
      <c r="A91" s="512"/>
      <c r="B91" s="512"/>
      <c r="C91" s="484" t="s">
        <v>1730</v>
      </c>
      <c r="D91" s="714">
        <f ca="1">IFERROR('LBO - Financials'!G39,0)</f>
        <v>0.38387479019818049</v>
      </c>
      <c r="E91" s="476"/>
      <c r="F91" s="476"/>
      <c r="G91" s="476"/>
      <c r="H91" s="476"/>
      <c r="I91" s="476">
        <f>SUM(I85:I90)</f>
        <v>0</v>
      </c>
      <c r="J91" s="476">
        <f t="shared" ref="J91:P91" ca="1" si="26">SUM(J75:J90)</f>
        <v>-265.28400000000005</v>
      </c>
      <c r="K91" s="476">
        <f t="shared" ca="1" si="26"/>
        <v>148.98360211719225</v>
      </c>
      <c r="L91" s="476">
        <f t="shared" ca="1" si="26"/>
        <v>229.97727731786102</v>
      </c>
      <c r="M91" s="476">
        <f t="shared" ca="1" si="26"/>
        <v>201.83577381912315</v>
      </c>
      <c r="N91" s="476">
        <f t="shared" ca="1" si="26"/>
        <v>419.23638634878137</v>
      </c>
      <c r="O91" s="476">
        <f t="shared" ca="1" si="26"/>
        <v>534.99304032555369</v>
      </c>
      <c r="P91" s="476">
        <f t="shared" ca="1" si="26"/>
        <v>657.04866174576489</v>
      </c>
      <c r="Q91" s="500"/>
      <c r="R91" s="501">
        <f t="shared" si="22"/>
        <v>1</v>
      </c>
      <c r="S91" s="502">
        <v>1</v>
      </c>
      <c r="T91" s="507"/>
      <c r="U91" s="507"/>
      <c r="V91" s="503"/>
      <c r="W91" s="503"/>
      <c r="X91" s="503"/>
      <c r="Y91" s="503"/>
      <c r="Z91" s="503"/>
      <c r="AA91" s="503"/>
      <c r="AB91" s="503"/>
      <c r="AC91" s="503"/>
    </row>
    <row r="92" spans="1:29">
      <c r="A92" s="512"/>
      <c r="B92" s="512"/>
      <c r="C92" s="520"/>
      <c r="D92" s="520"/>
      <c r="E92" s="520"/>
      <c r="F92" s="520"/>
      <c r="G92" s="520"/>
      <c r="H92" s="487"/>
      <c r="I92" s="487"/>
      <c r="J92" s="487"/>
      <c r="K92" s="487"/>
      <c r="L92" s="487"/>
      <c r="M92" s="487"/>
      <c r="N92" s="487"/>
      <c r="O92" s="487"/>
      <c r="P92" s="487"/>
      <c r="Q92" s="500"/>
      <c r="R92" s="501">
        <f t="shared" si="22"/>
        <v>0</v>
      </c>
      <c r="S92" s="502">
        <v>0</v>
      </c>
      <c r="T92" s="507"/>
      <c r="U92" s="507"/>
      <c r="V92" s="503"/>
      <c r="W92" s="503"/>
      <c r="X92" s="503"/>
      <c r="Y92" s="503"/>
      <c r="Z92" s="503"/>
      <c r="AA92" s="503"/>
      <c r="AB92" s="503"/>
      <c r="AC92" s="503"/>
    </row>
    <row r="93" spans="1:29">
      <c r="A93" s="521"/>
      <c r="B93" s="521"/>
      <c r="C93" s="522"/>
      <c r="D93" s="523"/>
      <c r="E93" s="522"/>
      <c r="F93" s="522"/>
      <c r="G93" s="522"/>
      <c r="H93" s="522"/>
      <c r="I93" s="522"/>
      <c r="J93" s="522"/>
      <c r="K93" s="522"/>
      <c r="L93" s="522"/>
      <c r="M93" s="522"/>
      <c r="N93" s="522"/>
      <c r="O93" s="522"/>
      <c r="P93" s="522"/>
      <c r="Q93" s="500"/>
      <c r="R93" s="501">
        <f t="shared" si="22"/>
        <v>0</v>
      </c>
      <c r="S93" s="502">
        <v>0</v>
      </c>
      <c r="T93" s="522"/>
      <c r="U93" s="522"/>
      <c r="V93" s="503"/>
      <c r="W93" s="503"/>
      <c r="X93" s="503"/>
      <c r="Y93" s="503"/>
      <c r="Z93" s="503"/>
      <c r="AA93" s="503"/>
      <c r="AB93" s="503"/>
      <c r="AC93" s="503"/>
    </row>
    <row r="94" spans="1:29">
      <c r="A94" s="512"/>
      <c r="B94" s="512"/>
      <c r="C94" s="403" t="s">
        <v>1731</v>
      </c>
      <c r="D94" s="403"/>
      <c r="E94" s="409"/>
      <c r="F94" s="409"/>
      <c r="G94" s="409"/>
      <c r="H94" s="409"/>
      <c r="I94" s="409"/>
      <c r="J94" s="409"/>
      <c r="K94" s="409"/>
      <c r="L94" s="409"/>
      <c r="M94" s="409"/>
      <c r="N94" s="409"/>
      <c r="O94" s="409"/>
      <c r="P94" s="409"/>
      <c r="Q94" s="500"/>
      <c r="R94" s="501">
        <f t="shared" si="22"/>
        <v>1</v>
      </c>
      <c r="S94" s="502">
        <v>1</v>
      </c>
      <c r="T94" s="503"/>
      <c r="U94" s="503"/>
      <c r="V94" s="503"/>
      <c r="W94" s="503"/>
      <c r="X94" s="503"/>
      <c r="Y94" s="503"/>
      <c r="Z94" s="503"/>
      <c r="AA94" s="503"/>
      <c r="AB94" s="503"/>
      <c r="AC94" s="503"/>
    </row>
    <row r="95" spans="1:29">
      <c r="A95" s="477"/>
      <c r="B95" s="477"/>
      <c r="C95" s="482"/>
      <c r="D95" s="482"/>
      <c r="E95" s="482"/>
      <c r="F95" s="482"/>
      <c r="G95" s="482"/>
      <c r="H95" s="482"/>
      <c r="I95" s="482"/>
      <c r="J95" s="482"/>
      <c r="K95" s="1133" t="s">
        <v>1676</v>
      </c>
      <c r="L95" s="1133"/>
      <c r="M95" s="1133"/>
      <c r="N95" s="1133"/>
      <c r="O95" s="1133"/>
      <c r="P95" s="1133"/>
      <c r="Q95" s="500"/>
      <c r="R95" s="501">
        <f t="shared" si="22"/>
        <v>0</v>
      </c>
      <c r="S95" s="502">
        <v>0</v>
      </c>
      <c r="T95" s="503"/>
      <c r="U95" s="503"/>
      <c r="V95" s="503"/>
      <c r="W95" s="503"/>
      <c r="X95" s="503"/>
      <c r="Y95" s="503"/>
      <c r="Z95" s="503"/>
      <c r="AA95" s="503"/>
      <c r="AB95" s="503"/>
      <c r="AC95" s="503"/>
    </row>
    <row r="96" spans="1:29" ht="15" thickBot="1">
      <c r="A96" s="477"/>
      <c r="B96" s="477"/>
      <c r="C96" s="504" t="str">
        <f>C49</f>
        <v>* All amounts in millions of US dollars except per share and multiples</v>
      </c>
      <c r="D96" s="504"/>
      <c r="E96" s="504"/>
      <c r="F96" s="504">
        <f t="shared" ref="F96:P96" si="27">F49</f>
        <v>2019</v>
      </c>
      <c r="G96" s="504">
        <f t="shared" si="27"/>
        <v>2020</v>
      </c>
      <c r="H96" s="504">
        <f t="shared" si="27"/>
        <v>2021</v>
      </c>
      <c r="I96" s="504">
        <f t="shared" si="27"/>
        <v>2022</v>
      </c>
      <c r="J96" s="504">
        <f t="shared" si="27"/>
        <v>2023</v>
      </c>
      <c r="K96" s="505">
        <f t="shared" si="27"/>
        <v>2024</v>
      </c>
      <c r="L96" s="505">
        <f t="shared" si="27"/>
        <v>2025</v>
      </c>
      <c r="M96" s="505">
        <f t="shared" si="27"/>
        <v>2026</v>
      </c>
      <c r="N96" s="505">
        <f t="shared" si="27"/>
        <v>2027</v>
      </c>
      <c r="O96" s="505">
        <f t="shared" si="27"/>
        <v>2028</v>
      </c>
      <c r="P96" s="505">
        <f t="shared" si="27"/>
        <v>2029</v>
      </c>
      <c r="Q96" s="500"/>
      <c r="R96" s="501">
        <f t="shared" si="22"/>
        <v>1</v>
      </c>
      <c r="S96" s="502">
        <v>1</v>
      </c>
      <c r="T96" s="503"/>
      <c r="U96" s="503"/>
      <c r="V96" s="503"/>
      <c r="W96" s="503"/>
      <c r="X96" s="503"/>
      <c r="Y96" s="503"/>
      <c r="Z96" s="503"/>
      <c r="AA96" s="503"/>
      <c r="AB96" s="503"/>
      <c r="AC96" s="503"/>
    </row>
    <row r="97" spans="1:29" ht="5.85" customHeight="1">
      <c r="A97" s="506"/>
      <c r="B97" s="506"/>
      <c r="C97" s="542"/>
      <c r="D97" s="493"/>
      <c r="E97" s="493"/>
      <c r="F97" s="493"/>
      <c r="G97" s="493"/>
      <c r="H97" s="493"/>
      <c r="I97" s="493"/>
      <c r="J97" s="493"/>
      <c r="K97" s="493"/>
      <c r="L97" s="493"/>
      <c r="M97" s="493"/>
      <c r="N97" s="493"/>
      <c r="O97" s="493"/>
      <c r="P97" s="493"/>
      <c r="Q97" s="500"/>
      <c r="R97" s="501">
        <f t="shared" si="22"/>
        <v>0</v>
      </c>
      <c r="S97" s="502">
        <v>0</v>
      </c>
      <c r="T97" s="475"/>
      <c r="U97" s="475"/>
      <c r="V97" s="503"/>
      <c r="W97" s="503"/>
      <c r="X97" s="503"/>
      <c r="Y97" s="503"/>
      <c r="Z97" s="503"/>
      <c r="AA97" s="503"/>
      <c r="AB97" s="503"/>
      <c r="AC97" s="503"/>
    </row>
    <row r="98" spans="1:29">
      <c r="A98" s="507"/>
      <c r="B98" s="507"/>
      <c r="C98" s="520" t="s">
        <v>1732</v>
      </c>
      <c r="D98" s="507"/>
      <c r="E98" s="507"/>
      <c r="F98" s="507"/>
      <c r="G98" s="507"/>
      <c r="H98" s="507"/>
      <c r="I98" s="507"/>
      <c r="J98" s="475"/>
      <c r="K98" s="475"/>
      <c r="L98" s="475"/>
      <c r="M98" s="475"/>
      <c r="N98" s="475"/>
      <c r="O98" s="475"/>
      <c r="P98" s="475"/>
      <c r="Q98" s="500"/>
      <c r="R98" s="501">
        <f t="shared" si="22"/>
        <v>1</v>
      </c>
      <c r="S98" s="502">
        <v>1</v>
      </c>
      <c r="T98" s="507"/>
      <c r="U98" s="507"/>
      <c r="V98" s="503"/>
      <c r="W98" s="503"/>
      <c r="X98" s="503"/>
      <c r="Y98" s="503"/>
      <c r="Z98" s="503"/>
      <c r="AA98" s="503"/>
      <c r="AB98" s="503"/>
      <c r="AC98" s="503"/>
    </row>
    <row r="99" spans="1:29">
      <c r="A99" s="507"/>
      <c r="B99" s="507"/>
      <c r="C99" s="507" t="s">
        <v>1733</v>
      </c>
      <c r="D99" s="507"/>
      <c r="E99" s="507"/>
      <c r="F99" s="507"/>
      <c r="G99" s="507"/>
      <c r="H99" s="507"/>
      <c r="I99" s="507"/>
      <c r="J99" s="480">
        <f>'LBO - Financials'!G101</f>
        <v>0</v>
      </c>
      <c r="K99" s="480">
        <f ca="1">'LBO - Financials'!H101</f>
        <v>0</v>
      </c>
      <c r="L99" s="480">
        <f ca="1">'LBO - Financials'!I101</f>
        <v>0</v>
      </c>
      <c r="M99" s="480">
        <f ca="1">'LBO - Financials'!J101</f>
        <v>0</v>
      </c>
      <c r="N99" s="480">
        <f ca="1">'LBO - Financials'!K101</f>
        <v>0</v>
      </c>
      <c r="O99" s="480">
        <f ca="1">'LBO - Financials'!L101</f>
        <v>0</v>
      </c>
      <c r="P99" s="480">
        <f ca="1">'LBO - Financials'!M101</f>
        <v>0</v>
      </c>
      <c r="Q99" s="500"/>
      <c r="R99" s="501">
        <f t="shared" si="22"/>
        <v>1</v>
      </c>
      <c r="S99" s="502">
        <v>1</v>
      </c>
      <c r="T99" s="507"/>
      <c r="U99" s="507"/>
      <c r="V99" s="503"/>
      <c r="W99" s="503"/>
      <c r="X99" s="503"/>
      <c r="Y99" s="503"/>
      <c r="Z99" s="503"/>
      <c r="AA99" s="503"/>
      <c r="AB99" s="503"/>
      <c r="AC99" s="503"/>
    </row>
    <row r="100" spans="1:29">
      <c r="A100" s="507"/>
      <c r="B100" s="507"/>
      <c r="C100" s="507" t="s">
        <v>1297</v>
      </c>
      <c r="D100" s="507"/>
      <c r="E100" s="507"/>
      <c r="F100" s="507"/>
      <c r="G100" s="507"/>
      <c r="H100" s="507"/>
      <c r="I100" s="507"/>
      <c r="J100" s="480">
        <f>'LBO - Financials'!G102</f>
        <v>0</v>
      </c>
      <c r="K100" s="480">
        <f ca="1">'LBO - Financials'!H102</f>
        <v>0</v>
      </c>
      <c r="L100" s="480">
        <f ca="1">'LBO - Financials'!I102</f>
        <v>0</v>
      </c>
      <c r="M100" s="480">
        <f ca="1">'LBO - Financials'!J102</f>
        <v>0</v>
      </c>
      <c r="N100" s="480">
        <f ca="1">'LBO - Financials'!K102</f>
        <v>0</v>
      </c>
      <c r="O100" s="480">
        <f ca="1">'LBO - Financials'!L102</f>
        <v>0</v>
      </c>
      <c r="P100" s="480">
        <f ca="1">'LBO - Financials'!M102</f>
        <v>0</v>
      </c>
      <c r="Q100" s="500"/>
      <c r="R100" s="501">
        <f t="shared" si="22"/>
        <v>1</v>
      </c>
      <c r="S100" s="502">
        <v>1</v>
      </c>
      <c r="T100" s="507"/>
      <c r="U100" s="507"/>
      <c r="V100" s="503"/>
      <c r="W100" s="503"/>
      <c r="X100" s="503"/>
      <c r="Y100" s="503"/>
      <c r="Z100" s="503"/>
      <c r="AA100" s="503"/>
      <c r="AB100" s="503"/>
      <c r="AC100" s="503"/>
    </row>
    <row r="101" spans="1:29">
      <c r="A101" s="507"/>
      <c r="B101" s="507"/>
      <c r="C101" s="508" t="s">
        <v>1734</v>
      </c>
      <c r="D101" s="508"/>
      <c r="E101" s="508"/>
      <c r="F101" s="508"/>
      <c r="G101" s="508"/>
      <c r="H101" s="508"/>
      <c r="I101" s="508"/>
      <c r="J101" s="509">
        <f ca="1">'LBO - Financials'!G103</f>
        <v>0</v>
      </c>
      <c r="K101" s="509">
        <f ca="1">'LBO - Financials'!H103</f>
        <v>0</v>
      </c>
      <c r="L101" s="509">
        <f ca="1">'LBO - Financials'!I103</f>
        <v>0</v>
      </c>
      <c r="M101" s="509">
        <f ca="1">'LBO - Financials'!J103</f>
        <v>0</v>
      </c>
      <c r="N101" s="509">
        <f ca="1">'LBO - Financials'!K103</f>
        <v>0</v>
      </c>
      <c r="O101" s="509">
        <f ca="1">'LBO - Financials'!L103</f>
        <v>0</v>
      </c>
      <c r="P101" s="509">
        <f ca="1">'LBO - Financials'!M103</f>
        <v>0</v>
      </c>
      <c r="Q101" s="500"/>
      <c r="R101" s="501">
        <f t="shared" si="22"/>
        <v>1</v>
      </c>
      <c r="S101" s="502">
        <v>1</v>
      </c>
      <c r="T101" s="507"/>
      <c r="U101" s="507"/>
      <c r="V101" s="503"/>
      <c r="W101" s="503"/>
      <c r="X101" s="503"/>
      <c r="Y101" s="503"/>
      <c r="Z101" s="503"/>
      <c r="AA101" s="503"/>
      <c r="AB101" s="503"/>
      <c r="AC101" s="503"/>
    </row>
    <row r="102" spans="1:29">
      <c r="A102" s="507"/>
      <c r="B102" s="507"/>
      <c r="C102" s="507" t="s">
        <v>1735</v>
      </c>
      <c r="D102" s="507"/>
      <c r="E102" s="507"/>
      <c r="F102" s="507"/>
      <c r="G102" s="507"/>
      <c r="H102" s="507"/>
      <c r="I102" s="507"/>
      <c r="J102" s="480">
        <f>'LBO - Financials'!G$132</f>
        <v>0</v>
      </c>
      <c r="K102" s="480">
        <f ca="1">'LBO - Financials'!H$132</f>
        <v>0</v>
      </c>
      <c r="L102" s="480">
        <f ca="1">'LBO - Financials'!I$132</f>
        <v>0</v>
      </c>
      <c r="M102" s="480">
        <f ca="1">'LBO - Financials'!J$132</f>
        <v>0</v>
      </c>
      <c r="N102" s="480">
        <f ca="1">'LBO - Financials'!K$132</f>
        <v>0</v>
      </c>
      <c r="O102" s="480">
        <f ca="1">'LBO - Financials'!L$132</f>
        <v>0</v>
      </c>
      <c r="P102" s="480">
        <f ca="1">'LBO - Financials'!M$132</f>
        <v>0</v>
      </c>
      <c r="Q102" s="500"/>
      <c r="R102" s="501">
        <f t="shared" si="22"/>
        <v>1</v>
      </c>
      <c r="S102" s="502">
        <v>1</v>
      </c>
      <c r="T102" s="507"/>
      <c r="U102" s="507"/>
      <c r="V102" s="503"/>
      <c r="W102" s="503"/>
      <c r="X102" s="503"/>
      <c r="Y102" s="503"/>
      <c r="Z102" s="503"/>
      <c r="AA102" s="503"/>
      <c r="AB102" s="503"/>
      <c r="AC102" s="503"/>
    </row>
    <row r="103" spans="1:29" ht="5.85" customHeight="1">
      <c r="A103" s="507"/>
      <c r="B103" s="507"/>
      <c r="C103" s="507"/>
      <c r="D103" s="507"/>
      <c r="E103" s="507"/>
      <c r="F103" s="507"/>
      <c r="G103" s="507"/>
      <c r="H103" s="507"/>
      <c r="I103" s="507"/>
      <c r="J103" s="475"/>
      <c r="K103" s="475"/>
      <c r="L103" s="475"/>
      <c r="M103" s="475"/>
      <c r="N103" s="475"/>
      <c r="O103" s="475"/>
      <c r="P103" s="475"/>
      <c r="Q103" s="500"/>
      <c r="R103" s="501">
        <f t="shared" si="22"/>
        <v>0</v>
      </c>
      <c r="S103" s="502">
        <v>0</v>
      </c>
      <c r="T103" s="507"/>
      <c r="U103" s="507"/>
      <c r="V103" s="503"/>
      <c r="W103" s="503"/>
      <c r="X103" s="503"/>
      <c r="Y103" s="503"/>
      <c r="Z103" s="503"/>
      <c r="AA103" s="503"/>
      <c r="AB103" s="503"/>
      <c r="AC103" s="503"/>
    </row>
    <row r="104" spans="1:29">
      <c r="A104" s="507"/>
      <c r="B104" s="507"/>
      <c r="C104" s="520" t="s">
        <v>1736</v>
      </c>
      <c r="D104" s="507"/>
      <c r="E104" s="507"/>
      <c r="F104" s="507"/>
      <c r="G104" s="507"/>
      <c r="H104" s="507"/>
      <c r="I104" s="507"/>
      <c r="J104" s="475"/>
      <c r="K104" s="475"/>
      <c r="L104" s="475"/>
      <c r="M104" s="475"/>
      <c r="N104" s="475"/>
      <c r="O104" s="475"/>
      <c r="P104" s="475"/>
      <c r="Q104" s="500"/>
      <c r="R104" s="501">
        <f t="shared" si="22"/>
        <v>1</v>
      </c>
      <c r="S104" s="502">
        <v>1</v>
      </c>
      <c r="T104" s="507"/>
      <c r="U104" s="507"/>
      <c r="V104" s="503"/>
      <c r="W104" s="503"/>
      <c r="X104" s="503"/>
      <c r="Y104" s="503"/>
      <c r="Z104" s="503"/>
      <c r="AA104" s="503"/>
      <c r="AB104" s="503"/>
      <c r="AC104" s="503"/>
    </row>
    <row r="105" spans="1:29">
      <c r="A105" s="507"/>
      <c r="B105" s="507"/>
      <c r="C105" s="507" t="s">
        <v>1733</v>
      </c>
      <c r="D105" s="507"/>
      <c r="E105" s="507"/>
      <c r="F105" s="507"/>
      <c r="G105" s="507"/>
      <c r="H105" s="507"/>
      <c r="I105" s="507"/>
      <c r="J105" s="480">
        <f>'LBO - Financials'!G96</f>
        <v>0</v>
      </c>
      <c r="K105" s="480">
        <f ca="1">'LBO - Financials'!H96</f>
        <v>0</v>
      </c>
      <c r="L105" s="480">
        <f ca="1">'LBO - Financials'!I96</f>
        <v>0</v>
      </c>
      <c r="M105" s="480">
        <f ca="1">'LBO - Financials'!J96</f>
        <v>0</v>
      </c>
      <c r="N105" s="480">
        <f ca="1">'LBO - Financials'!K96</f>
        <v>0</v>
      </c>
      <c r="O105" s="480">
        <f ca="1">'LBO - Financials'!L96</f>
        <v>0</v>
      </c>
      <c r="P105" s="480">
        <f ca="1">'LBO - Financials'!M96</f>
        <v>0</v>
      </c>
      <c r="Q105" s="500"/>
      <c r="R105" s="501">
        <f t="shared" si="22"/>
        <v>1</v>
      </c>
      <c r="S105" s="502">
        <v>1</v>
      </c>
      <c r="T105" s="507"/>
      <c r="U105" s="507"/>
      <c r="V105" s="503"/>
      <c r="W105" s="503"/>
      <c r="X105" s="503"/>
      <c r="Y105" s="503"/>
      <c r="Z105" s="503"/>
      <c r="AA105" s="503"/>
      <c r="AB105" s="503"/>
      <c r="AC105" s="503"/>
    </row>
    <row r="106" spans="1:29">
      <c r="A106" s="507"/>
      <c r="B106" s="507"/>
      <c r="C106" s="507" t="s">
        <v>1297</v>
      </c>
      <c r="D106" s="507"/>
      <c r="E106" s="507"/>
      <c r="F106" s="507"/>
      <c r="G106" s="507"/>
      <c r="H106" s="507"/>
      <c r="I106" s="507"/>
      <c r="J106" s="480">
        <f>'LBO - Financials'!G97</f>
        <v>0</v>
      </c>
      <c r="K106" s="480">
        <f ca="1">'LBO - Financials'!H97</f>
        <v>0</v>
      </c>
      <c r="L106" s="480">
        <f ca="1">'LBO - Financials'!I97</f>
        <v>0</v>
      </c>
      <c r="M106" s="480">
        <f ca="1">'LBO - Financials'!J97</f>
        <v>0</v>
      </c>
      <c r="N106" s="480">
        <f ca="1">'LBO - Financials'!K97</f>
        <v>0</v>
      </c>
      <c r="O106" s="480">
        <f ca="1">'LBO - Financials'!L97</f>
        <v>0</v>
      </c>
      <c r="P106" s="480">
        <f ca="1">'LBO - Financials'!M97</f>
        <v>0</v>
      </c>
      <c r="Q106" s="500"/>
      <c r="R106" s="501">
        <f t="shared" si="22"/>
        <v>1</v>
      </c>
      <c r="S106" s="502">
        <v>1</v>
      </c>
      <c r="T106" s="507"/>
      <c r="U106" s="507"/>
      <c r="V106" s="503"/>
      <c r="W106" s="503"/>
      <c r="X106" s="503"/>
      <c r="Y106" s="503"/>
      <c r="Z106" s="503"/>
      <c r="AA106" s="503"/>
      <c r="AB106" s="503"/>
      <c r="AC106" s="503"/>
    </row>
    <row r="107" spans="1:29">
      <c r="A107" s="507"/>
      <c r="B107" s="507"/>
      <c r="C107" s="510" t="s">
        <v>1737</v>
      </c>
      <c r="D107" s="510"/>
      <c r="E107" s="510"/>
      <c r="F107" s="510"/>
      <c r="G107" s="510"/>
      <c r="H107" s="510"/>
      <c r="I107" s="510"/>
      <c r="J107" s="509">
        <f ca="1">'LBO - Financials'!G98</f>
        <v>0</v>
      </c>
      <c r="K107" s="509">
        <f ca="1">'LBO - Financials'!H98</f>
        <v>0</v>
      </c>
      <c r="L107" s="509">
        <f ca="1">'LBO - Financials'!I98</f>
        <v>0</v>
      </c>
      <c r="M107" s="509">
        <f ca="1">'LBO - Financials'!J98</f>
        <v>0</v>
      </c>
      <c r="N107" s="509">
        <f ca="1">'LBO - Financials'!K98</f>
        <v>0</v>
      </c>
      <c r="O107" s="509">
        <f ca="1">'LBO - Financials'!L98</f>
        <v>0</v>
      </c>
      <c r="P107" s="509">
        <f ca="1">'LBO - Financials'!M98</f>
        <v>0</v>
      </c>
      <c r="Q107" s="500"/>
      <c r="R107" s="501">
        <f t="shared" si="22"/>
        <v>1</v>
      </c>
      <c r="S107" s="502">
        <v>1</v>
      </c>
      <c r="T107" s="507"/>
      <c r="U107" s="507"/>
      <c r="V107" s="503"/>
      <c r="W107" s="503"/>
      <c r="X107" s="503"/>
      <c r="Y107" s="503"/>
      <c r="Z107" s="503"/>
      <c r="AA107" s="503"/>
      <c r="AB107" s="503"/>
      <c r="AC107" s="503"/>
    </row>
    <row r="108" spans="1:29">
      <c r="A108" s="507"/>
      <c r="B108" s="507"/>
      <c r="C108" s="507" t="s">
        <v>1738</v>
      </c>
      <c r="D108" s="507"/>
      <c r="E108" s="507"/>
      <c r="F108" s="507"/>
      <c r="G108" s="507"/>
      <c r="H108" s="507"/>
      <c r="I108" s="507"/>
      <c r="J108" s="480">
        <f>'LBO - Financials'!G133</f>
        <v>0</v>
      </c>
      <c r="K108" s="480">
        <f ca="1">'LBO - Financials'!H133</f>
        <v>0</v>
      </c>
      <c r="L108" s="480">
        <f ca="1">'LBO - Financials'!I133</f>
        <v>0</v>
      </c>
      <c r="M108" s="480">
        <f ca="1">'LBO - Financials'!J133</f>
        <v>0</v>
      </c>
      <c r="N108" s="480">
        <f ca="1">'LBO - Financials'!K133</f>
        <v>0</v>
      </c>
      <c r="O108" s="480">
        <f ca="1">'LBO - Financials'!L133</f>
        <v>0</v>
      </c>
      <c r="P108" s="480">
        <f ca="1">'LBO - Financials'!M133</f>
        <v>0</v>
      </c>
      <c r="Q108" s="500"/>
      <c r="R108" s="501">
        <f t="shared" si="22"/>
        <v>1</v>
      </c>
      <c r="S108" s="502">
        <v>1</v>
      </c>
      <c r="T108" s="507"/>
      <c r="U108" s="507"/>
      <c r="V108" s="503"/>
      <c r="W108" s="503"/>
      <c r="X108" s="503"/>
      <c r="Y108" s="503"/>
      <c r="Z108" s="503"/>
      <c r="AA108" s="503"/>
      <c r="AB108" s="503"/>
      <c r="AC108" s="503"/>
    </row>
    <row r="109" spans="1:29" ht="5.85" customHeight="1">
      <c r="A109" s="507"/>
      <c r="B109" s="507"/>
      <c r="C109" s="507"/>
      <c r="D109" s="507"/>
      <c r="E109" s="507"/>
      <c r="F109" s="507"/>
      <c r="G109" s="507"/>
      <c r="H109" s="507"/>
      <c r="I109" s="507"/>
      <c r="J109" s="475"/>
      <c r="K109" s="475"/>
      <c r="L109" s="475"/>
      <c r="M109" s="475"/>
      <c r="N109" s="475"/>
      <c r="O109" s="475"/>
      <c r="P109" s="475"/>
      <c r="Q109" s="500"/>
      <c r="R109" s="501">
        <f t="shared" si="22"/>
        <v>0</v>
      </c>
      <c r="S109" s="502">
        <v>0</v>
      </c>
      <c r="T109" s="507"/>
      <c r="U109" s="507"/>
      <c r="V109" s="503"/>
      <c r="W109" s="503"/>
      <c r="X109" s="503"/>
      <c r="Y109" s="503"/>
      <c r="Z109" s="503"/>
      <c r="AA109" s="503"/>
      <c r="AB109" s="503"/>
      <c r="AC109" s="503"/>
    </row>
    <row r="110" spans="1:29">
      <c r="A110" s="507"/>
      <c r="B110" s="507"/>
      <c r="C110" s="520" t="s">
        <v>1668</v>
      </c>
      <c r="D110" s="507"/>
      <c r="E110" s="507"/>
      <c r="F110" s="507"/>
      <c r="G110" s="507"/>
      <c r="H110" s="507"/>
      <c r="I110" s="507"/>
      <c r="J110" s="475"/>
      <c r="K110" s="475"/>
      <c r="L110" s="475"/>
      <c r="M110" s="475"/>
      <c r="N110" s="475"/>
      <c r="O110" s="475"/>
      <c r="P110" s="475"/>
      <c r="Q110" s="500"/>
      <c r="R110" s="501">
        <f t="shared" si="22"/>
        <v>1</v>
      </c>
      <c r="S110" s="502">
        <v>1</v>
      </c>
      <c r="T110" s="507"/>
      <c r="U110" s="507"/>
      <c r="V110" s="503"/>
      <c r="W110" s="503"/>
      <c r="X110" s="503"/>
      <c r="Y110" s="503"/>
      <c r="Z110" s="503"/>
      <c r="AA110" s="503"/>
      <c r="AB110" s="503"/>
      <c r="AC110" s="503"/>
    </row>
    <row r="111" spans="1:29">
      <c r="A111" s="507"/>
      <c r="B111" s="507"/>
      <c r="C111" s="507" t="s">
        <v>1733</v>
      </c>
      <c r="D111" s="507"/>
      <c r="E111" s="507"/>
      <c r="F111" s="507"/>
      <c r="G111" s="507"/>
      <c r="H111" s="507"/>
      <c r="I111" s="483"/>
      <c r="J111" s="480">
        <f>'LBO - Financials'!G106</f>
        <v>0</v>
      </c>
      <c r="K111" s="480">
        <f ca="1">'LBO - Financials'!H106</f>
        <v>0</v>
      </c>
      <c r="L111" s="480">
        <f ca="1">'LBO - Financials'!I106</f>
        <v>0</v>
      </c>
      <c r="M111" s="480">
        <f ca="1">'LBO - Financials'!J106</f>
        <v>0</v>
      </c>
      <c r="N111" s="480">
        <f ca="1">'LBO - Financials'!K106</f>
        <v>0</v>
      </c>
      <c r="O111" s="480">
        <f ca="1">'LBO - Financials'!L106</f>
        <v>0</v>
      </c>
      <c r="P111" s="480">
        <f ca="1">'LBO - Financials'!M106</f>
        <v>0</v>
      </c>
      <c r="Q111" s="500"/>
      <c r="R111" s="501">
        <f t="shared" si="22"/>
        <v>1</v>
      </c>
      <c r="S111" s="502">
        <v>1</v>
      </c>
      <c r="T111" s="507"/>
      <c r="U111" s="507"/>
      <c r="V111" s="503"/>
      <c r="W111" s="503"/>
      <c r="X111" s="503"/>
      <c r="Y111" s="503"/>
      <c r="Z111" s="503"/>
      <c r="AA111" s="503"/>
      <c r="AB111" s="503"/>
      <c r="AC111" s="503"/>
    </row>
    <row r="112" spans="1:29">
      <c r="A112" s="507"/>
      <c r="B112" s="507"/>
      <c r="C112" s="507" t="s">
        <v>1297</v>
      </c>
      <c r="D112" s="507"/>
      <c r="E112" s="507"/>
      <c r="F112" s="507"/>
      <c r="G112" s="507"/>
      <c r="H112" s="507"/>
      <c r="I112" s="483"/>
      <c r="J112" s="480">
        <f>'LBO - Financials'!G107</f>
        <v>0</v>
      </c>
      <c r="K112" s="480">
        <f ca="1">'LBO - Financials'!H107</f>
        <v>0</v>
      </c>
      <c r="L112" s="480">
        <f ca="1">'LBO - Financials'!I107</f>
        <v>0</v>
      </c>
      <c r="M112" s="480">
        <f ca="1">'LBO - Financials'!J107</f>
        <v>0</v>
      </c>
      <c r="N112" s="480">
        <f ca="1">'LBO - Financials'!K107</f>
        <v>0</v>
      </c>
      <c r="O112" s="480">
        <f ca="1">'LBO - Financials'!L107</f>
        <v>0</v>
      </c>
      <c r="P112" s="480">
        <f ca="1">'LBO - Financials'!M107</f>
        <v>0</v>
      </c>
      <c r="Q112" s="500"/>
      <c r="R112" s="501">
        <f t="shared" si="22"/>
        <v>1</v>
      </c>
      <c r="S112" s="502">
        <v>1</v>
      </c>
      <c r="T112" s="507"/>
      <c r="U112" s="507"/>
      <c r="V112" s="503"/>
      <c r="W112" s="503"/>
      <c r="X112" s="503"/>
      <c r="Y112" s="503"/>
      <c r="Z112" s="503"/>
      <c r="AA112" s="503"/>
      <c r="AB112" s="503"/>
      <c r="AC112" s="503"/>
    </row>
    <row r="113" spans="1:29">
      <c r="A113" s="507"/>
      <c r="B113" s="507"/>
      <c r="C113" s="510" t="s">
        <v>1739</v>
      </c>
      <c r="D113" s="510"/>
      <c r="E113" s="510"/>
      <c r="F113" s="510"/>
      <c r="G113" s="510"/>
      <c r="H113" s="510"/>
      <c r="I113" s="511"/>
      <c r="J113" s="509">
        <f ca="1">'LBO - Financials'!G108</f>
        <v>0</v>
      </c>
      <c r="K113" s="509">
        <f ca="1">'LBO - Financials'!H108</f>
        <v>0</v>
      </c>
      <c r="L113" s="509">
        <f ca="1">'LBO - Financials'!I108</f>
        <v>0</v>
      </c>
      <c r="M113" s="509">
        <f ca="1">'LBO - Financials'!J108</f>
        <v>0</v>
      </c>
      <c r="N113" s="509">
        <f ca="1">'LBO - Financials'!K108</f>
        <v>0</v>
      </c>
      <c r="O113" s="509">
        <f ca="1">'LBO - Financials'!L108</f>
        <v>0</v>
      </c>
      <c r="P113" s="509">
        <f ca="1">'LBO - Financials'!M108</f>
        <v>0</v>
      </c>
      <c r="Q113" s="500"/>
      <c r="R113" s="501">
        <f t="shared" si="22"/>
        <v>1</v>
      </c>
      <c r="S113" s="502">
        <v>1</v>
      </c>
      <c r="T113" s="507"/>
      <c r="U113" s="507"/>
      <c r="V113" s="503"/>
      <c r="W113" s="503"/>
      <c r="X113" s="503"/>
      <c r="Y113" s="503"/>
      <c r="Z113" s="503"/>
      <c r="AA113" s="503"/>
      <c r="AB113" s="503"/>
      <c r="AC113" s="503"/>
    </row>
    <row r="114" spans="1:29">
      <c r="A114" s="507"/>
      <c r="B114" s="507"/>
      <c r="C114" s="507" t="s">
        <v>1740</v>
      </c>
      <c r="D114" s="507"/>
      <c r="E114" s="507"/>
      <c r="F114" s="507"/>
      <c r="G114" s="507"/>
      <c r="H114" s="507"/>
      <c r="I114" s="507"/>
      <c r="J114" s="480">
        <f>'LBO - Financials'!G134</f>
        <v>0</v>
      </c>
      <c r="K114" s="480">
        <f ca="1">'LBO - Financials'!H134</f>
        <v>0</v>
      </c>
      <c r="L114" s="480">
        <f ca="1">'LBO - Financials'!I134</f>
        <v>0</v>
      </c>
      <c r="M114" s="480">
        <f ca="1">'LBO - Financials'!J134</f>
        <v>0</v>
      </c>
      <c r="N114" s="480">
        <f ca="1">'LBO - Financials'!K134</f>
        <v>0</v>
      </c>
      <c r="O114" s="480">
        <f ca="1">'LBO - Financials'!L134</f>
        <v>0</v>
      </c>
      <c r="P114" s="480">
        <f ca="1">'LBO - Financials'!M134</f>
        <v>0</v>
      </c>
      <c r="Q114" s="500"/>
      <c r="R114" s="501">
        <f t="shared" si="22"/>
        <v>1</v>
      </c>
      <c r="S114" s="502">
        <v>1</v>
      </c>
      <c r="T114" s="507"/>
      <c r="U114" s="507"/>
      <c r="V114" s="503"/>
      <c r="W114" s="503"/>
      <c r="X114" s="503"/>
      <c r="Y114" s="503"/>
      <c r="Z114" s="503"/>
      <c r="AA114" s="503"/>
      <c r="AB114" s="503"/>
      <c r="AC114" s="503"/>
    </row>
    <row r="115" spans="1:29" ht="3.75" customHeight="1">
      <c r="A115" s="507"/>
      <c r="B115" s="507"/>
      <c r="C115" s="507"/>
      <c r="D115" s="507"/>
      <c r="E115" s="507"/>
      <c r="F115" s="507"/>
      <c r="G115" s="507"/>
      <c r="H115" s="507"/>
      <c r="I115" s="507"/>
      <c r="J115" s="480"/>
      <c r="K115" s="480"/>
      <c r="L115" s="480"/>
      <c r="M115" s="480"/>
      <c r="N115" s="480"/>
      <c r="O115" s="480"/>
      <c r="P115" s="480"/>
      <c r="Q115" s="500"/>
      <c r="R115" s="501">
        <f t="shared" si="22"/>
        <v>0</v>
      </c>
      <c r="S115" s="502">
        <v>0</v>
      </c>
      <c r="T115" s="507"/>
      <c r="U115" s="507"/>
      <c r="V115" s="503"/>
      <c r="W115" s="503"/>
      <c r="X115" s="503"/>
      <c r="Y115" s="503"/>
      <c r="Z115" s="503"/>
      <c r="AA115" s="503"/>
      <c r="AB115" s="503"/>
      <c r="AC115" s="503"/>
    </row>
    <row r="116" spans="1:29">
      <c r="A116" s="507"/>
      <c r="B116" s="507"/>
      <c r="C116" s="520" t="s">
        <v>1741</v>
      </c>
      <c r="D116" s="507"/>
      <c r="E116" s="507"/>
      <c r="F116" s="507"/>
      <c r="G116" s="507"/>
      <c r="H116" s="507"/>
      <c r="I116" s="507"/>
      <c r="J116" s="475"/>
      <c r="K116" s="475"/>
      <c r="L116" s="475"/>
      <c r="M116" s="475"/>
      <c r="N116" s="475"/>
      <c r="O116" s="475"/>
      <c r="P116" s="475"/>
      <c r="Q116" s="500"/>
      <c r="R116" s="501">
        <f t="shared" si="22"/>
        <v>1</v>
      </c>
      <c r="S116" s="502">
        <v>1</v>
      </c>
      <c r="T116" s="507"/>
      <c r="U116" s="507"/>
      <c r="V116" s="503"/>
      <c r="W116" s="503"/>
      <c r="X116" s="503"/>
      <c r="Y116" s="503"/>
      <c r="Z116" s="503"/>
      <c r="AA116" s="503"/>
      <c r="AB116" s="503"/>
      <c r="AC116" s="503"/>
    </row>
    <row r="117" spans="1:29">
      <c r="A117" s="507"/>
      <c r="B117" s="507"/>
      <c r="C117" s="507" t="s">
        <v>1733</v>
      </c>
      <c r="D117" s="507"/>
      <c r="E117" s="507"/>
      <c r="F117" s="507"/>
      <c r="G117" s="507"/>
      <c r="H117" s="507"/>
      <c r="I117" s="483"/>
      <c r="J117" s="480">
        <f>'LBO - Financials'!G111</f>
        <v>0</v>
      </c>
      <c r="K117" s="480">
        <f ca="1">'LBO - Financials'!H111</f>
        <v>0</v>
      </c>
      <c r="L117" s="480">
        <f ca="1">'LBO - Financials'!I111</f>
        <v>0</v>
      </c>
      <c r="M117" s="480">
        <f ca="1">'LBO - Financials'!J111</f>
        <v>0</v>
      </c>
      <c r="N117" s="480">
        <f ca="1">'LBO - Financials'!K111</f>
        <v>0</v>
      </c>
      <c r="O117" s="480">
        <f ca="1">'LBO - Financials'!L111</f>
        <v>0</v>
      </c>
      <c r="P117" s="480">
        <f ca="1">'LBO - Financials'!M111</f>
        <v>0</v>
      </c>
      <c r="Q117" s="500"/>
      <c r="R117" s="501">
        <f t="shared" si="22"/>
        <v>1</v>
      </c>
      <c r="S117" s="502">
        <v>1</v>
      </c>
      <c r="T117" s="507"/>
      <c r="U117" s="507"/>
      <c r="V117" s="503"/>
      <c r="W117" s="503"/>
      <c r="X117" s="503"/>
      <c r="Y117" s="503"/>
      <c r="Z117" s="503"/>
      <c r="AA117" s="503"/>
      <c r="AB117" s="503"/>
      <c r="AC117" s="503"/>
    </row>
    <row r="118" spans="1:29">
      <c r="A118" s="507"/>
      <c r="B118" s="507"/>
      <c r="C118" s="507" t="s">
        <v>1297</v>
      </c>
      <c r="D118" s="507"/>
      <c r="E118" s="507"/>
      <c r="F118" s="507"/>
      <c r="G118" s="507"/>
      <c r="H118" s="507"/>
      <c r="I118" s="1134"/>
      <c r="J118" s="480">
        <f>'LBO - Financials'!G112</f>
        <v>0</v>
      </c>
      <c r="K118" s="480">
        <f ca="1">'LBO - Financials'!H112</f>
        <v>0</v>
      </c>
      <c r="L118" s="480">
        <f ca="1">'LBO - Financials'!I112</f>
        <v>0</v>
      </c>
      <c r="M118" s="480">
        <f ca="1">'LBO - Financials'!J112</f>
        <v>0</v>
      </c>
      <c r="N118" s="480">
        <f ca="1">'LBO - Financials'!K112</f>
        <v>0</v>
      </c>
      <c r="O118" s="480">
        <f ca="1">'LBO - Financials'!L112</f>
        <v>0</v>
      </c>
      <c r="P118" s="480">
        <f ca="1">'LBO - Financials'!M112</f>
        <v>0</v>
      </c>
      <c r="Q118" s="500"/>
      <c r="R118" s="501">
        <f t="shared" si="22"/>
        <v>1</v>
      </c>
      <c r="S118" s="502">
        <v>1</v>
      </c>
      <c r="T118" s="507"/>
      <c r="U118" s="507"/>
      <c r="V118" s="503"/>
      <c r="W118" s="503"/>
      <c r="X118" s="503"/>
      <c r="Y118" s="503"/>
      <c r="Z118" s="503"/>
      <c r="AA118" s="503"/>
      <c r="AB118" s="503"/>
      <c r="AC118" s="503"/>
    </row>
    <row r="119" spans="1:29">
      <c r="A119" s="507"/>
      <c r="B119" s="507"/>
      <c r="C119" s="510" t="s">
        <v>1742</v>
      </c>
      <c r="D119" s="510"/>
      <c r="E119" s="510"/>
      <c r="F119" s="510"/>
      <c r="G119" s="510"/>
      <c r="H119" s="510"/>
      <c r="I119" s="507"/>
      <c r="J119" s="509">
        <f t="shared" ref="J119:P119" si="28">SUM(J117:J118)</f>
        <v>0</v>
      </c>
      <c r="K119" s="509">
        <f t="shared" ca="1" si="28"/>
        <v>0</v>
      </c>
      <c r="L119" s="509">
        <f t="shared" ca="1" si="28"/>
        <v>0</v>
      </c>
      <c r="M119" s="509">
        <f t="shared" ca="1" si="28"/>
        <v>0</v>
      </c>
      <c r="N119" s="509">
        <f t="shared" ca="1" si="28"/>
        <v>0</v>
      </c>
      <c r="O119" s="509">
        <f t="shared" ca="1" si="28"/>
        <v>0</v>
      </c>
      <c r="P119" s="509">
        <f t="shared" ca="1" si="28"/>
        <v>0</v>
      </c>
      <c r="Q119" s="500"/>
      <c r="R119" s="501">
        <f t="shared" si="22"/>
        <v>1</v>
      </c>
      <c r="S119" s="502">
        <v>1</v>
      </c>
      <c r="T119" s="507"/>
      <c r="U119" s="507"/>
      <c r="V119" s="503"/>
      <c r="W119" s="503"/>
      <c r="X119" s="503"/>
      <c r="Y119" s="503"/>
      <c r="Z119" s="503"/>
      <c r="AA119" s="503"/>
      <c r="AB119" s="503"/>
      <c r="AC119" s="503"/>
    </row>
    <row r="120" spans="1:29">
      <c r="A120" s="507"/>
      <c r="B120" s="507"/>
      <c r="C120" s="507" t="s">
        <v>1743</v>
      </c>
      <c r="D120" s="507"/>
      <c r="E120" s="507"/>
      <c r="F120" s="507"/>
      <c r="G120" s="507"/>
      <c r="H120" s="507"/>
      <c r="I120" s="507"/>
      <c r="J120" s="480">
        <f>'LBO - Financials'!G135</f>
        <v>0</v>
      </c>
      <c r="K120" s="480">
        <f ca="1">'LBO - Financials'!H135</f>
        <v>0</v>
      </c>
      <c r="L120" s="480">
        <f ca="1">'LBO - Financials'!I135</f>
        <v>0</v>
      </c>
      <c r="M120" s="480">
        <f ca="1">'LBO - Financials'!J135</f>
        <v>0</v>
      </c>
      <c r="N120" s="480">
        <f ca="1">'LBO - Financials'!K135</f>
        <v>0</v>
      </c>
      <c r="O120" s="480">
        <f ca="1">'LBO - Financials'!L135</f>
        <v>0</v>
      </c>
      <c r="P120" s="480">
        <f ca="1">'LBO - Financials'!M135</f>
        <v>0</v>
      </c>
      <c r="Q120" s="500"/>
      <c r="R120" s="501">
        <f t="shared" si="22"/>
        <v>1</v>
      </c>
      <c r="S120" s="502">
        <v>1</v>
      </c>
      <c r="T120" s="507"/>
      <c r="U120" s="507"/>
      <c r="V120" s="503"/>
      <c r="W120" s="503"/>
      <c r="X120" s="503"/>
      <c r="Y120" s="503"/>
      <c r="Z120" s="503"/>
      <c r="AA120" s="503"/>
      <c r="AB120" s="503"/>
      <c r="AC120" s="503"/>
    </row>
    <row r="121" spans="1:29">
      <c r="A121" s="507"/>
      <c r="B121" s="507"/>
      <c r="C121" s="507"/>
      <c r="D121" s="507"/>
      <c r="E121" s="507"/>
      <c r="F121" s="507"/>
      <c r="G121" s="507"/>
      <c r="H121" s="507"/>
      <c r="I121" s="507"/>
      <c r="J121" s="475"/>
      <c r="K121" s="475"/>
      <c r="L121" s="475"/>
      <c r="M121" s="475"/>
      <c r="N121" s="475"/>
      <c r="O121" s="507"/>
      <c r="P121" s="507"/>
      <c r="Q121" s="500"/>
      <c r="R121" s="507"/>
      <c r="S121" s="507"/>
      <c r="T121" s="507"/>
      <c r="U121" s="507"/>
      <c r="V121" s="503"/>
      <c r="W121" s="503"/>
      <c r="X121" s="503"/>
      <c r="Y121" s="503"/>
      <c r="Z121" s="503"/>
      <c r="AA121" s="503"/>
      <c r="AB121" s="503"/>
      <c r="AC121" s="503"/>
    </row>
    <row r="122" spans="1:29" hidden="1">
      <c r="A122" s="503"/>
      <c r="B122" s="503"/>
      <c r="C122" s="503"/>
      <c r="D122" s="503"/>
      <c r="E122" s="503"/>
      <c r="F122" s="503"/>
      <c r="G122" s="503"/>
      <c r="H122" s="503"/>
      <c r="I122" s="503"/>
      <c r="J122" s="503"/>
      <c r="K122" s="503"/>
      <c r="L122" s="503"/>
      <c r="M122" s="503"/>
      <c r="N122" s="503"/>
      <c r="O122" s="503"/>
      <c r="P122" s="503"/>
      <c r="Q122" s="503"/>
      <c r="R122" s="503"/>
      <c r="S122" s="503"/>
      <c r="T122" s="503"/>
      <c r="U122" s="503"/>
      <c r="V122" s="503"/>
      <c r="W122" s="503"/>
      <c r="X122" s="503"/>
      <c r="Y122" s="503"/>
      <c r="Z122" s="503"/>
      <c r="AA122" s="503"/>
      <c r="AB122" s="503"/>
      <c r="AC122" s="503"/>
    </row>
    <row r="123" spans="1:29" hidden="1">
      <c r="A123" s="503"/>
      <c r="B123" s="503"/>
      <c r="C123" s="503"/>
      <c r="D123" s="503"/>
      <c r="E123" s="503"/>
      <c r="F123" s="503"/>
      <c r="G123" s="503"/>
      <c r="H123" s="503"/>
      <c r="I123" s="503"/>
      <c r="J123" s="503"/>
      <c r="K123" s="503"/>
      <c r="L123" s="503"/>
      <c r="M123" s="503"/>
      <c r="N123" s="503"/>
      <c r="O123" s="503"/>
      <c r="P123" s="503"/>
      <c r="Q123" s="503"/>
      <c r="R123" s="503"/>
      <c r="S123" s="503"/>
      <c r="T123" s="503"/>
      <c r="U123" s="503"/>
      <c r="V123" s="503"/>
      <c r="W123" s="503"/>
      <c r="X123" s="503"/>
      <c r="Y123" s="503"/>
      <c r="Z123" s="503"/>
      <c r="AA123" s="503"/>
      <c r="AB123" s="503"/>
      <c r="AC123" s="503"/>
    </row>
    <row r="124" spans="1:29" hidden="1">
      <c r="A124" s="503"/>
      <c r="B124" s="503"/>
      <c r="C124" s="503"/>
      <c r="D124" s="503"/>
      <c r="E124" s="503"/>
      <c r="F124" s="503"/>
      <c r="G124" s="503"/>
      <c r="H124" s="503"/>
      <c r="I124" s="503"/>
      <c r="J124" s="503"/>
      <c r="K124" s="503"/>
      <c r="L124" s="503"/>
      <c r="M124" s="503"/>
      <c r="N124" s="503"/>
      <c r="O124" s="503"/>
      <c r="P124" s="503"/>
      <c r="Q124" s="503"/>
      <c r="R124" s="503"/>
      <c r="S124" s="503"/>
      <c r="T124" s="503"/>
      <c r="U124" s="503"/>
      <c r="V124" s="503"/>
      <c r="W124" s="503"/>
      <c r="X124" s="503"/>
      <c r="Y124" s="503"/>
      <c r="Z124" s="503"/>
      <c r="AA124" s="503"/>
      <c r="AB124" s="503"/>
      <c r="AC124" s="503"/>
    </row>
    <row r="125" spans="1:29" hidden="1">
      <c r="A125" s="503"/>
      <c r="B125" s="503"/>
      <c r="C125" s="503"/>
      <c r="D125" s="503"/>
      <c r="E125" s="503"/>
      <c r="F125" s="503"/>
      <c r="G125" s="503"/>
      <c r="H125" s="503"/>
      <c r="I125" s="503"/>
      <c r="J125" s="503"/>
      <c r="K125" s="503"/>
      <c r="L125" s="503"/>
      <c r="M125" s="503"/>
      <c r="N125" s="503"/>
      <c r="O125" s="503"/>
      <c r="P125" s="503"/>
      <c r="Q125" s="503"/>
      <c r="R125" s="503"/>
      <c r="S125" s="503"/>
      <c r="T125" s="503"/>
      <c r="U125" s="503"/>
      <c r="V125" s="503"/>
      <c r="W125" s="503"/>
      <c r="X125" s="503"/>
      <c r="Y125" s="503"/>
      <c r="Z125" s="503"/>
      <c r="AA125" s="503"/>
      <c r="AB125" s="503"/>
      <c r="AC125" s="503"/>
    </row>
    <row r="126" spans="1:29" hidden="1">
      <c r="A126" s="503"/>
      <c r="B126" s="503"/>
      <c r="C126" s="503"/>
      <c r="D126" s="503"/>
      <c r="E126" s="503"/>
      <c r="F126" s="503"/>
      <c r="G126" s="503"/>
      <c r="H126" s="503"/>
      <c r="I126" s="503"/>
      <c r="J126" s="503"/>
      <c r="K126" s="503"/>
      <c r="L126" s="503"/>
      <c r="M126" s="503"/>
      <c r="N126" s="503"/>
      <c r="O126" s="503"/>
      <c r="P126" s="503"/>
      <c r="Q126" s="503"/>
      <c r="R126" s="503"/>
      <c r="S126" s="503"/>
      <c r="T126" s="503"/>
      <c r="U126" s="503"/>
      <c r="V126" s="503"/>
      <c r="W126" s="503"/>
      <c r="X126" s="503"/>
      <c r="Y126" s="503"/>
      <c r="Z126" s="503"/>
      <c r="AA126" s="503"/>
      <c r="AB126" s="503"/>
      <c r="AC126" s="503"/>
    </row>
    <row r="127" spans="1:29" hidden="1">
      <c r="A127" s="503"/>
      <c r="B127" s="503"/>
      <c r="C127" s="503"/>
      <c r="D127" s="503"/>
      <c r="E127" s="503"/>
      <c r="F127" s="503"/>
      <c r="G127" s="503"/>
      <c r="H127" s="503"/>
      <c r="I127" s="503"/>
      <c r="J127" s="503"/>
      <c r="K127" s="503"/>
      <c r="L127" s="503"/>
      <c r="M127" s="503"/>
      <c r="N127" s="503"/>
      <c r="O127" s="503"/>
      <c r="P127" s="503"/>
      <c r="Q127" s="503"/>
      <c r="R127" s="503"/>
      <c r="S127" s="503"/>
      <c r="T127" s="503"/>
      <c r="U127" s="503"/>
      <c r="V127" s="503"/>
      <c r="W127" s="503"/>
      <c r="X127" s="503"/>
      <c r="Y127" s="503"/>
      <c r="Z127" s="503"/>
      <c r="AA127" s="503"/>
      <c r="AB127" s="503"/>
      <c r="AC127" s="503"/>
    </row>
    <row r="128" spans="1:29" hidden="1">
      <c r="A128" s="503"/>
      <c r="B128" s="503"/>
      <c r="C128" s="503"/>
      <c r="D128" s="503"/>
      <c r="E128" s="503"/>
      <c r="F128" s="503"/>
      <c r="G128" s="503"/>
      <c r="H128" s="503"/>
      <c r="I128" s="503"/>
      <c r="J128" s="503"/>
      <c r="K128" s="503"/>
      <c r="L128" s="503"/>
      <c r="M128" s="503"/>
      <c r="N128" s="503"/>
      <c r="O128" s="503"/>
      <c r="P128" s="503"/>
      <c r="Q128" s="503"/>
      <c r="R128" s="503"/>
      <c r="S128" s="503"/>
      <c r="T128" s="503"/>
      <c r="U128" s="503"/>
      <c r="V128" s="503"/>
      <c r="W128" s="503"/>
      <c r="X128" s="503"/>
      <c r="Y128" s="503"/>
      <c r="Z128" s="503"/>
      <c r="AA128" s="503"/>
      <c r="AB128" s="503"/>
      <c r="AC128" s="503"/>
    </row>
    <row r="129" spans="1:29" hidden="1">
      <c r="A129" s="503"/>
      <c r="B129" s="503"/>
      <c r="C129" s="503"/>
      <c r="D129" s="503"/>
      <c r="E129" s="503"/>
      <c r="F129" s="503"/>
      <c r="G129" s="503"/>
      <c r="H129" s="503"/>
      <c r="I129" s="503"/>
      <c r="J129" s="503"/>
      <c r="K129" s="503"/>
      <c r="L129" s="503"/>
      <c r="M129" s="503"/>
      <c r="N129" s="503"/>
      <c r="O129" s="503"/>
      <c r="P129" s="503"/>
      <c r="Q129" s="503"/>
      <c r="R129" s="503"/>
      <c r="S129" s="503"/>
      <c r="T129" s="503"/>
      <c r="U129" s="503"/>
      <c r="V129" s="503"/>
      <c r="W129" s="503"/>
      <c r="X129" s="503"/>
      <c r="Y129" s="503"/>
      <c r="Z129" s="503"/>
      <c r="AA129" s="503"/>
      <c r="AB129" s="503"/>
      <c r="AC129" s="503"/>
    </row>
    <row r="130" spans="1:29" hidden="1">
      <c r="A130" s="503"/>
      <c r="B130" s="503"/>
      <c r="C130" s="503"/>
      <c r="D130" s="503"/>
      <c r="E130" s="503"/>
      <c r="F130" s="503"/>
      <c r="G130" s="503"/>
      <c r="H130" s="503"/>
      <c r="I130" s="503"/>
      <c r="J130" s="503"/>
      <c r="K130" s="503"/>
      <c r="L130" s="503"/>
      <c r="M130" s="503"/>
      <c r="N130" s="503"/>
      <c r="O130" s="503"/>
      <c r="P130" s="503"/>
      <c r="Q130" s="503"/>
      <c r="R130" s="503"/>
      <c r="S130" s="503"/>
      <c r="T130" s="503"/>
      <c r="U130" s="503"/>
      <c r="V130" s="503"/>
      <c r="W130" s="503"/>
      <c r="X130" s="503"/>
      <c r="Y130" s="503"/>
      <c r="Z130" s="503"/>
      <c r="AA130" s="503"/>
      <c r="AB130" s="503"/>
      <c r="AC130" s="503"/>
    </row>
    <row r="131" spans="1:29" hidden="1">
      <c r="A131" s="503"/>
      <c r="B131" s="503"/>
      <c r="C131" s="503"/>
      <c r="D131" s="503"/>
      <c r="E131" s="503"/>
      <c r="F131" s="503"/>
      <c r="G131" s="503"/>
      <c r="H131" s="503"/>
      <c r="I131" s="503"/>
      <c r="J131" s="503"/>
      <c r="K131" s="503"/>
      <c r="L131" s="503"/>
      <c r="M131" s="503"/>
      <c r="N131" s="503"/>
      <c r="O131" s="503"/>
      <c r="P131" s="503"/>
      <c r="Q131" s="503"/>
      <c r="R131" s="503"/>
      <c r="S131" s="503"/>
      <c r="T131" s="503"/>
      <c r="U131" s="503"/>
      <c r="V131" s="503"/>
      <c r="W131" s="503"/>
      <c r="X131" s="503"/>
      <c r="Y131" s="503"/>
      <c r="Z131" s="503"/>
      <c r="AA131" s="503"/>
      <c r="AB131" s="503"/>
      <c r="AC131" s="503"/>
    </row>
    <row r="132" spans="1:29" hidden="1">
      <c r="A132" s="503"/>
      <c r="B132" s="503"/>
      <c r="C132" s="503"/>
      <c r="D132" s="503"/>
      <c r="E132" s="503"/>
      <c r="F132" s="503"/>
      <c r="G132" s="503"/>
      <c r="H132" s="503"/>
      <c r="I132" s="503"/>
      <c r="J132" s="503"/>
      <c r="K132" s="503"/>
      <c r="L132" s="503"/>
      <c r="M132" s="503"/>
      <c r="N132" s="503"/>
      <c r="O132" s="503"/>
      <c r="P132" s="503"/>
      <c r="Q132" s="503"/>
      <c r="R132" s="503"/>
      <c r="S132" s="503"/>
      <c r="T132" s="503"/>
      <c r="U132" s="503"/>
      <c r="V132" s="503"/>
      <c r="W132" s="503"/>
      <c r="X132" s="503"/>
      <c r="Y132" s="503"/>
      <c r="Z132" s="503"/>
      <c r="AA132" s="503"/>
      <c r="AB132" s="503"/>
      <c r="AC132" s="503"/>
    </row>
    <row r="133" spans="1:29" hidden="1">
      <c r="A133" s="503"/>
      <c r="B133" s="503"/>
      <c r="C133" s="503"/>
      <c r="D133" s="503"/>
      <c r="E133" s="503"/>
      <c r="F133" s="503"/>
      <c r="G133" s="503"/>
      <c r="H133" s="503"/>
      <c r="I133" s="503"/>
      <c r="J133" s="503"/>
      <c r="K133" s="503"/>
      <c r="L133" s="503"/>
      <c r="M133" s="503"/>
      <c r="N133" s="503"/>
      <c r="O133" s="503"/>
      <c r="P133" s="503"/>
      <c r="Q133" s="503"/>
      <c r="R133" s="503"/>
      <c r="S133" s="503"/>
      <c r="T133" s="503"/>
      <c r="U133" s="503"/>
      <c r="V133" s="503"/>
      <c r="W133" s="503"/>
      <c r="X133" s="503"/>
      <c r="Y133" s="503"/>
      <c r="Z133" s="503"/>
      <c r="AA133" s="503"/>
      <c r="AB133" s="503"/>
      <c r="AC133" s="503"/>
    </row>
    <row r="134" spans="1:29" hidden="1">
      <c r="A134" s="503"/>
      <c r="B134" s="503"/>
      <c r="C134" s="503"/>
      <c r="D134" s="503"/>
      <c r="E134" s="503"/>
      <c r="F134" s="503"/>
      <c r="G134" s="503"/>
      <c r="H134" s="503"/>
      <c r="I134" s="503"/>
      <c r="J134" s="503"/>
      <c r="K134" s="503"/>
      <c r="L134" s="503"/>
      <c r="M134" s="503"/>
      <c r="N134" s="503"/>
      <c r="O134" s="503"/>
      <c r="P134" s="503"/>
      <c r="Q134" s="503"/>
      <c r="R134" s="503"/>
      <c r="S134" s="503"/>
      <c r="T134" s="503"/>
      <c r="U134" s="503"/>
      <c r="V134" s="503"/>
      <c r="W134" s="503"/>
      <c r="X134" s="503"/>
      <c r="Y134" s="503"/>
      <c r="Z134" s="503"/>
      <c r="AA134" s="503"/>
      <c r="AB134" s="503"/>
      <c r="AC134" s="503"/>
    </row>
    <row r="135" spans="1:29" hidden="1">
      <c r="A135" s="503"/>
      <c r="B135" s="503"/>
      <c r="C135" s="503"/>
      <c r="D135" s="503"/>
      <c r="E135" s="503"/>
      <c r="F135" s="503"/>
      <c r="G135" s="503"/>
      <c r="H135" s="503"/>
      <c r="I135" s="503"/>
      <c r="J135" s="503"/>
      <c r="K135" s="503"/>
      <c r="L135" s="503"/>
      <c r="M135" s="503"/>
      <c r="N135" s="503"/>
      <c r="O135" s="503"/>
      <c r="P135" s="503"/>
      <c r="Q135" s="503"/>
      <c r="R135" s="503"/>
      <c r="S135" s="503"/>
      <c r="T135" s="503"/>
      <c r="U135" s="503"/>
      <c r="V135" s="503"/>
      <c r="W135" s="503"/>
      <c r="X135" s="503"/>
      <c r="Y135" s="503"/>
      <c r="Z135" s="503"/>
      <c r="AA135" s="503"/>
      <c r="AB135" s="503"/>
      <c r="AC135" s="503"/>
    </row>
    <row r="136" spans="1:29" hidden="1">
      <c r="A136" s="503"/>
      <c r="B136" s="503"/>
      <c r="C136" s="503"/>
      <c r="D136" s="503"/>
      <c r="E136" s="503"/>
      <c r="F136" s="503"/>
      <c r="G136" s="503"/>
      <c r="H136" s="503"/>
      <c r="I136" s="503"/>
      <c r="J136" s="503"/>
      <c r="K136" s="503"/>
      <c r="L136" s="503"/>
      <c r="M136" s="503"/>
      <c r="N136" s="503"/>
      <c r="O136" s="503"/>
      <c r="P136" s="503"/>
      <c r="Q136" s="503"/>
      <c r="R136" s="503"/>
      <c r="S136" s="503"/>
      <c r="T136" s="503"/>
      <c r="U136" s="503"/>
      <c r="V136" s="503"/>
      <c r="W136" s="503"/>
      <c r="X136" s="503"/>
      <c r="Y136" s="503"/>
      <c r="Z136" s="503"/>
      <c r="AA136" s="503"/>
      <c r="AB136" s="503"/>
      <c r="AC136" s="503"/>
    </row>
    <row r="137" spans="1:29" hidden="1">
      <c r="A137" s="503"/>
      <c r="B137" s="503"/>
      <c r="C137" s="503"/>
      <c r="D137" s="503"/>
      <c r="E137" s="503"/>
      <c r="F137" s="503"/>
      <c r="G137" s="503"/>
      <c r="H137" s="503"/>
      <c r="I137" s="503"/>
      <c r="J137" s="503"/>
      <c r="K137" s="503"/>
      <c r="L137" s="503"/>
      <c r="M137" s="503"/>
      <c r="N137" s="503"/>
      <c r="O137" s="503"/>
      <c r="P137" s="503"/>
      <c r="Q137" s="503"/>
      <c r="R137" s="503"/>
      <c r="S137" s="503"/>
      <c r="T137" s="503"/>
      <c r="U137" s="503"/>
      <c r="V137" s="503"/>
      <c r="W137" s="503"/>
      <c r="X137" s="503"/>
      <c r="Y137" s="503"/>
      <c r="Z137" s="503"/>
      <c r="AA137" s="503"/>
      <c r="AB137" s="503"/>
      <c r="AC137" s="503"/>
    </row>
    <row r="138" spans="1:29" hidden="1">
      <c r="A138" s="503"/>
      <c r="B138" s="503"/>
      <c r="C138" s="503"/>
      <c r="D138" s="503"/>
      <c r="E138" s="503"/>
      <c r="F138" s="503"/>
      <c r="G138" s="503"/>
      <c r="H138" s="503"/>
      <c r="I138" s="503"/>
      <c r="J138" s="503"/>
      <c r="K138" s="503"/>
      <c r="L138" s="503"/>
      <c r="M138" s="503"/>
      <c r="N138" s="503"/>
      <c r="O138" s="503"/>
      <c r="P138" s="503"/>
      <c r="Q138" s="503"/>
      <c r="R138" s="503"/>
      <c r="S138" s="503"/>
      <c r="T138" s="503"/>
      <c r="U138" s="503"/>
      <c r="V138" s="503"/>
      <c r="W138" s="503"/>
      <c r="X138" s="503"/>
      <c r="Y138" s="503"/>
      <c r="Z138" s="503"/>
      <c r="AA138" s="503"/>
      <c r="AB138" s="503"/>
      <c r="AC138" s="503"/>
    </row>
    <row r="139" spans="1:29" hidden="1">
      <c r="A139" s="503"/>
      <c r="B139" s="503"/>
      <c r="C139" s="503"/>
      <c r="D139" s="503"/>
      <c r="E139" s="503"/>
      <c r="F139" s="503"/>
      <c r="G139" s="503"/>
      <c r="H139" s="503"/>
      <c r="I139" s="503"/>
      <c r="J139" s="503"/>
      <c r="K139" s="503"/>
      <c r="L139" s="503"/>
      <c r="M139" s="503"/>
      <c r="N139" s="503"/>
      <c r="O139" s="503"/>
      <c r="P139" s="503"/>
      <c r="Q139" s="503"/>
      <c r="R139" s="503"/>
      <c r="S139" s="503"/>
      <c r="T139" s="503"/>
      <c r="U139" s="503"/>
      <c r="V139" s="503"/>
      <c r="W139" s="503"/>
      <c r="X139" s="503"/>
      <c r="Y139" s="503"/>
      <c r="Z139" s="503"/>
      <c r="AA139" s="503"/>
      <c r="AB139" s="503"/>
      <c r="AC139" s="503"/>
    </row>
    <row r="140" spans="1:29" hidden="1">
      <c r="A140" s="503"/>
      <c r="B140" s="503"/>
      <c r="C140" s="503"/>
      <c r="D140" s="503"/>
      <c r="E140" s="503"/>
      <c r="F140" s="503"/>
      <c r="G140" s="503"/>
      <c r="H140" s="503"/>
      <c r="I140" s="503"/>
      <c r="J140" s="503"/>
      <c r="K140" s="503"/>
      <c r="L140" s="503"/>
      <c r="M140" s="503"/>
      <c r="N140" s="503"/>
      <c r="O140" s="503"/>
      <c r="P140" s="503"/>
      <c r="Q140" s="503"/>
      <c r="R140" s="503"/>
      <c r="S140" s="503"/>
      <c r="T140" s="503"/>
      <c r="U140" s="503"/>
      <c r="V140" s="503"/>
      <c r="W140" s="503"/>
      <c r="X140" s="503"/>
      <c r="Y140" s="503"/>
      <c r="Z140" s="503"/>
      <c r="AA140" s="503"/>
      <c r="AB140" s="503"/>
      <c r="AC140" s="503"/>
    </row>
    <row r="141" spans="1:29" hidden="1">
      <c r="A141" s="503"/>
      <c r="B141" s="503"/>
      <c r="C141" s="503"/>
      <c r="D141" s="503"/>
      <c r="E141" s="503"/>
      <c r="F141" s="503"/>
      <c r="G141" s="503"/>
      <c r="H141" s="503"/>
      <c r="I141" s="503"/>
      <c r="J141" s="503"/>
      <c r="K141" s="503"/>
      <c r="L141" s="503"/>
      <c r="M141" s="503"/>
      <c r="N141" s="503"/>
      <c r="O141" s="503"/>
      <c r="P141" s="503"/>
      <c r="Q141" s="503"/>
      <c r="R141" s="503"/>
      <c r="S141" s="503"/>
      <c r="T141" s="503"/>
      <c r="U141" s="503"/>
      <c r="V141" s="503"/>
      <c r="W141" s="503"/>
      <c r="X141" s="503"/>
      <c r="Y141" s="503"/>
      <c r="Z141" s="503"/>
      <c r="AA141" s="503"/>
      <c r="AB141" s="503"/>
      <c r="AC141" s="503"/>
    </row>
    <row r="142" spans="1:29" hidden="1">
      <c r="A142" s="503"/>
      <c r="B142" s="503"/>
      <c r="C142" s="503"/>
      <c r="D142" s="503"/>
      <c r="E142" s="503"/>
      <c r="F142" s="503"/>
      <c r="G142" s="503"/>
      <c r="H142" s="503"/>
      <c r="I142" s="503"/>
      <c r="J142" s="503"/>
      <c r="K142" s="503"/>
      <c r="L142" s="503"/>
      <c r="M142" s="503"/>
      <c r="N142" s="503"/>
      <c r="O142" s="503"/>
      <c r="P142" s="503"/>
      <c r="Q142" s="503"/>
      <c r="R142" s="503"/>
      <c r="S142" s="503"/>
      <c r="T142" s="503"/>
      <c r="U142" s="503"/>
      <c r="V142" s="503"/>
      <c r="W142" s="503"/>
      <c r="X142" s="503"/>
      <c r="Y142" s="503"/>
      <c r="Z142" s="503"/>
      <c r="AA142" s="503"/>
      <c r="AB142" s="503"/>
      <c r="AC142" s="503"/>
    </row>
    <row r="143" spans="1:29" hidden="1">
      <c r="A143" s="503"/>
      <c r="B143" s="503"/>
      <c r="C143" s="503"/>
      <c r="D143" s="503"/>
      <c r="E143" s="503"/>
      <c r="F143" s="503"/>
      <c r="G143" s="503"/>
      <c r="H143" s="503"/>
      <c r="I143" s="503"/>
      <c r="J143" s="503"/>
      <c r="K143" s="503"/>
      <c r="L143" s="503"/>
      <c r="M143" s="503"/>
      <c r="N143" s="503"/>
      <c r="O143" s="503"/>
      <c r="P143" s="503"/>
      <c r="Q143" s="503"/>
      <c r="R143" s="503"/>
      <c r="S143" s="503"/>
      <c r="T143" s="503"/>
      <c r="U143" s="503"/>
      <c r="V143" s="503"/>
      <c r="W143" s="503"/>
      <c r="X143" s="503"/>
      <c r="Y143" s="503"/>
      <c r="Z143" s="503"/>
      <c r="AA143" s="503"/>
      <c r="AB143" s="503"/>
      <c r="AC143" s="503"/>
    </row>
    <row r="144" spans="1:29" hidden="1">
      <c r="A144" s="503"/>
      <c r="B144" s="503"/>
      <c r="C144" s="503"/>
      <c r="D144" s="503"/>
      <c r="E144" s="503"/>
      <c r="F144" s="503"/>
      <c r="G144" s="503"/>
      <c r="H144" s="503"/>
      <c r="I144" s="503"/>
      <c r="J144" s="503"/>
      <c r="K144" s="503"/>
      <c r="L144" s="503"/>
      <c r="M144" s="503"/>
      <c r="N144" s="503"/>
      <c r="O144" s="503"/>
      <c r="P144" s="503"/>
      <c r="Q144" s="503"/>
      <c r="R144" s="503"/>
      <c r="S144" s="503"/>
      <c r="T144" s="503"/>
      <c r="U144" s="503"/>
      <c r="V144" s="503"/>
      <c r="W144" s="503"/>
      <c r="X144" s="503"/>
      <c r="Y144" s="503"/>
      <c r="Z144" s="503"/>
      <c r="AA144" s="503"/>
      <c r="AB144" s="503"/>
      <c r="AC144" s="503"/>
    </row>
    <row r="145" spans="1:29" hidden="1">
      <c r="A145" s="503"/>
      <c r="B145" s="503"/>
      <c r="C145" s="503"/>
      <c r="D145" s="503"/>
      <c r="E145" s="503"/>
      <c r="F145" s="503"/>
      <c r="G145" s="503"/>
      <c r="H145" s="503"/>
      <c r="I145" s="503"/>
      <c r="J145" s="503"/>
      <c r="K145" s="503"/>
      <c r="L145" s="503"/>
      <c r="M145" s="503"/>
      <c r="N145" s="503"/>
      <c r="O145" s="503"/>
      <c r="P145" s="503"/>
      <c r="Q145" s="503"/>
      <c r="R145" s="503"/>
      <c r="S145" s="503"/>
      <c r="T145" s="503"/>
      <c r="U145" s="503"/>
      <c r="V145" s="503"/>
      <c r="W145" s="503"/>
      <c r="X145" s="503"/>
      <c r="Y145" s="503"/>
      <c r="Z145" s="503"/>
      <c r="AA145" s="503"/>
      <c r="AB145" s="503"/>
      <c r="AC145" s="503"/>
    </row>
    <row r="146" spans="1:29" hidden="1">
      <c r="A146" s="503"/>
      <c r="B146" s="503"/>
      <c r="C146" s="503"/>
      <c r="D146" s="503"/>
      <c r="E146" s="503"/>
      <c r="F146" s="503"/>
      <c r="G146" s="503"/>
      <c r="H146" s="503"/>
      <c r="I146" s="503"/>
      <c r="J146" s="503"/>
      <c r="K146" s="503"/>
      <c r="L146" s="503"/>
      <c r="M146" s="503"/>
      <c r="N146" s="503"/>
      <c r="O146" s="503"/>
      <c r="P146" s="503"/>
      <c r="Q146" s="503"/>
      <c r="R146" s="503"/>
      <c r="S146" s="503"/>
      <c r="T146" s="503"/>
      <c r="U146" s="503"/>
      <c r="V146" s="503"/>
      <c r="W146" s="503"/>
      <c r="X146" s="503"/>
      <c r="Y146" s="503"/>
      <c r="Z146" s="503"/>
      <c r="AA146" s="503"/>
      <c r="AB146" s="503"/>
      <c r="AC146" s="503"/>
    </row>
    <row r="147" spans="1:29" hidden="1">
      <c r="A147" s="503"/>
      <c r="B147" s="503"/>
      <c r="C147" s="503"/>
      <c r="D147" s="503"/>
      <c r="E147" s="503"/>
      <c r="F147" s="503"/>
      <c r="G147" s="503"/>
      <c r="H147" s="503"/>
      <c r="I147" s="503"/>
      <c r="J147" s="503"/>
      <c r="K147" s="503"/>
      <c r="L147" s="503"/>
      <c r="M147" s="503"/>
      <c r="N147" s="503"/>
      <c r="O147" s="503"/>
      <c r="P147" s="503"/>
      <c r="Q147" s="503"/>
      <c r="R147" s="503"/>
      <c r="S147" s="503"/>
      <c r="T147" s="503"/>
      <c r="U147" s="503"/>
      <c r="V147" s="503"/>
      <c r="W147" s="503"/>
      <c r="X147" s="503"/>
      <c r="Y147" s="503"/>
      <c r="Z147" s="503"/>
      <c r="AA147" s="503"/>
      <c r="AB147" s="503"/>
      <c r="AC147" s="503"/>
    </row>
    <row r="148" spans="1:29"/>
    <row r="149" spans="1:29"/>
  </sheetData>
  <sheetProtection formatCells="0" formatColumns="0" formatRows="0" insertColumns="0" insertRows="0" insertHyperlinks="0" deleteColumns="0" deleteRows="0" sort="0" autoFilter="0" pivotTables="0"/>
  <conditionalFormatting sqref="I1:J1">
    <cfRule type="cellIs" dxfId="17" priority="2" operator="equal">
      <formula>"Check"</formula>
    </cfRule>
  </conditionalFormatting>
  <conditionalFormatting sqref="K15">
    <cfRule type="cellIs" dxfId="16" priority="4" stopIfTrue="1" operator="equal">
      <formula>#REF!</formula>
    </cfRule>
  </conditionalFormatting>
  <conditionalFormatting sqref="K31">
    <cfRule type="cellIs" dxfId="15" priority="3" stopIfTrue="1" operator="equal">
      <formula>#REF!</formula>
    </cfRule>
  </conditionalFormatting>
  <conditionalFormatting sqref="K48">
    <cfRule type="cellIs" dxfId="14" priority="7" stopIfTrue="1" operator="equal">
      <formula>#REF!</formula>
    </cfRule>
  </conditionalFormatting>
  <conditionalFormatting sqref="K95">
    <cfRule type="cellIs" dxfId="13" priority="5" stopIfTrue="1" operator="equal">
      <formula>#REF!</formula>
    </cfRule>
  </conditionalFormatting>
  <conditionalFormatting sqref="R1:S1">
    <cfRule type="cellIs" dxfId="12" priority="1" operator="equal">
      <formula>"Check"</formula>
    </cfRule>
  </conditionalFormatting>
  <pageMargins left="0.7" right="0.7" top="0.75" bottom="0.75" header="0.3" footer="0.3"/>
  <ignoredErrors>
    <ignoredError sqref="G51:P51 J33:P40 C34:C46 C17:C29 C7:F8 C10:F11 C9:E9 F14 O7:P7 O9:P14 O8 J16:P30 H26:H30 F17:F19 E58 E53 H53:P53 G55:P55 G62:P62 K59:P59 G57:P58 E70:P75 K63:P63 F64:P65 J42:P45 E66:P68 J99:Q120 G96" unlockedFormula="1"/>
    <ignoredError sqref="F9 P8" formula="1" unlockedFormula="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tabColor theme="3" tint="-0.499984740745262"/>
  </sheetPr>
  <dimension ref="A1:CU166"/>
  <sheetViews>
    <sheetView showGridLines="0" topLeftCell="A64" zoomScale="115" zoomScaleNormal="115" workbookViewId="0">
      <selection activeCell="O40" sqref="O40"/>
    </sheetView>
  </sheetViews>
  <sheetFormatPr defaultColWidth="0" defaultRowHeight="13.2" zeroHeight="1"/>
  <cols>
    <col min="1" max="1" width="2.44140625" style="162" customWidth="1"/>
    <col min="2" max="2" width="1" style="162" customWidth="1"/>
    <col min="3" max="3" width="41.44140625" style="162" customWidth="1"/>
    <col min="4" max="7" width="14.44140625" style="162" customWidth="1"/>
    <col min="8" max="8" width="4" style="162" customWidth="1"/>
    <col min="9" max="10" width="4.44140625" style="162" customWidth="1"/>
    <col min="11" max="11" width="3.44140625" style="162" customWidth="1"/>
    <col min="12" max="12" width="6.44140625" style="162" hidden="1" customWidth="1"/>
    <col min="13" max="13" width="3.44140625" style="162" hidden="1" customWidth="1"/>
    <col min="14" max="14" width="10.33203125" style="162" hidden="1" customWidth="1"/>
    <col min="15" max="15" width="9.44140625" style="162" hidden="1" customWidth="1"/>
    <col min="16" max="16" width="12.44140625" style="162" hidden="1" customWidth="1"/>
    <col min="17" max="18" width="11.44140625" style="162" hidden="1" customWidth="1"/>
    <col min="19" max="19" width="10.44140625" style="162" hidden="1" customWidth="1"/>
    <col min="20" max="20" width="11.44140625" style="162" hidden="1" customWidth="1"/>
    <col min="21" max="21" width="10.44140625" style="162" hidden="1" customWidth="1"/>
    <col min="22" max="22" width="12.44140625" style="162" hidden="1" customWidth="1"/>
    <col min="23" max="23" width="14.44140625" style="162" hidden="1" customWidth="1"/>
    <col min="24" max="24" width="11" style="162" hidden="1" customWidth="1"/>
    <col min="25" max="25" width="14.33203125" style="162" hidden="1" customWidth="1"/>
    <col min="26" max="26" width="8.44140625" style="162" hidden="1" customWidth="1"/>
    <col min="27" max="16384" width="9.33203125" style="162" hidden="1"/>
  </cols>
  <sheetData>
    <row r="1" spans="1:99" s="26" customFormat="1">
      <c r="A1" s="36"/>
      <c r="B1" s="36"/>
      <c r="C1" s="36" t="str">
        <f>'DCF - Assumptions (old)'!$F$8&amp;" | LBO Model - Assumptions"</f>
        <v>Bumble INC | LBO Model - Assumptions</v>
      </c>
      <c r="D1" s="1135"/>
      <c r="E1" s="1136"/>
      <c r="F1" s="1136"/>
      <c r="G1" s="1136"/>
      <c r="H1" s="1136"/>
      <c r="I1" s="34" t="str">
        <f>IF(I5=J5,"OK","Check")</f>
        <v>OK</v>
      </c>
      <c r="J1" s="34" t="str">
        <f>IF(I6=J6,"OK","Check")</f>
        <v>OK</v>
      </c>
      <c r="K1" s="1136"/>
      <c r="L1" s="1136"/>
      <c r="N1" s="1136"/>
      <c r="O1" s="1136"/>
      <c r="P1" s="1136"/>
      <c r="Q1" s="1136"/>
    </row>
    <row r="2" spans="1:99" s="3" customFormat="1" ht="2.25" customHeight="1">
      <c r="A2" s="115"/>
      <c r="B2" s="115"/>
      <c r="I2" s="30"/>
      <c r="J2" s="30"/>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r="3" spans="1:99" s="28" customFormat="1" ht="3" customHeight="1">
      <c r="A3" s="29"/>
      <c r="B3" s="29"/>
      <c r="I3" s="26"/>
      <c r="J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row>
    <row r="4" spans="1:99" ht="11.25" customHeight="1">
      <c r="I4" s="3"/>
      <c r="J4" s="3"/>
    </row>
    <row r="5" spans="1:99">
      <c r="A5" s="257"/>
      <c r="B5" s="257"/>
      <c r="C5" s="807" t="s">
        <v>1744</v>
      </c>
      <c r="D5" s="808"/>
      <c r="E5" s="808"/>
      <c r="F5" s="808"/>
      <c r="G5" s="808"/>
      <c r="I5" s="42">
        <f>ROWS(C5:C117)</f>
        <v>113</v>
      </c>
      <c r="J5" s="24">
        <v>113</v>
      </c>
      <c r="K5" s="3"/>
      <c r="L5" s="3"/>
    </row>
    <row r="6" spans="1:99" s="2" customFormat="1" ht="13.5" customHeight="1">
      <c r="A6" s="257"/>
      <c r="B6" s="257"/>
      <c r="C6" s="267"/>
      <c r="D6" s="267"/>
      <c r="E6" s="224"/>
      <c r="F6" s="224"/>
      <c r="G6" s="224"/>
      <c r="I6" s="42">
        <f>SUM(I7:I117)</f>
        <v>90</v>
      </c>
      <c r="J6" s="24">
        <v>90</v>
      </c>
    </row>
    <row r="7" spans="1:99">
      <c r="A7" s="2"/>
      <c r="B7" s="2"/>
      <c r="C7" s="73"/>
      <c r="E7" s="266" t="s">
        <v>1745</v>
      </c>
      <c r="I7" s="42">
        <f>IF(NOT(ISBLANK(C7)), 1, 0)</f>
        <v>0</v>
      </c>
      <c r="J7" s="24">
        <v>1</v>
      </c>
      <c r="K7" s="223"/>
      <c r="L7" s="223"/>
    </row>
    <row r="8" spans="1:99">
      <c r="A8" s="2"/>
      <c r="B8" s="2"/>
      <c r="C8" s="161" t="s">
        <v>1746</v>
      </c>
      <c r="E8" s="471">
        <v>1</v>
      </c>
      <c r="F8" s="265">
        <v>1</v>
      </c>
      <c r="G8" s="265">
        <v>2</v>
      </c>
      <c r="I8" s="42">
        <f t="shared" ref="I8:I71" si="0">IF(NOT(ISBLANK(C8)), 1, 0)</f>
        <v>1</v>
      </c>
      <c r="J8" s="24">
        <v>0</v>
      </c>
      <c r="K8" s="202">
        <v>1</v>
      </c>
    </row>
    <row r="9" spans="1:99">
      <c r="A9" s="2"/>
      <c r="B9" s="2"/>
      <c r="C9" s="73"/>
      <c r="D9" s="73"/>
      <c r="E9" s="452" t="str">
        <f ca="1">OFFSET(F9,0,$E$8-1)</f>
        <v>Base</v>
      </c>
      <c r="F9" s="265" t="s">
        <v>1747</v>
      </c>
      <c r="G9" s="264" t="s">
        <v>1748</v>
      </c>
      <c r="I9" s="42">
        <f t="shared" si="0"/>
        <v>0</v>
      </c>
      <c r="J9" s="24">
        <v>0</v>
      </c>
      <c r="K9" s="202">
        <v>1</v>
      </c>
    </row>
    <row r="10" spans="1:99" ht="13.8" thickBot="1">
      <c r="A10" s="2"/>
      <c r="B10" s="2"/>
      <c r="C10" s="85" t="s">
        <v>1749</v>
      </c>
      <c r="D10" s="85"/>
      <c r="E10" s="85"/>
      <c r="F10" s="85"/>
      <c r="G10" s="85"/>
      <c r="I10" s="42">
        <f t="shared" si="0"/>
        <v>1</v>
      </c>
      <c r="J10" s="24">
        <v>1</v>
      </c>
      <c r="K10" s="202">
        <v>1</v>
      </c>
    </row>
    <row r="11" spans="1:99" ht="13.8" thickBot="1">
      <c r="A11" s="2"/>
      <c r="B11" s="2"/>
      <c r="C11" s="161" t="s">
        <v>1750</v>
      </c>
      <c r="D11" s="73"/>
      <c r="E11" s="218" t="s">
        <v>1152</v>
      </c>
      <c r="F11" s="218"/>
      <c r="G11" s="218"/>
      <c r="H11" s="218"/>
      <c r="I11" s="42">
        <f t="shared" si="0"/>
        <v>1</v>
      </c>
      <c r="J11" s="24">
        <v>1</v>
      </c>
      <c r="K11" s="202">
        <v>1</v>
      </c>
    </row>
    <row r="12" spans="1:99">
      <c r="A12" s="2"/>
      <c r="B12" s="2"/>
      <c r="C12" s="73" t="s">
        <v>1666</v>
      </c>
      <c r="D12" s="254"/>
      <c r="E12" s="453">
        <f ca="1">OFFSET(F12,0,$E$8-1)</f>
        <v>0</v>
      </c>
      <c r="F12" s="466"/>
      <c r="G12" s="466"/>
      <c r="I12" s="42">
        <f t="shared" si="0"/>
        <v>1</v>
      </c>
      <c r="J12" s="24">
        <v>1</v>
      </c>
      <c r="K12" s="202">
        <v>1</v>
      </c>
    </row>
    <row r="13" spans="1:99">
      <c r="A13" s="2"/>
      <c r="B13" s="2"/>
      <c r="C13" s="73" t="s">
        <v>1667</v>
      </c>
      <c r="D13" s="254"/>
      <c r="E13" s="454">
        <f ca="1">OFFSET(F13,0,$E$8-1)</f>
        <v>0</v>
      </c>
      <c r="F13" s="466"/>
      <c r="G13" s="466"/>
      <c r="I13" s="42">
        <f t="shared" si="0"/>
        <v>1</v>
      </c>
      <c r="J13" s="24">
        <v>1</v>
      </c>
      <c r="K13" s="202">
        <v>1</v>
      </c>
    </row>
    <row r="14" spans="1:99">
      <c r="A14" s="2"/>
      <c r="B14" s="2"/>
      <c r="C14" s="73" t="s">
        <v>1751</v>
      </c>
      <c r="D14" s="254"/>
      <c r="E14" s="454">
        <f ca="1">OFFSET(F14,0,$E$8-1)</f>
        <v>0</v>
      </c>
      <c r="F14" s="466"/>
      <c r="G14" s="466"/>
      <c r="I14" s="42">
        <f t="shared" si="0"/>
        <v>1</v>
      </c>
      <c r="J14" s="24">
        <v>1</v>
      </c>
      <c r="K14" s="202">
        <v>1</v>
      </c>
    </row>
    <row r="15" spans="1:99" ht="13.8" thickBot="1">
      <c r="A15" s="2"/>
      <c r="B15" s="2"/>
      <c r="C15" s="73" t="s">
        <v>1752</v>
      </c>
      <c r="D15" s="254"/>
      <c r="E15" s="455">
        <f ca="1">OFFSET(F15,0,$E$8-1)</f>
        <v>0</v>
      </c>
      <c r="F15" s="466"/>
      <c r="G15" s="466"/>
      <c r="I15" s="42">
        <f t="shared" si="0"/>
        <v>1</v>
      </c>
      <c r="J15" s="24">
        <v>1</v>
      </c>
      <c r="K15" s="202">
        <v>1</v>
      </c>
    </row>
    <row r="16" spans="1:99" ht="5.25" customHeight="1">
      <c r="A16" s="2"/>
      <c r="B16" s="2"/>
      <c r="C16" s="73"/>
      <c r="D16" s="73"/>
      <c r="E16" s="328"/>
      <c r="F16" s="328"/>
      <c r="G16" s="293"/>
      <c r="I16" s="42">
        <f t="shared" si="0"/>
        <v>0</v>
      </c>
      <c r="J16" s="24">
        <v>0</v>
      </c>
      <c r="K16" s="202">
        <v>1</v>
      </c>
    </row>
    <row r="17" spans="1:22" ht="13.8" thickBot="1">
      <c r="A17" s="2"/>
      <c r="B17" s="2"/>
      <c r="C17" s="161" t="s">
        <v>1753</v>
      </c>
      <c r="D17" s="73"/>
      <c r="E17" s="328"/>
      <c r="F17" s="328"/>
      <c r="G17" s="293"/>
      <c r="I17" s="42">
        <f t="shared" si="0"/>
        <v>1</v>
      </c>
      <c r="J17" s="24">
        <v>1</v>
      </c>
      <c r="K17" s="202">
        <v>1</v>
      </c>
    </row>
    <row r="18" spans="1:22">
      <c r="A18" s="2"/>
      <c r="B18" s="2"/>
      <c r="C18" s="73" t="s">
        <v>1666</v>
      </c>
      <c r="D18" s="254"/>
      <c r="E18" s="456">
        <f ca="1">OFFSET(F18,0,$E$8-1)</f>
        <v>0</v>
      </c>
      <c r="F18" s="467"/>
      <c r="G18" s="467"/>
      <c r="I18" s="42">
        <f t="shared" si="0"/>
        <v>1</v>
      </c>
      <c r="J18" s="24">
        <v>1</v>
      </c>
      <c r="K18" s="202">
        <v>1</v>
      </c>
    </row>
    <row r="19" spans="1:22" ht="13.8" thickBot="1">
      <c r="A19" s="2"/>
      <c r="B19" s="2"/>
      <c r="C19" s="73" t="s">
        <v>1667</v>
      </c>
      <c r="D19" s="254"/>
      <c r="E19" s="457">
        <f ca="1">OFFSET(F19,0,$E$8-1)</f>
        <v>0</v>
      </c>
      <c r="F19" s="467"/>
      <c r="G19" s="467"/>
      <c r="I19" s="42">
        <f t="shared" si="0"/>
        <v>1</v>
      </c>
      <c r="J19" s="24">
        <v>1</v>
      </c>
      <c r="K19" s="202">
        <v>1</v>
      </c>
    </row>
    <row r="20" spans="1:22">
      <c r="A20" s="2"/>
      <c r="B20" s="2"/>
      <c r="C20" s="73" t="s">
        <v>1751</v>
      </c>
      <c r="D20" s="254"/>
      <c r="E20" s="474">
        <f ca="1">OFFSET(F20,0,$E$8-1)</f>
        <v>0</v>
      </c>
      <c r="F20" s="473">
        <v>0</v>
      </c>
      <c r="G20" s="473">
        <v>0</v>
      </c>
      <c r="I20" s="42">
        <f t="shared" si="0"/>
        <v>1</v>
      </c>
      <c r="J20" s="24">
        <v>1</v>
      </c>
      <c r="K20" s="202">
        <v>1</v>
      </c>
    </row>
    <row r="21" spans="1:22">
      <c r="A21" s="2"/>
      <c r="B21" s="2"/>
      <c r="C21" s="73" t="s">
        <v>1752</v>
      </c>
      <c r="D21" s="254"/>
      <c r="E21" s="474">
        <f ca="1">OFFSET(F21,0,$E$8-1)</f>
        <v>0</v>
      </c>
      <c r="F21" s="473">
        <v>0</v>
      </c>
      <c r="G21" s="473">
        <v>0</v>
      </c>
      <c r="I21" s="42">
        <f t="shared" si="0"/>
        <v>1</v>
      </c>
      <c r="J21" s="24">
        <v>1</v>
      </c>
      <c r="K21" s="202">
        <v>1</v>
      </c>
    </row>
    <row r="22" spans="1:22" s="2" customFormat="1">
      <c r="C22" s="247"/>
      <c r="D22" s="263"/>
      <c r="E22" s="458"/>
      <c r="F22" s="465"/>
      <c r="G22" s="465"/>
      <c r="I22" s="42">
        <f t="shared" si="0"/>
        <v>0</v>
      </c>
      <c r="J22" s="24">
        <v>0</v>
      </c>
      <c r="K22" s="202">
        <v>1</v>
      </c>
    </row>
    <row r="23" spans="1:22" ht="13.8" thickBot="1">
      <c r="A23" s="2"/>
      <c r="B23" s="2"/>
      <c r="C23" s="85" t="s">
        <v>1754</v>
      </c>
      <c r="D23" s="85"/>
      <c r="E23" s="459"/>
      <c r="F23" s="459" t="s">
        <v>1747</v>
      </c>
      <c r="G23" s="459" t="s">
        <v>1755</v>
      </c>
      <c r="I23" s="42">
        <f t="shared" si="0"/>
        <v>1</v>
      </c>
      <c r="J23" s="24">
        <v>1</v>
      </c>
      <c r="K23" s="202">
        <v>1</v>
      </c>
      <c r="L23" s="223"/>
    </row>
    <row r="24" spans="1:22" s="2" customFormat="1">
      <c r="C24" s="247" t="s">
        <v>1756</v>
      </c>
      <c r="D24" s="263"/>
      <c r="E24" s="460">
        <f ca="1">OFFSET(F24,0,$E$8-1)</f>
        <v>0</v>
      </c>
      <c r="F24" s="468"/>
      <c r="G24" s="468"/>
      <c r="I24" s="42">
        <f t="shared" si="0"/>
        <v>1</v>
      </c>
      <c r="J24" s="24">
        <v>1</v>
      </c>
      <c r="K24" s="202">
        <v>1</v>
      </c>
    </row>
    <row r="25" spans="1:22" s="2" customFormat="1" ht="13.8" thickBot="1">
      <c r="C25" s="247" t="s">
        <v>1757</v>
      </c>
      <c r="D25" s="263"/>
      <c r="E25" s="461">
        <f ca="1">OFFSET(F25,0,$E$8-1)</f>
        <v>0</v>
      </c>
      <c r="F25" s="468"/>
      <c r="G25" s="468"/>
      <c r="I25" s="42">
        <f t="shared" si="0"/>
        <v>1</v>
      </c>
      <c r="J25" s="24">
        <v>1</v>
      </c>
      <c r="K25" s="202">
        <v>1</v>
      </c>
    </row>
    <row r="26" spans="1:22" s="2" customFormat="1">
      <c r="C26" s="247"/>
      <c r="D26" s="263"/>
      <c r="E26" s="458"/>
      <c r="F26" s="465"/>
      <c r="G26" s="465"/>
      <c r="I26" s="42">
        <f t="shared" si="0"/>
        <v>0</v>
      </c>
      <c r="J26" s="24">
        <v>0</v>
      </c>
      <c r="K26" s="202">
        <v>1</v>
      </c>
    </row>
    <row r="27" spans="1:22" ht="13.8" thickBot="1">
      <c r="A27" s="2"/>
      <c r="B27" s="2"/>
      <c r="C27" s="85" t="s">
        <v>1758</v>
      </c>
      <c r="D27" s="85"/>
      <c r="E27" s="459"/>
      <c r="F27" s="459" t="s">
        <v>1747</v>
      </c>
      <c r="G27" s="459" t="s">
        <v>1755</v>
      </c>
      <c r="I27" s="42">
        <f t="shared" si="0"/>
        <v>1</v>
      </c>
      <c r="J27" s="24">
        <v>1</v>
      </c>
      <c r="K27" s="202">
        <v>1</v>
      </c>
      <c r="L27" s="223"/>
    </row>
    <row r="28" spans="1:22">
      <c r="C28" s="73" t="s">
        <v>1759</v>
      </c>
      <c r="D28" s="73"/>
      <c r="E28" s="462">
        <f ca="1">OFFSET(F28,0,$E$8-1)</f>
        <v>0</v>
      </c>
      <c r="F28" s="469"/>
      <c r="G28" s="469"/>
      <c r="I28" s="42">
        <f t="shared" si="0"/>
        <v>1</v>
      </c>
      <c r="J28" s="24">
        <v>1</v>
      </c>
      <c r="K28" s="202">
        <v>1</v>
      </c>
    </row>
    <row r="29" spans="1:22">
      <c r="C29" s="73" t="s">
        <v>1760</v>
      </c>
      <c r="D29" s="73"/>
      <c r="E29" s="463">
        <f ca="1">OFFSET(F29,0,$E$8-1)</f>
        <v>0</v>
      </c>
      <c r="F29" s="469"/>
      <c r="G29" s="470"/>
      <c r="I29" s="42">
        <f t="shared" si="0"/>
        <v>1</v>
      </c>
      <c r="J29" s="24">
        <v>1</v>
      </c>
      <c r="K29" s="202">
        <v>1</v>
      </c>
    </row>
    <row r="30" spans="1:22" ht="13.8" thickBot="1">
      <c r="A30" s="2"/>
      <c r="B30" s="2"/>
      <c r="C30" s="73" t="s">
        <v>1761</v>
      </c>
      <c r="D30" s="161"/>
      <c r="E30" s="461">
        <f ca="1">OFFSET(F30,0,$E$8-1)</f>
        <v>0</v>
      </c>
      <c r="F30" s="468"/>
      <c r="G30" s="468"/>
      <c r="H30" s="73"/>
      <c r="I30" s="42">
        <f t="shared" si="0"/>
        <v>1</v>
      </c>
      <c r="J30" s="24">
        <v>1</v>
      </c>
      <c r="K30" s="202">
        <v>1</v>
      </c>
      <c r="S30" s="73"/>
      <c r="U30" s="73"/>
      <c r="V30" s="73"/>
    </row>
    <row r="31" spans="1:22" s="2" customFormat="1">
      <c r="C31" s="247"/>
      <c r="D31" s="263"/>
      <c r="E31" s="458"/>
      <c r="F31" s="465"/>
      <c r="G31" s="465"/>
      <c r="I31" s="42">
        <f t="shared" si="0"/>
        <v>0</v>
      </c>
      <c r="J31" s="24">
        <v>0</v>
      </c>
      <c r="K31" s="202">
        <v>1</v>
      </c>
    </row>
    <row r="32" spans="1:22" ht="13.8" thickBot="1">
      <c r="A32" s="2"/>
      <c r="B32" s="2"/>
      <c r="C32" s="85" t="s">
        <v>1463</v>
      </c>
      <c r="D32" s="85"/>
      <c r="E32" s="334"/>
      <c r="F32" s="459" t="s">
        <v>1747</v>
      </c>
      <c r="G32" s="459" t="s">
        <v>1755</v>
      </c>
      <c r="I32" s="42">
        <f t="shared" si="0"/>
        <v>1</v>
      </c>
      <c r="J32" s="24">
        <v>1</v>
      </c>
      <c r="K32" s="202">
        <v>1</v>
      </c>
      <c r="L32" s="223"/>
    </row>
    <row r="33" spans="1:25">
      <c r="A33" s="2"/>
      <c r="B33" s="2"/>
      <c r="C33" s="73" t="s">
        <v>1762</v>
      </c>
      <c r="D33" s="254"/>
      <c r="E33" s="456">
        <f ca="1">OFFSET(F33,0,$E$8-1)</f>
        <v>0</v>
      </c>
      <c r="F33" s="467"/>
      <c r="G33" s="467"/>
      <c r="I33" s="42">
        <f t="shared" si="0"/>
        <v>1</v>
      </c>
      <c r="J33" s="24">
        <v>1</v>
      </c>
      <c r="K33" s="202">
        <v>1</v>
      </c>
    </row>
    <row r="34" spans="1:25" ht="13.8" thickBot="1">
      <c r="A34" s="2"/>
      <c r="B34" s="2"/>
      <c r="C34" s="73" t="s">
        <v>1763</v>
      </c>
      <c r="D34" s="254"/>
      <c r="E34" s="464">
        <f ca="1">OFFSET(F34,0,$E$8-1)</f>
        <v>0</v>
      </c>
      <c r="F34" s="466"/>
      <c r="G34" s="466"/>
      <c r="I34" s="42">
        <f t="shared" si="0"/>
        <v>1</v>
      </c>
      <c r="J34" s="24">
        <v>1</v>
      </c>
      <c r="K34" s="202">
        <v>1</v>
      </c>
    </row>
    <row r="35" spans="1:25">
      <c r="A35" s="2"/>
      <c r="B35" s="2"/>
      <c r="C35" s="73"/>
      <c r="D35" s="73"/>
      <c r="E35" s="218"/>
      <c r="F35" s="217"/>
      <c r="G35" s="262"/>
      <c r="I35" s="42">
        <f t="shared" si="0"/>
        <v>0</v>
      </c>
      <c r="J35" s="24">
        <v>0</v>
      </c>
      <c r="K35" s="202">
        <v>1</v>
      </c>
    </row>
    <row r="36" spans="1:25">
      <c r="A36" s="257"/>
      <c r="B36" s="257"/>
      <c r="C36" s="807" t="s">
        <v>1764</v>
      </c>
      <c r="D36" s="808"/>
      <c r="E36" s="808"/>
      <c r="F36" s="808"/>
      <c r="G36" s="808"/>
      <c r="I36" s="42">
        <f t="shared" si="0"/>
        <v>1</v>
      </c>
      <c r="J36" s="24">
        <v>1</v>
      </c>
      <c r="K36" s="202">
        <v>1</v>
      </c>
      <c r="L36" s="3"/>
    </row>
    <row r="37" spans="1:25" ht="13.8" thickBot="1">
      <c r="A37" s="2"/>
      <c r="B37" s="2"/>
      <c r="C37" s="85" t="s">
        <v>1765</v>
      </c>
      <c r="D37" s="85"/>
      <c r="E37" s="85"/>
      <c r="F37" s="207">
        <f>G113</f>
        <v>2024</v>
      </c>
      <c r="G37" s="207">
        <f>F37+1</f>
        <v>2025</v>
      </c>
      <c r="I37" s="42">
        <f t="shared" si="0"/>
        <v>1</v>
      </c>
      <c r="J37" s="24">
        <v>1</v>
      </c>
      <c r="K37" s="202">
        <v>1</v>
      </c>
      <c r="L37" s="223"/>
    </row>
    <row r="38" spans="1:25">
      <c r="A38" s="2"/>
      <c r="B38" s="2"/>
      <c r="C38" s="73" t="s">
        <v>1475</v>
      </c>
      <c r="D38" s="73"/>
      <c r="E38" s="218"/>
      <c r="F38" s="217">
        <f ca="1">IFERROR($F$71/'DCF - Financials'!K56,0)</f>
        <v>1.1630978060714485</v>
      </c>
      <c r="G38" s="217">
        <f ca="1">IFERROR($F$71/'DCF - Financials'!L56,0)</f>
        <v>2.5421145916597965</v>
      </c>
      <c r="I38" s="42">
        <f t="shared" si="0"/>
        <v>1</v>
      </c>
      <c r="J38" s="24">
        <v>1</v>
      </c>
      <c r="K38" s="202">
        <v>1</v>
      </c>
    </row>
    <row r="39" spans="1:25">
      <c r="A39" s="2"/>
      <c r="B39" s="2"/>
      <c r="C39" s="73" t="s">
        <v>1766</v>
      </c>
      <c r="D39" s="73"/>
      <c r="E39" s="218"/>
      <c r="F39" s="217">
        <f ca="1">IFERROR($F$71/'DCF - Financials'!K9,0)</f>
        <v>0.25221185933088053</v>
      </c>
      <c r="G39" s="217">
        <f ca="1">IFERROR($F$71/'DCF - Financials'!L9,0)</f>
        <v>0.20754064276896478</v>
      </c>
      <c r="I39" s="42">
        <f t="shared" si="0"/>
        <v>1</v>
      </c>
      <c r="J39" s="24">
        <v>1</v>
      </c>
      <c r="K39" s="202">
        <v>1</v>
      </c>
    </row>
    <row r="40" spans="1:25">
      <c r="A40" s="2"/>
      <c r="B40" s="2"/>
      <c r="C40" s="73" t="s">
        <v>1502</v>
      </c>
      <c r="D40" s="73"/>
      <c r="E40" s="218"/>
      <c r="F40" s="217">
        <f>IFERROR($G$91/'DCF - Financials'!K40,0)</f>
        <v>0</v>
      </c>
      <c r="G40" s="217">
        <f>IFERROR($G$91/'DCF - Financials'!L40,0)</f>
        <v>0</v>
      </c>
      <c r="I40" s="42">
        <f t="shared" si="0"/>
        <v>1</v>
      </c>
      <c r="J40" s="24">
        <v>1</v>
      </c>
      <c r="K40" s="202">
        <v>1</v>
      </c>
    </row>
    <row r="41" spans="1:25" ht="4.5" customHeight="1">
      <c r="A41" s="2"/>
      <c r="B41" s="2"/>
      <c r="C41" s="73"/>
      <c r="D41" s="73"/>
      <c r="E41" s="218"/>
      <c r="F41" s="217"/>
      <c r="G41" s="261"/>
      <c r="I41" s="42">
        <f t="shared" si="0"/>
        <v>0</v>
      </c>
      <c r="J41" s="24">
        <v>0</v>
      </c>
      <c r="K41" s="202">
        <v>1</v>
      </c>
    </row>
    <row r="42" spans="1:25">
      <c r="A42" s="2"/>
      <c r="B42" s="2"/>
      <c r="C42" s="73" t="s">
        <v>1694</v>
      </c>
      <c r="D42" s="73"/>
      <c r="E42" s="218"/>
      <c r="F42" s="217">
        <f ca="1">'LBO - Outputs'!J43</f>
        <v>0</v>
      </c>
      <c r="G42" s="1030">
        <f ca="1">'LBO - Outputs'!K43</f>
        <v>0</v>
      </c>
      <c r="I42" s="42">
        <f t="shared" si="0"/>
        <v>1</v>
      </c>
      <c r="J42" s="24">
        <v>1</v>
      </c>
      <c r="K42" s="202">
        <v>1</v>
      </c>
    </row>
    <row r="43" spans="1:25">
      <c r="A43" s="2"/>
      <c r="B43" s="2"/>
      <c r="C43" s="73" t="s">
        <v>1767</v>
      </c>
      <c r="D43" s="73"/>
      <c r="E43" s="218"/>
      <c r="F43" s="260">
        <f ca="1">IFERROR('LBO - Outputs'!J36/'LBO - Outputs'!J34,0)</f>
        <v>0</v>
      </c>
      <c r="G43" s="259">
        <f ca="1">IFERROR('LBO - Outputs'!K36/'LBO - Outputs'!K34,0)</f>
        <v>0</v>
      </c>
      <c r="I43" s="42">
        <f t="shared" si="0"/>
        <v>1</v>
      </c>
      <c r="J43" s="24">
        <v>1</v>
      </c>
      <c r="K43" s="202">
        <v>1</v>
      </c>
    </row>
    <row r="44" spans="1:25" s="2" customFormat="1" ht="4.5" customHeight="1">
      <c r="C44" s="3"/>
      <c r="D44" s="3"/>
      <c r="E44" s="218"/>
      <c r="F44" s="385" t="s">
        <v>1584</v>
      </c>
      <c r="G44" s="259"/>
      <c r="I44" s="42">
        <f t="shared" si="0"/>
        <v>0</v>
      </c>
      <c r="J44" s="24">
        <v>0</v>
      </c>
      <c r="K44" s="202">
        <v>1</v>
      </c>
    </row>
    <row r="45" spans="1:25" s="160" customFormat="1">
      <c r="A45" s="41"/>
      <c r="B45" s="41"/>
      <c r="C45" s="210" t="s">
        <v>1768</v>
      </c>
      <c r="D45" s="210"/>
      <c r="E45" s="210"/>
      <c r="F45" s="210"/>
      <c r="G45" s="258">
        <f ca="1">G117</f>
        <v>0.38387479019818049</v>
      </c>
      <c r="I45" s="42">
        <f t="shared" si="0"/>
        <v>1</v>
      </c>
      <c r="J45" s="24">
        <v>1</v>
      </c>
      <c r="K45" s="202">
        <v>1</v>
      </c>
    </row>
    <row r="46" spans="1:25">
      <c r="A46" s="2"/>
      <c r="B46" s="2"/>
      <c r="I46" s="42">
        <f t="shared" si="0"/>
        <v>0</v>
      </c>
      <c r="J46" s="24">
        <v>0</v>
      </c>
      <c r="K46" s="202">
        <v>1</v>
      </c>
    </row>
    <row r="47" spans="1:25">
      <c r="A47" s="257"/>
      <c r="B47" s="257"/>
      <c r="C47" s="807" t="s">
        <v>1769</v>
      </c>
      <c r="D47" s="808"/>
      <c r="E47" s="808"/>
      <c r="F47" s="808"/>
      <c r="G47" s="808"/>
      <c r="I47" s="42">
        <f t="shared" si="0"/>
        <v>1</v>
      </c>
      <c r="J47" s="24">
        <v>1</v>
      </c>
      <c r="K47" s="202">
        <v>1</v>
      </c>
    </row>
    <row r="48" spans="1:25" ht="13.8" thickBot="1">
      <c r="A48" s="2"/>
      <c r="B48" s="2"/>
      <c r="C48" s="85" t="s">
        <v>1770</v>
      </c>
      <c r="D48" s="229" t="s">
        <v>1771</v>
      </c>
      <c r="E48" s="85" t="s">
        <v>1694</v>
      </c>
      <c r="F48" s="229" t="s">
        <v>1772</v>
      </c>
      <c r="G48" s="229" t="s">
        <v>1773</v>
      </c>
      <c r="H48" s="73"/>
      <c r="I48" s="42">
        <f t="shared" si="0"/>
        <v>1</v>
      </c>
      <c r="J48" s="24">
        <v>1</v>
      </c>
      <c r="K48" s="202">
        <v>1</v>
      </c>
      <c r="Y48" s="256"/>
    </row>
    <row r="49" spans="1:24">
      <c r="A49" s="2"/>
      <c r="B49" s="2"/>
      <c r="C49" s="73" t="s">
        <v>1666</v>
      </c>
      <c r="D49" s="254">
        <v>1</v>
      </c>
      <c r="E49" s="253">
        <f ca="1">E12</f>
        <v>0</v>
      </c>
      <c r="F49" s="6">
        <f ca="1">E49*'LBO - Outputs'!$K$56</f>
        <v>0</v>
      </c>
      <c r="G49" s="219">
        <f ca="1">F49/$F$59</f>
        <v>0</v>
      </c>
      <c r="H49" s="73"/>
      <c r="I49" s="42">
        <f t="shared" si="0"/>
        <v>1</v>
      </c>
      <c r="J49" s="24">
        <v>1</v>
      </c>
      <c r="K49" s="202">
        <v>1</v>
      </c>
    </row>
    <row r="50" spans="1:24">
      <c r="A50" s="2"/>
      <c r="B50" s="2"/>
      <c r="C50" s="73" t="s">
        <v>1667</v>
      </c>
      <c r="D50" s="254">
        <v>0</v>
      </c>
      <c r="E50" s="253">
        <f ca="1">E13</f>
        <v>0</v>
      </c>
      <c r="F50" s="6">
        <f ca="1">E50*'LBO - Outputs'!$K$56</f>
        <v>0</v>
      </c>
      <c r="G50" s="219">
        <f ca="1">F50/$F$59</f>
        <v>0</v>
      </c>
      <c r="H50" s="73"/>
      <c r="I50" s="42">
        <f t="shared" si="0"/>
        <v>1</v>
      </c>
      <c r="J50" s="24">
        <v>1</v>
      </c>
      <c r="K50" s="202">
        <v>1</v>
      </c>
    </row>
    <row r="51" spans="1:24">
      <c r="A51" s="2"/>
      <c r="B51" s="2"/>
      <c r="C51" s="255" t="s">
        <v>1668</v>
      </c>
      <c r="D51" s="254">
        <v>1</v>
      </c>
      <c r="E51" s="253">
        <f ca="1">E14</f>
        <v>0</v>
      </c>
      <c r="F51" s="6">
        <f ca="1">E51*'LBO - Outputs'!$J$56</f>
        <v>0</v>
      </c>
      <c r="G51" s="219">
        <f ca="1">F51/$F$59</f>
        <v>0</v>
      </c>
      <c r="I51" s="42">
        <f t="shared" si="0"/>
        <v>1</v>
      </c>
      <c r="J51" s="24">
        <v>1</v>
      </c>
      <c r="K51" s="202">
        <v>1</v>
      </c>
    </row>
    <row r="52" spans="1:24">
      <c r="A52" s="2"/>
      <c r="B52" s="2"/>
      <c r="C52" s="73" t="s">
        <v>1669</v>
      </c>
      <c r="D52" s="254">
        <v>0</v>
      </c>
      <c r="E52" s="253">
        <f ca="1">E15</f>
        <v>0</v>
      </c>
      <c r="F52" s="6">
        <f ca="1">MIN(E52*'LBO - Outputs'!$J$56,F66)</f>
        <v>0</v>
      </c>
      <c r="G52" s="219">
        <f ca="1">F52/$F$59</f>
        <v>0</v>
      </c>
      <c r="H52" s="73"/>
      <c r="I52" s="42">
        <f t="shared" si="0"/>
        <v>1</v>
      </c>
      <c r="J52" s="24">
        <v>1</v>
      </c>
      <c r="K52" s="202">
        <v>1</v>
      </c>
      <c r="S52" s="73"/>
      <c r="T52" s="73"/>
      <c r="U52" s="73"/>
      <c r="V52" s="73"/>
      <c r="W52" s="73"/>
      <c r="X52" s="73"/>
    </row>
    <row r="53" spans="1:24">
      <c r="A53" s="2"/>
      <c r="B53" s="2"/>
      <c r="C53" s="74" t="s">
        <v>1774</v>
      </c>
      <c r="D53" s="74"/>
      <c r="E53" s="252">
        <f ca="1">SUM(E49:E52)</f>
        <v>0</v>
      </c>
      <c r="F53" s="251">
        <f ca="1">SUM(F49:F52)</f>
        <v>0</v>
      </c>
      <c r="G53" s="248">
        <f ca="1">F53/$F$59</f>
        <v>0</v>
      </c>
      <c r="H53" s="73"/>
      <c r="I53" s="42">
        <f t="shared" si="0"/>
        <v>1</v>
      </c>
      <c r="J53" s="24">
        <v>1</v>
      </c>
      <c r="K53" s="202">
        <v>1</v>
      </c>
    </row>
    <row r="54" spans="1:24" ht="4.5" customHeight="1">
      <c r="A54" s="2"/>
      <c r="B54" s="2"/>
      <c r="C54" s="73"/>
      <c r="D54" s="73"/>
      <c r="E54" s="73"/>
      <c r="F54" s="18"/>
      <c r="G54" s="73"/>
      <c r="I54" s="42">
        <f t="shared" si="0"/>
        <v>0</v>
      </c>
      <c r="J54" s="24">
        <v>0</v>
      </c>
      <c r="K54" s="202">
        <v>1</v>
      </c>
      <c r="L54" s="73"/>
      <c r="S54" s="73"/>
      <c r="U54" s="73"/>
      <c r="V54" s="73"/>
      <c r="W54" s="73"/>
    </row>
    <row r="55" spans="1:24">
      <c r="A55" s="2"/>
      <c r="B55" s="2"/>
      <c r="C55" s="73" t="s">
        <v>1672</v>
      </c>
      <c r="D55" s="73"/>
      <c r="E55" s="250"/>
      <c r="F55" s="18">
        <f ca="1">F68-F53-F58</f>
        <v>265.28400000000005</v>
      </c>
      <c r="G55" s="219">
        <f ca="1">F55/$F$59</f>
        <v>0.42723931676238397</v>
      </c>
      <c r="I55" s="42">
        <f t="shared" si="0"/>
        <v>1</v>
      </c>
      <c r="J55" s="24">
        <v>1</v>
      </c>
      <c r="K55" s="202">
        <v>1</v>
      </c>
    </row>
    <row r="56" spans="1:24">
      <c r="A56" s="2"/>
      <c r="B56" s="2"/>
      <c r="C56" s="74" t="s">
        <v>447</v>
      </c>
      <c r="D56" s="74"/>
      <c r="E56" s="74"/>
      <c r="F56" s="249">
        <f ca="1">SUM(F55:F55)</f>
        <v>265.28400000000005</v>
      </c>
      <c r="G56" s="248">
        <f ca="1">F56/$F$59</f>
        <v>0.42723931676238397</v>
      </c>
      <c r="I56" s="42">
        <f t="shared" si="0"/>
        <v>1</v>
      </c>
      <c r="J56" s="24">
        <v>1</v>
      </c>
      <c r="K56" s="202">
        <v>1</v>
      </c>
    </row>
    <row r="57" spans="1:24" ht="4.5" customHeight="1">
      <c r="A57" s="2"/>
      <c r="B57" s="2"/>
      <c r="C57" s="73"/>
      <c r="D57" s="73"/>
      <c r="E57" s="73"/>
      <c r="F57" s="18"/>
      <c r="G57" s="73"/>
      <c r="I57" s="42">
        <f t="shared" si="0"/>
        <v>0</v>
      </c>
      <c r="J57" s="24">
        <v>0</v>
      </c>
      <c r="K57" s="202">
        <v>1</v>
      </c>
      <c r="L57" s="73"/>
      <c r="S57" s="73"/>
      <c r="U57" s="73"/>
      <c r="V57" s="73"/>
      <c r="W57" s="73"/>
    </row>
    <row r="58" spans="1:24">
      <c r="A58" s="2"/>
      <c r="B58" s="2"/>
      <c r="C58" s="247" t="s">
        <v>1775</v>
      </c>
      <c r="D58" s="247"/>
      <c r="E58" s="3"/>
      <c r="F58" s="246">
        <f ca="1">G86</f>
        <v>355.642</v>
      </c>
      <c r="G58" s="143">
        <f ca="1">F58/$F$59</f>
        <v>0.57276068323761598</v>
      </c>
      <c r="I58" s="42">
        <f t="shared" si="0"/>
        <v>1</v>
      </c>
      <c r="J58" s="24">
        <v>1</v>
      </c>
      <c r="K58" s="202">
        <v>1</v>
      </c>
      <c r="S58" s="73"/>
      <c r="T58" s="245"/>
      <c r="U58" s="73"/>
      <c r="V58" s="73"/>
      <c r="W58" s="73"/>
      <c r="X58" s="73"/>
    </row>
    <row r="59" spans="1:24">
      <c r="A59" s="2"/>
      <c r="B59" s="2"/>
      <c r="C59" s="78" t="s">
        <v>1776</v>
      </c>
      <c r="D59" s="78"/>
      <c r="E59" s="32"/>
      <c r="F59" s="211">
        <f ca="1">SUM(F53,F56,F58)</f>
        <v>620.92600000000004</v>
      </c>
      <c r="G59" s="235">
        <f ca="1">G53+G56+G58</f>
        <v>1</v>
      </c>
      <c r="I59" s="42">
        <f t="shared" si="0"/>
        <v>1</v>
      </c>
      <c r="J59" s="24">
        <v>1</v>
      </c>
      <c r="K59" s="202">
        <v>1</v>
      </c>
      <c r="S59" s="73"/>
      <c r="U59" s="73"/>
      <c r="V59" s="73"/>
    </row>
    <row r="60" spans="1:24">
      <c r="A60" s="2"/>
      <c r="B60" s="2"/>
      <c r="I60" s="42">
        <f t="shared" si="0"/>
        <v>0</v>
      </c>
      <c r="J60" s="24">
        <v>0</v>
      </c>
      <c r="K60" s="202">
        <v>1</v>
      </c>
      <c r="S60" s="73"/>
      <c r="U60" s="73"/>
      <c r="V60" s="73"/>
    </row>
    <row r="61" spans="1:24" ht="13.8" thickBot="1">
      <c r="A61" s="2"/>
      <c r="B61" s="2"/>
      <c r="C61" s="85" t="s">
        <v>1777</v>
      </c>
      <c r="D61" s="85"/>
      <c r="E61" s="85"/>
      <c r="F61" s="229"/>
      <c r="G61" s="229"/>
      <c r="I61" s="42">
        <f t="shared" si="0"/>
        <v>1</v>
      </c>
      <c r="J61" s="24">
        <v>1</v>
      </c>
      <c r="K61" s="202">
        <v>1</v>
      </c>
    </row>
    <row r="62" spans="1:24">
      <c r="A62" s="2"/>
      <c r="B62" s="2"/>
      <c r="C62" s="73" t="s">
        <v>1498</v>
      </c>
      <c r="D62" s="73"/>
      <c r="E62" s="73"/>
      <c r="F62" s="18">
        <f>G92</f>
        <v>0</v>
      </c>
      <c r="G62" s="236">
        <f ca="1">F62/$F$68</f>
        <v>0</v>
      </c>
      <c r="I62" s="42">
        <f t="shared" si="0"/>
        <v>1</v>
      </c>
      <c r="J62" s="24">
        <v>1</v>
      </c>
      <c r="K62" s="202">
        <v>1</v>
      </c>
    </row>
    <row r="63" spans="1:24">
      <c r="A63" s="2"/>
      <c r="B63" s="2"/>
      <c r="C63" s="73" t="s">
        <v>1778</v>
      </c>
      <c r="D63" s="73"/>
      <c r="E63" s="73"/>
      <c r="F63" s="18">
        <f ca="1">G95</f>
        <v>0</v>
      </c>
      <c r="G63" s="236">
        <f ca="1">F63/$F$68</f>
        <v>0</v>
      </c>
      <c r="I63" s="42">
        <f t="shared" si="0"/>
        <v>1</v>
      </c>
      <c r="J63" s="24">
        <v>1</v>
      </c>
      <c r="K63" s="202">
        <v>1</v>
      </c>
    </row>
    <row r="64" spans="1:24" s="160" customFormat="1">
      <c r="A64" s="41"/>
      <c r="B64" s="41"/>
      <c r="C64" s="244" t="s">
        <v>1498</v>
      </c>
      <c r="D64" s="244"/>
      <c r="E64" s="244"/>
      <c r="F64" s="243">
        <f ca="1">SUM(F62:F63)</f>
        <v>0</v>
      </c>
      <c r="G64" s="242">
        <f ca="1">F64/$F$68</f>
        <v>0</v>
      </c>
      <c r="I64" s="42">
        <f t="shared" si="0"/>
        <v>1</v>
      </c>
      <c r="J64" s="24">
        <v>1</v>
      </c>
      <c r="K64" s="202">
        <v>1</v>
      </c>
    </row>
    <row r="65" spans="1:25" s="160" customFormat="1" ht="4.5" customHeight="1">
      <c r="A65" s="41"/>
      <c r="B65" s="41"/>
      <c r="C65" s="161"/>
      <c r="D65" s="161"/>
      <c r="E65" s="161"/>
      <c r="F65" s="17"/>
      <c r="G65" s="241"/>
      <c r="I65" s="42">
        <f t="shared" si="0"/>
        <v>0</v>
      </c>
      <c r="J65" s="24">
        <v>0</v>
      </c>
      <c r="K65" s="202">
        <v>1</v>
      </c>
    </row>
    <row r="66" spans="1:25">
      <c r="A66" s="2"/>
      <c r="B66" s="2"/>
      <c r="C66" s="73" t="s">
        <v>1779</v>
      </c>
      <c r="D66" s="73"/>
      <c r="E66" s="73"/>
      <c r="F66" s="6">
        <f>G99</f>
        <v>620.92600000000004</v>
      </c>
      <c r="G66" s="236">
        <f ca="1">F66/$F$68</f>
        <v>1</v>
      </c>
      <c r="I66" s="42">
        <f t="shared" si="0"/>
        <v>1</v>
      </c>
      <c r="J66" s="24">
        <v>1</v>
      </c>
      <c r="K66" s="202">
        <v>1</v>
      </c>
    </row>
    <row r="67" spans="1:25">
      <c r="A67" s="2"/>
      <c r="B67" s="2"/>
      <c r="C67" s="73" t="s">
        <v>1670</v>
      </c>
      <c r="D67" s="73"/>
      <c r="E67" s="73"/>
      <c r="F67" s="18">
        <f ca="1">G106</f>
        <v>0</v>
      </c>
      <c r="G67" s="236">
        <f ca="1">F67/$F$68</f>
        <v>0</v>
      </c>
      <c r="I67" s="42">
        <f t="shared" si="0"/>
        <v>1</v>
      </c>
      <c r="J67" s="24">
        <v>1</v>
      </c>
      <c r="K67" s="202">
        <v>1</v>
      </c>
    </row>
    <row r="68" spans="1:25">
      <c r="A68" s="3" t="str">
        <f ca="1">IF(F68=F59,"OK","Error")</f>
        <v>OK</v>
      </c>
      <c r="B68" s="3"/>
      <c r="C68" s="240" t="s">
        <v>1780</v>
      </c>
      <c r="D68" s="240"/>
      <c r="E68" s="74"/>
      <c r="F68" s="239">
        <f ca="1">SUM(F64:F67)</f>
        <v>620.92600000000004</v>
      </c>
      <c r="G68" s="238">
        <f ca="1">SUM(G64:G67)</f>
        <v>1</v>
      </c>
      <c r="I68" s="42">
        <f t="shared" si="0"/>
        <v>1</v>
      </c>
      <c r="J68" s="24">
        <v>1</v>
      </c>
      <c r="K68" s="202">
        <v>1</v>
      </c>
    </row>
    <row r="69" spans="1:25" ht="4.5" customHeight="1">
      <c r="A69" s="3"/>
      <c r="B69" s="3"/>
      <c r="C69" s="23"/>
      <c r="D69" s="23"/>
      <c r="E69" s="3"/>
      <c r="F69" s="22"/>
      <c r="G69" s="237"/>
      <c r="I69" s="42">
        <f t="shared" si="0"/>
        <v>0</v>
      </c>
      <c r="J69" s="24">
        <v>0</v>
      </c>
      <c r="K69" s="202">
        <v>1</v>
      </c>
    </row>
    <row r="70" spans="1:25">
      <c r="C70" s="3" t="s">
        <v>1781</v>
      </c>
      <c r="D70" s="3"/>
      <c r="E70" s="73"/>
      <c r="F70" s="18">
        <f>-G84</f>
        <v>-355.642</v>
      </c>
      <c r="G70" s="236">
        <f ca="1">F70/$F$71</f>
        <v>-1.340608555359539</v>
      </c>
      <c r="I70" s="42">
        <f t="shared" si="0"/>
        <v>1</v>
      </c>
      <c r="J70" s="24">
        <v>1</v>
      </c>
      <c r="K70" s="202">
        <v>1</v>
      </c>
    </row>
    <row r="71" spans="1:25">
      <c r="C71" s="78" t="s">
        <v>1782</v>
      </c>
      <c r="D71" s="78"/>
      <c r="E71" s="32"/>
      <c r="F71" s="211">
        <f ca="1">F68+F70</f>
        <v>265.28400000000005</v>
      </c>
      <c r="G71" s="235">
        <f ca="1">G70+G68</f>
        <v>-0.34060855535953904</v>
      </c>
      <c r="I71" s="42">
        <f t="shared" si="0"/>
        <v>1</v>
      </c>
      <c r="J71" s="24">
        <v>1</v>
      </c>
      <c r="K71" s="202">
        <v>1</v>
      </c>
    </row>
    <row r="72" spans="1:25">
      <c r="A72" s="2"/>
      <c r="B72" s="2"/>
      <c r="C72" s="73"/>
      <c r="D72" s="73"/>
      <c r="E72" s="73"/>
      <c r="F72" s="73"/>
      <c r="G72" s="73"/>
      <c r="H72" s="73"/>
      <c r="I72" s="42">
        <f t="shared" ref="I72:I117" si="1">IF(NOT(ISBLANK(C72)), 1, 0)</f>
        <v>0</v>
      </c>
      <c r="J72" s="24">
        <v>0</v>
      </c>
      <c r="K72" s="202">
        <v>1</v>
      </c>
      <c r="L72" s="73"/>
      <c r="Y72" s="161"/>
    </row>
    <row r="73" spans="1:25">
      <c r="A73" s="224"/>
      <c r="B73" s="224"/>
      <c r="C73" s="807" t="s">
        <v>1783</v>
      </c>
      <c r="D73" s="808"/>
      <c r="E73" s="808"/>
      <c r="F73" s="808"/>
      <c r="G73" s="808"/>
      <c r="I73" s="42">
        <f t="shared" si="1"/>
        <v>1</v>
      </c>
      <c r="J73" s="24">
        <v>1</v>
      </c>
      <c r="K73" s="202">
        <v>1</v>
      </c>
    </row>
    <row r="74" spans="1:25" ht="13.8" thickBot="1">
      <c r="A74" s="2"/>
      <c r="B74" s="2"/>
      <c r="C74" s="85" t="s">
        <v>1784</v>
      </c>
      <c r="D74" s="85"/>
      <c r="E74" s="85"/>
      <c r="F74" s="229" t="s">
        <v>1785</v>
      </c>
      <c r="G74" s="229" t="s">
        <v>1786</v>
      </c>
      <c r="I74" s="42">
        <f t="shared" si="1"/>
        <v>1</v>
      </c>
      <c r="J74" s="24">
        <v>1</v>
      </c>
      <c r="K74" s="202">
        <v>1</v>
      </c>
    </row>
    <row r="75" spans="1:25">
      <c r="A75" s="2"/>
      <c r="B75" s="2"/>
      <c r="C75" s="73" t="str">
        <f>C49</f>
        <v>Senior Debt</v>
      </c>
      <c r="D75" s="73"/>
      <c r="E75" s="73"/>
      <c r="F75" s="234">
        <v>2</v>
      </c>
      <c r="G75" s="10">
        <f ca="1">E18</f>
        <v>0</v>
      </c>
      <c r="I75" s="42">
        <f t="shared" si="1"/>
        <v>1</v>
      </c>
      <c r="J75" s="24">
        <v>1</v>
      </c>
      <c r="K75" s="202">
        <v>1</v>
      </c>
    </row>
    <row r="76" spans="1:25">
      <c r="A76" s="2"/>
      <c r="B76" s="2"/>
      <c r="C76" s="73" t="str">
        <f>C50</f>
        <v>Junior Debt</v>
      </c>
      <c r="D76" s="73"/>
      <c r="E76" s="73"/>
      <c r="F76" s="234">
        <v>1</v>
      </c>
      <c r="G76" s="10">
        <f ca="1">E19</f>
        <v>0</v>
      </c>
      <c r="I76" s="42">
        <f t="shared" si="1"/>
        <v>1</v>
      </c>
      <c r="J76" s="24">
        <v>1</v>
      </c>
      <c r="K76" s="202">
        <v>1</v>
      </c>
    </row>
    <row r="77" spans="1:25">
      <c r="A77" s="2"/>
      <c r="B77" s="2"/>
      <c r="C77" s="73" t="str">
        <f>C51</f>
        <v>Revolver</v>
      </c>
      <c r="D77" s="73"/>
      <c r="E77" s="73"/>
      <c r="F77" s="234">
        <v>3</v>
      </c>
      <c r="G77" s="10">
        <f ca="1">E20</f>
        <v>0</v>
      </c>
      <c r="I77" s="42">
        <f t="shared" si="1"/>
        <v>1</v>
      </c>
      <c r="J77" s="24">
        <v>1</v>
      </c>
      <c r="K77" s="202">
        <v>1</v>
      </c>
    </row>
    <row r="78" spans="1:25">
      <c r="A78" s="2"/>
      <c r="B78" s="2"/>
      <c r="C78" s="73" t="str">
        <f>C52</f>
        <v>Assumed Debt</v>
      </c>
      <c r="D78" s="73"/>
      <c r="E78" s="73"/>
      <c r="F78" s="234">
        <v>4</v>
      </c>
      <c r="G78" s="10">
        <f ca="1">$E$21</f>
        <v>0</v>
      </c>
      <c r="I78" s="42">
        <f t="shared" si="1"/>
        <v>1</v>
      </c>
      <c r="J78" s="24">
        <v>1</v>
      </c>
      <c r="K78" s="202">
        <v>1</v>
      </c>
    </row>
    <row r="79" spans="1:25">
      <c r="A79" s="2"/>
      <c r="B79" s="2"/>
      <c r="I79" s="42">
        <f t="shared" si="1"/>
        <v>0</v>
      </c>
      <c r="J79" s="24">
        <v>0</v>
      </c>
      <c r="K79" s="202">
        <v>1</v>
      </c>
    </row>
    <row r="80" spans="1:25" ht="13.8" thickBot="1">
      <c r="A80" s="2"/>
      <c r="B80" s="2"/>
      <c r="C80" s="85" t="s">
        <v>1787</v>
      </c>
      <c r="D80" s="85"/>
      <c r="E80" s="85"/>
      <c r="F80" s="229"/>
      <c r="G80" s="229"/>
      <c r="I80" s="42">
        <f t="shared" si="1"/>
        <v>1</v>
      </c>
      <c r="J80" s="24">
        <v>1</v>
      </c>
      <c r="K80" s="202">
        <v>1</v>
      </c>
      <c r="S80" s="73"/>
      <c r="U80" s="73"/>
      <c r="V80" s="73"/>
    </row>
    <row r="81" spans="1:24">
      <c r="A81" s="2"/>
      <c r="B81" s="2"/>
      <c r="C81" s="73" t="s">
        <v>1788</v>
      </c>
      <c r="D81" s="161"/>
      <c r="E81" s="73"/>
      <c r="G81" s="233">
        <v>1</v>
      </c>
      <c r="H81" s="73"/>
      <c r="I81" s="42">
        <f t="shared" si="1"/>
        <v>1</v>
      </c>
      <c r="J81" s="24">
        <v>1</v>
      </c>
      <c r="K81" s="202">
        <v>1</v>
      </c>
      <c r="S81" s="73"/>
      <c r="U81" s="73"/>
      <c r="V81" s="73"/>
    </row>
    <row r="82" spans="1:24">
      <c r="A82" s="2"/>
      <c r="B82" s="2"/>
      <c r="C82" s="73" t="s">
        <v>1789</v>
      </c>
      <c r="D82" s="161"/>
      <c r="E82" s="73"/>
      <c r="G82" s="233">
        <v>1</v>
      </c>
      <c r="H82" s="73"/>
      <c r="I82" s="42">
        <f t="shared" si="1"/>
        <v>1</v>
      </c>
      <c r="J82" s="24">
        <v>1</v>
      </c>
      <c r="K82" s="202">
        <v>1</v>
      </c>
      <c r="S82" s="73"/>
      <c r="U82" s="73"/>
      <c r="V82" s="73"/>
    </row>
    <row r="83" spans="1:24">
      <c r="A83" s="2"/>
      <c r="B83" s="2"/>
      <c r="C83" s="73" t="s">
        <v>1761</v>
      </c>
      <c r="D83" s="161"/>
      <c r="E83" s="73"/>
      <c r="G83" s="232">
        <f ca="1">E30</f>
        <v>0</v>
      </c>
      <c r="H83" s="73"/>
      <c r="I83" s="42">
        <f t="shared" si="1"/>
        <v>1</v>
      </c>
      <c r="J83" s="24">
        <v>1</v>
      </c>
      <c r="K83" s="202">
        <v>1</v>
      </c>
      <c r="S83" s="73"/>
      <c r="U83" s="73"/>
      <c r="V83" s="73"/>
    </row>
    <row r="84" spans="1:24">
      <c r="A84" s="2"/>
      <c r="B84" s="2"/>
      <c r="C84" s="3" t="s">
        <v>1790</v>
      </c>
      <c r="D84" s="3"/>
      <c r="E84" s="3"/>
      <c r="G84" s="6">
        <f>'DCF - Outputs'!L46</f>
        <v>355.642</v>
      </c>
      <c r="I84" s="42">
        <f t="shared" si="1"/>
        <v>1</v>
      </c>
      <c r="J84" s="24">
        <v>1</v>
      </c>
      <c r="K84" s="202">
        <v>1</v>
      </c>
      <c r="S84" s="220"/>
      <c r="T84" s="73"/>
      <c r="U84" s="73"/>
    </row>
    <row r="85" spans="1:24">
      <c r="A85" s="2"/>
      <c r="B85" s="2"/>
      <c r="C85" s="3" t="s">
        <v>1791</v>
      </c>
      <c r="D85" s="3"/>
      <c r="E85" s="3"/>
      <c r="G85" s="6">
        <f ca="1">IF(G81=1,G83,0)</f>
        <v>0</v>
      </c>
      <c r="I85" s="42">
        <f t="shared" si="1"/>
        <v>1</v>
      </c>
      <c r="J85" s="24">
        <v>1</v>
      </c>
      <c r="K85" s="202">
        <v>1</v>
      </c>
      <c r="S85" s="73"/>
      <c r="T85" s="73"/>
      <c r="U85" s="73"/>
      <c r="V85" s="73"/>
      <c r="W85" s="73"/>
      <c r="X85" s="73"/>
    </row>
    <row r="86" spans="1:24">
      <c r="A86" s="2"/>
      <c r="B86" s="2"/>
      <c r="C86" s="3" t="s">
        <v>1792</v>
      </c>
      <c r="D86" s="3"/>
      <c r="E86" s="3"/>
      <c r="G86" s="6">
        <f ca="1">IF(G82=1,G84-G85,0)</f>
        <v>355.642</v>
      </c>
      <c r="I86" s="42">
        <f t="shared" si="1"/>
        <v>1</v>
      </c>
      <c r="J86" s="24">
        <v>1</v>
      </c>
      <c r="K86" s="202">
        <v>1</v>
      </c>
      <c r="S86" s="73"/>
      <c r="T86" s="73"/>
      <c r="U86" s="73"/>
      <c r="V86" s="73"/>
      <c r="W86" s="73"/>
      <c r="X86" s="73"/>
    </row>
    <row r="87" spans="1:24">
      <c r="A87" s="2"/>
      <c r="B87" s="2"/>
      <c r="C87" s="161"/>
      <c r="D87" s="161"/>
      <c r="E87" s="73"/>
      <c r="F87" s="73"/>
      <c r="H87" s="73"/>
      <c r="I87" s="42">
        <f t="shared" si="1"/>
        <v>0</v>
      </c>
      <c r="J87" s="24">
        <v>0</v>
      </c>
      <c r="K87" s="202">
        <v>1</v>
      </c>
      <c r="S87" s="73"/>
      <c r="U87" s="73"/>
      <c r="V87" s="73"/>
    </row>
    <row r="88" spans="1:24">
      <c r="A88" s="224"/>
      <c r="B88" s="224"/>
      <c r="C88" s="807" t="s">
        <v>1793</v>
      </c>
      <c r="D88" s="808"/>
      <c r="E88" s="808"/>
      <c r="F88" s="808"/>
      <c r="G88" s="808"/>
      <c r="I88" s="42">
        <f t="shared" si="1"/>
        <v>1</v>
      </c>
      <c r="J88" s="24">
        <v>1</v>
      </c>
      <c r="K88" s="202">
        <v>1</v>
      </c>
    </row>
    <row r="89" spans="1:24" ht="13.8" thickBot="1">
      <c r="A89" s="2"/>
      <c r="B89" s="2"/>
      <c r="C89" s="85" t="s">
        <v>1794</v>
      </c>
      <c r="D89" s="85"/>
      <c r="E89" s="85"/>
      <c r="F89" s="229"/>
      <c r="G89" s="229"/>
      <c r="I89" s="42">
        <f t="shared" si="1"/>
        <v>1</v>
      </c>
      <c r="J89" s="24">
        <v>1</v>
      </c>
      <c r="K89" s="202">
        <v>1</v>
      </c>
    </row>
    <row r="90" spans="1:24">
      <c r="C90" s="73" t="s">
        <v>1795</v>
      </c>
      <c r="D90" s="73"/>
      <c r="E90" s="73"/>
      <c r="G90" s="6">
        <f>'DCF - Valuation'!S25</f>
        <v>157.34</v>
      </c>
      <c r="I90" s="42">
        <f t="shared" si="1"/>
        <v>1</v>
      </c>
      <c r="J90" s="24">
        <v>1</v>
      </c>
      <c r="K90" s="202">
        <v>1</v>
      </c>
    </row>
    <row r="91" spans="1:24">
      <c r="C91" s="73" t="s">
        <v>1796</v>
      </c>
      <c r="D91" s="73"/>
      <c r="E91" s="73"/>
      <c r="G91" s="824"/>
      <c r="I91" s="42">
        <f t="shared" si="1"/>
        <v>1</v>
      </c>
      <c r="J91" s="24">
        <v>1</v>
      </c>
      <c r="K91" s="202">
        <v>1</v>
      </c>
    </row>
    <row r="92" spans="1:24">
      <c r="C92" s="73" t="s">
        <v>1797</v>
      </c>
      <c r="D92" s="73"/>
      <c r="E92" s="73"/>
      <c r="G92" s="6">
        <f>G90*G91</f>
        <v>0</v>
      </c>
      <c r="I92" s="42">
        <f t="shared" si="1"/>
        <v>1</v>
      </c>
      <c r="J92" s="24">
        <v>1</v>
      </c>
      <c r="K92" s="202">
        <v>1</v>
      </c>
    </row>
    <row r="93" spans="1:24">
      <c r="C93" s="73" t="s">
        <v>1798</v>
      </c>
      <c r="D93" s="73"/>
      <c r="E93" s="73"/>
      <c r="G93" s="124">
        <f ca="1">E33</f>
        <v>0</v>
      </c>
      <c r="I93" s="42">
        <f t="shared" si="1"/>
        <v>1</v>
      </c>
      <c r="J93" s="24">
        <v>1</v>
      </c>
      <c r="K93" s="202">
        <v>1</v>
      </c>
    </row>
    <row r="94" spans="1:24">
      <c r="C94" s="73" t="s">
        <v>1799</v>
      </c>
      <c r="D94" s="73"/>
      <c r="E94" s="73"/>
      <c r="G94" s="977">
        <f ca="1">G91*(1+G93)</f>
        <v>0</v>
      </c>
      <c r="I94" s="42">
        <f t="shared" si="1"/>
        <v>1</v>
      </c>
      <c r="J94" s="24">
        <v>1</v>
      </c>
      <c r="K94" s="202">
        <v>1</v>
      </c>
    </row>
    <row r="95" spans="1:24">
      <c r="C95" s="73" t="s">
        <v>1778</v>
      </c>
      <c r="D95" s="73"/>
      <c r="E95" s="73"/>
      <c r="G95" s="6">
        <f ca="1">G92*G93</f>
        <v>0</v>
      </c>
      <c r="I95" s="42">
        <f t="shared" si="1"/>
        <v>1</v>
      </c>
      <c r="J95" s="24">
        <v>1</v>
      </c>
      <c r="K95" s="202">
        <v>1</v>
      </c>
    </row>
    <row r="96" spans="1:24">
      <c r="C96" s="78" t="s">
        <v>1800</v>
      </c>
      <c r="D96" s="78"/>
      <c r="E96" s="78"/>
      <c r="F96" s="78"/>
      <c r="G96" s="211">
        <f ca="1">G92+G95</f>
        <v>0</v>
      </c>
      <c r="I96" s="42">
        <f t="shared" si="1"/>
        <v>1</v>
      </c>
      <c r="J96" s="24">
        <v>1</v>
      </c>
      <c r="K96" s="202">
        <v>1</v>
      </c>
    </row>
    <row r="97" spans="3:11">
      <c r="C97" s="23" t="s">
        <v>1801</v>
      </c>
      <c r="D97" s="23"/>
      <c r="E97" s="23"/>
      <c r="F97" s="23"/>
      <c r="G97" s="22"/>
      <c r="I97" s="42">
        <f t="shared" si="1"/>
        <v>1</v>
      </c>
      <c r="J97" s="24">
        <v>1</v>
      </c>
      <c r="K97" s="202"/>
    </row>
    <row r="98" spans="3:11" ht="13.8" thickBot="1">
      <c r="C98" s="85" t="s">
        <v>1802</v>
      </c>
      <c r="D98" s="85"/>
      <c r="E98" s="85"/>
      <c r="F98" s="229"/>
      <c r="G98" s="229"/>
      <c r="I98" s="42">
        <f t="shared" si="1"/>
        <v>1</v>
      </c>
      <c r="J98" s="24">
        <v>1</v>
      </c>
      <c r="K98" s="202">
        <v>1</v>
      </c>
    </row>
    <row r="99" spans="3:11">
      <c r="C99" s="23" t="str">
        <f>C66</f>
        <v>Debt Retired / Assumed</v>
      </c>
      <c r="D99" s="23"/>
      <c r="E99" s="23"/>
      <c r="F99" s="23"/>
      <c r="G99" s="22">
        <f>'DCF - Capital Structure'!K15+'DCF - Capital Structure'!K70</f>
        <v>620.92600000000004</v>
      </c>
      <c r="I99" s="42">
        <f t="shared" si="1"/>
        <v>1</v>
      </c>
      <c r="J99" s="24">
        <v>1</v>
      </c>
      <c r="K99" s="202"/>
    </row>
    <row r="100" spans="3:11">
      <c r="C100" s="23"/>
      <c r="D100" s="23"/>
      <c r="E100" s="23"/>
      <c r="F100" s="23"/>
      <c r="G100" s="22"/>
      <c r="I100" s="42">
        <f t="shared" si="1"/>
        <v>0</v>
      </c>
      <c r="J100" s="24">
        <v>0</v>
      </c>
      <c r="K100" s="202"/>
    </row>
    <row r="101" spans="3:11">
      <c r="C101" s="23" t="s">
        <v>1803</v>
      </c>
      <c r="D101" s="23"/>
      <c r="E101" s="23"/>
      <c r="F101" s="23"/>
      <c r="G101" s="22"/>
      <c r="I101" s="42">
        <f t="shared" si="1"/>
        <v>1</v>
      </c>
      <c r="J101" s="24">
        <v>1</v>
      </c>
      <c r="K101" s="202"/>
    </row>
    <row r="102" spans="3:11" s="2" customFormat="1">
      <c r="C102" s="23"/>
      <c r="D102" s="23"/>
      <c r="E102" s="23"/>
      <c r="F102" s="231"/>
      <c r="I102" s="42">
        <f t="shared" si="1"/>
        <v>0</v>
      </c>
      <c r="J102" s="24">
        <v>0</v>
      </c>
      <c r="K102" s="202">
        <v>1</v>
      </c>
    </row>
    <row r="103" spans="3:11" ht="13.8" thickBot="1">
      <c r="C103" s="85" t="s">
        <v>1670</v>
      </c>
      <c r="D103" s="229" t="s">
        <v>1804</v>
      </c>
      <c r="E103" s="229" t="s">
        <v>1805</v>
      </c>
      <c r="F103" s="229" t="s">
        <v>1806</v>
      </c>
      <c r="G103" s="229" t="s">
        <v>1772</v>
      </c>
      <c r="I103" s="42">
        <f t="shared" si="1"/>
        <v>1</v>
      </c>
      <c r="J103" s="24">
        <v>1</v>
      </c>
      <c r="K103" s="202">
        <v>1</v>
      </c>
    </row>
    <row r="104" spans="3:11">
      <c r="C104" s="73" t="s">
        <v>1807</v>
      </c>
      <c r="D104" s="13">
        <f ca="1">E28</f>
        <v>0</v>
      </c>
      <c r="E104" s="13">
        <f ca="1">IFERROR(G104/$G$109,0)</f>
        <v>0</v>
      </c>
      <c r="G104" s="18">
        <f ca="1">D104*G108</f>
        <v>0</v>
      </c>
      <c r="I104" s="42">
        <f t="shared" si="1"/>
        <v>1</v>
      </c>
      <c r="J104" s="24">
        <v>1</v>
      </c>
      <c r="K104" s="202">
        <v>1</v>
      </c>
    </row>
    <row r="105" spans="3:11">
      <c r="C105" s="73" t="s">
        <v>1808</v>
      </c>
      <c r="D105" s="13">
        <f ca="1">E29</f>
        <v>0</v>
      </c>
      <c r="E105" s="1137"/>
      <c r="F105" s="1138" t="e">
        <f ca="1">G105/G110</f>
        <v>#DIV/0!</v>
      </c>
      <c r="G105" s="18">
        <f ca="1">D105*G108</f>
        <v>0</v>
      </c>
      <c r="I105" s="42">
        <f t="shared" si="1"/>
        <v>1</v>
      </c>
      <c r="J105" s="24">
        <v>1</v>
      </c>
      <c r="K105" s="202">
        <v>1</v>
      </c>
    </row>
    <row r="106" spans="3:11">
      <c r="C106" s="78" t="s">
        <v>1809</v>
      </c>
      <c r="D106" s="380">
        <f ca="1">SUM(D104:D105)</f>
        <v>0</v>
      </c>
      <c r="G106" s="211">
        <f ca="1">SUM(G104:G105)</f>
        <v>0</v>
      </c>
      <c r="I106" s="42">
        <f t="shared" si="1"/>
        <v>1</v>
      </c>
      <c r="J106" s="24">
        <v>1</v>
      </c>
      <c r="K106" s="202">
        <v>1</v>
      </c>
    </row>
    <row r="107" spans="3:11">
      <c r="C107" s="73" t="s">
        <v>1810</v>
      </c>
      <c r="D107" s="13">
        <f ca="1">1-SUM(D104:D105)</f>
        <v>1</v>
      </c>
      <c r="G107" s="18">
        <f ca="1">SUM(G96,G99)</f>
        <v>620.92600000000004</v>
      </c>
      <c r="I107" s="42">
        <f t="shared" si="1"/>
        <v>1</v>
      </c>
      <c r="J107" s="24">
        <v>1</v>
      </c>
      <c r="K107" s="202"/>
    </row>
    <row r="108" spans="3:11">
      <c r="C108" s="73" t="s">
        <v>1811</v>
      </c>
      <c r="D108" s="13">
        <f ca="1">SUM(D106:D107)</f>
        <v>1</v>
      </c>
      <c r="G108" s="18">
        <f ca="1">G107/D107</f>
        <v>620.92600000000004</v>
      </c>
      <c r="I108" s="42">
        <f t="shared" si="1"/>
        <v>1</v>
      </c>
      <c r="J108" s="24">
        <v>1</v>
      </c>
      <c r="K108" s="202"/>
    </row>
    <row r="109" spans="3:11">
      <c r="C109" s="127" t="s">
        <v>1812</v>
      </c>
      <c r="D109" s="127"/>
      <c r="E109" s="381"/>
      <c r="F109" s="382"/>
      <c r="G109" s="204">
        <f ca="1">F56</f>
        <v>265.28400000000005</v>
      </c>
      <c r="I109" s="42">
        <f t="shared" si="1"/>
        <v>1</v>
      </c>
      <c r="J109" s="24">
        <v>1</v>
      </c>
      <c r="K109" s="202"/>
    </row>
    <row r="110" spans="3:11">
      <c r="C110" s="73" t="s">
        <v>1813</v>
      </c>
      <c r="D110" s="73"/>
      <c r="E110" s="230"/>
      <c r="F110" s="13"/>
      <c r="G110" s="18">
        <f ca="1">F53</f>
        <v>0</v>
      </c>
      <c r="I110" s="42">
        <f t="shared" si="1"/>
        <v>1</v>
      </c>
      <c r="J110" s="24">
        <v>1</v>
      </c>
      <c r="K110" s="202"/>
    </row>
    <row r="111" spans="3:11">
      <c r="C111" s="73"/>
      <c r="D111" s="73"/>
      <c r="E111" s="73"/>
      <c r="F111" s="73"/>
      <c r="G111" s="73"/>
      <c r="I111" s="42">
        <f t="shared" si="1"/>
        <v>0</v>
      </c>
      <c r="J111" s="24">
        <v>0</v>
      </c>
      <c r="K111" s="202">
        <v>1</v>
      </c>
    </row>
    <row r="112" spans="3:11" ht="13.8" thickBot="1">
      <c r="C112" s="85" t="s">
        <v>1814</v>
      </c>
      <c r="D112" s="85"/>
      <c r="E112" s="85"/>
      <c r="F112" s="85"/>
      <c r="G112" s="229"/>
      <c r="I112" s="42">
        <f t="shared" si="1"/>
        <v>1</v>
      </c>
      <c r="J112" s="24">
        <v>1</v>
      </c>
      <c r="K112" s="202">
        <v>1</v>
      </c>
    </row>
    <row r="113" spans="1:11">
      <c r="C113" s="73" t="s">
        <v>1815</v>
      </c>
      <c r="D113" s="73"/>
      <c r="E113" s="73"/>
      <c r="F113" s="73"/>
      <c r="G113" s="228">
        <v>2024</v>
      </c>
      <c r="I113" s="42">
        <f t="shared" si="1"/>
        <v>1</v>
      </c>
      <c r="J113" s="24">
        <v>1</v>
      </c>
      <c r="K113" s="202">
        <v>1</v>
      </c>
    </row>
    <row r="114" spans="1:11">
      <c r="C114" s="73" t="s">
        <v>1816</v>
      </c>
      <c r="D114" s="73"/>
      <c r="E114" s="73"/>
      <c r="F114" s="73"/>
      <c r="G114" s="228">
        <v>2029</v>
      </c>
      <c r="I114" s="42">
        <f t="shared" si="1"/>
        <v>1</v>
      </c>
      <c r="J114" s="24">
        <v>1</v>
      </c>
      <c r="K114" s="202">
        <v>1</v>
      </c>
    </row>
    <row r="115" spans="1:11">
      <c r="C115" s="73" t="s">
        <v>1763</v>
      </c>
      <c r="D115" s="73"/>
      <c r="E115" s="73"/>
      <c r="F115" s="73"/>
      <c r="G115" s="227">
        <f ca="1">E34</f>
        <v>0</v>
      </c>
      <c r="I115" s="42">
        <f t="shared" si="1"/>
        <v>1</v>
      </c>
      <c r="J115" s="24">
        <v>1</v>
      </c>
      <c r="K115" s="202">
        <v>1</v>
      </c>
    </row>
    <row r="116" spans="1:11">
      <c r="C116" s="73" t="s">
        <v>1817</v>
      </c>
      <c r="D116" s="73"/>
      <c r="E116" s="73"/>
      <c r="F116" s="73"/>
      <c r="G116" s="73">
        <f>G114-G113</f>
        <v>5</v>
      </c>
      <c r="I116" s="42">
        <f t="shared" si="1"/>
        <v>1</v>
      </c>
      <c r="J116" s="24">
        <v>1</v>
      </c>
      <c r="K116" s="202">
        <v>1</v>
      </c>
    </row>
    <row r="117" spans="1:11" s="160" customFormat="1">
      <c r="A117" s="41"/>
      <c r="B117" s="41"/>
      <c r="C117" s="226" t="s">
        <v>1768</v>
      </c>
      <c r="D117" s="226"/>
      <c r="E117" s="226"/>
      <c r="F117" s="226"/>
      <c r="G117" s="225">
        <f ca="1">'LBO - Financials'!G39</f>
        <v>0.38387479019818049</v>
      </c>
      <c r="I117" s="42">
        <f t="shared" si="1"/>
        <v>1</v>
      </c>
      <c r="J117" s="24">
        <v>1</v>
      </c>
      <c r="K117" s="202">
        <v>1</v>
      </c>
    </row>
    <row r="118" spans="1:11" ht="14.4">
      <c r="I118"/>
      <c r="J118"/>
    </row>
    <row r="119" spans="1:11" ht="14.4" hidden="1">
      <c r="I119"/>
      <c r="J119"/>
    </row>
    <row r="120" spans="1:11" ht="14.4" hidden="1">
      <c r="I120"/>
      <c r="J120"/>
    </row>
    <row r="121" spans="1:11" ht="14.4" hidden="1">
      <c r="I121"/>
      <c r="J121"/>
    </row>
    <row r="122" spans="1:11" ht="14.4" hidden="1">
      <c r="I122"/>
      <c r="J122"/>
    </row>
    <row r="123" spans="1:11" ht="14.4" hidden="1">
      <c r="I123"/>
      <c r="J123"/>
    </row>
    <row r="124" spans="1:11" ht="14.4" hidden="1">
      <c r="I124"/>
      <c r="J124"/>
    </row>
    <row r="125" spans="1:11" ht="14.4" hidden="1">
      <c r="I125"/>
      <c r="J125"/>
    </row>
    <row r="126" spans="1:11" ht="14.4" hidden="1">
      <c r="I126"/>
      <c r="J126"/>
    </row>
    <row r="127" spans="1:11" ht="14.4" hidden="1">
      <c r="I127"/>
      <c r="J127"/>
    </row>
    <row r="128" spans="1:11" ht="14.4" hidden="1">
      <c r="I128"/>
      <c r="J128"/>
    </row>
    <row r="129" spans="9:10" ht="14.4" hidden="1">
      <c r="I129"/>
      <c r="J129"/>
    </row>
    <row r="130" spans="9:10" ht="14.4" hidden="1">
      <c r="I130"/>
      <c r="J130"/>
    </row>
    <row r="131" spans="9:10" ht="14.4" hidden="1">
      <c r="I131"/>
      <c r="J131"/>
    </row>
    <row r="132" spans="9:10" ht="14.4" hidden="1">
      <c r="I132"/>
      <c r="J132"/>
    </row>
    <row r="133" spans="9:10" ht="14.4" hidden="1">
      <c r="I133"/>
      <c r="J133"/>
    </row>
    <row r="134" spans="9:10" ht="14.4" hidden="1">
      <c r="I134"/>
      <c r="J134"/>
    </row>
    <row r="135" spans="9:10" ht="14.4" hidden="1">
      <c r="I135"/>
      <c r="J135"/>
    </row>
    <row r="136" spans="9:10" ht="14.4" hidden="1">
      <c r="I136"/>
      <c r="J136"/>
    </row>
    <row r="137" spans="9:10" ht="14.4" hidden="1">
      <c r="I137"/>
      <c r="J137"/>
    </row>
    <row r="138" spans="9:10" ht="14.4" hidden="1">
      <c r="I138"/>
      <c r="J138"/>
    </row>
    <row r="139" spans="9:10" ht="14.4" hidden="1">
      <c r="I139"/>
      <c r="J139"/>
    </row>
    <row r="140" spans="9:10" ht="14.4" hidden="1">
      <c r="I140"/>
      <c r="J140"/>
    </row>
    <row r="141" spans="9:10" ht="14.4" hidden="1">
      <c r="I141"/>
      <c r="J141"/>
    </row>
    <row r="142" spans="9:10" ht="14.4" hidden="1">
      <c r="I142"/>
      <c r="J142"/>
    </row>
    <row r="143" spans="9:10" ht="14.4" hidden="1">
      <c r="I143"/>
      <c r="J143"/>
    </row>
    <row r="144" spans="9:10" ht="14.4" hidden="1">
      <c r="I144"/>
      <c r="J144"/>
    </row>
    <row r="145" spans="9:10" ht="14.4" hidden="1">
      <c r="I145"/>
      <c r="J145"/>
    </row>
    <row r="146" spans="9:10" ht="14.4" hidden="1">
      <c r="I146"/>
      <c r="J146"/>
    </row>
    <row r="147" spans="9:10" ht="14.4" hidden="1">
      <c r="I147"/>
      <c r="J147"/>
    </row>
    <row r="148" spans="9:10" ht="14.4" hidden="1">
      <c r="I148"/>
      <c r="J148"/>
    </row>
    <row r="149" spans="9:10" ht="14.4" hidden="1">
      <c r="I149"/>
      <c r="J149"/>
    </row>
    <row r="150" spans="9:10" ht="14.4" hidden="1">
      <c r="I150"/>
      <c r="J150"/>
    </row>
    <row r="151" spans="9:10" ht="14.4" hidden="1">
      <c r="I151"/>
      <c r="J151"/>
    </row>
    <row r="152" spans="9:10" ht="14.4" hidden="1">
      <c r="I152"/>
      <c r="J152"/>
    </row>
    <row r="153" spans="9:10" ht="14.4" hidden="1">
      <c r="I153"/>
      <c r="J153"/>
    </row>
    <row r="154" spans="9:10" ht="14.4" hidden="1">
      <c r="I154"/>
      <c r="J154"/>
    </row>
    <row r="155" spans="9:10" ht="14.4" hidden="1">
      <c r="I155"/>
      <c r="J155"/>
    </row>
    <row r="156" spans="9:10" ht="14.4" hidden="1">
      <c r="I156"/>
      <c r="J156"/>
    </row>
    <row r="157" spans="9:10" ht="14.4" hidden="1">
      <c r="I157"/>
      <c r="J157"/>
    </row>
    <row r="158" spans="9:10" ht="14.4" hidden="1">
      <c r="I158"/>
      <c r="J158"/>
    </row>
    <row r="159" spans="9:10" ht="14.4" hidden="1">
      <c r="I159"/>
      <c r="J159"/>
    </row>
    <row r="160" spans="9:10" ht="14.4" hidden="1">
      <c r="I160"/>
      <c r="J160"/>
    </row>
    <row r="161" spans="9:10" ht="14.4" hidden="1">
      <c r="I161"/>
      <c r="J161"/>
    </row>
    <row r="162" spans="9:10" ht="14.4" hidden="1">
      <c r="I162"/>
      <c r="J162"/>
    </row>
    <row r="163" spans="9:10" ht="14.4" hidden="1">
      <c r="I163"/>
      <c r="J163"/>
    </row>
    <row r="164" spans="9:10" ht="14.4" hidden="1">
      <c r="I164"/>
      <c r="J164"/>
    </row>
    <row r="165" spans="9:10" ht="14.4" hidden="1">
      <c r="I165"/>
      <c r="J165"/>
    </row>
    <row r="166" spans="9:10" ht="14.4" hidden="1">
      <c r="I166"/>
      <c r="J166"/>
    </row>
  </sheetData>
  <conditionalFormatting sqref="I1:J1">
    <cfRule type="cellIs" dxfId="11" priority="1" operator="equal">
      <formula>"Check"</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8">
    <tabColor theme="3" tint="-0.499984740745262"/>
  </sheetPr>
  <dimension ref="A1:CT362"/>
  <sheetViews>
    <sheetView showGridLines="0" workbookViewId="0">
      <pane ySplit="4" topLeftCell="A5" activePane="bottomLeft" state="frozen"/>
      <selection activeCell="O40" sqref="O40"/>
      <selection pane="bottomLeft" activeCell="O40" sqref="O40"/>
    </sheetView>
  </sheetViews>
  <sheetFormatPr defaultColWidth="0" defaultRowHeight="13.2" zeroHeight="1"/>
  <cols>
    <col min="1" max="1" width="4.33203125" style="162" customWidth="1"/>
    <col min="2" max="2" width="1" style="162" customWidth="1"/>
    <col min="3" max="3" width="32.44140625" style="162" customWidth="1"/>
    <col min="4" max="4" width="8.44140625" style="268" customWidth="1"/>
    <col min="5" max="5" width="8.44140625" style="162" customWidth="1"/>
    <col min="6" max="6" width="13.44140625" style="162" customWidth="1"/>
    <col min="7" max="13" width="8" style="162" customWidth="1"/>
    <col min="14" max="14" width="5.44140625" style="162" customWidth="1"/>
    <col min="15" max="15" width="3.6640625" style="162" customWidth="1"/>
    <col min="16" max="16" width="4.44140625" style="162" customWidth="1"/>
    <col min="17" max="17" width="3.33203125" style="162" customWidth="1"/>
    <col min="18" max="22" width="8.44140625" style="162" hidden="1" customWidth="1"/>
    <col min="23" max="23" width="11.44140625" style="162" hidden="1" customWidth="1"/>
    <col min="24" max="98" width="0" style="162" hidden="1" customWidth="1"/>
    <col min="99" max="16384" width="8.44140625" style="162" hidden="1"/>
  </cols>
  <sheetData>
    <row r="1" spans="1:98" s="26" customFormat="1">
      <c r="A1" s="36"/>
      <c r="B1" s="36"/>
      <c r="C1" s="36" t="str">
        <f>'DCF - Assumptions (old)'!$F$8&amp;" | LBO Model - Financial Model"</f>
        <v>Bumble INC | LBO Model - Financial Model</v>
      </c>
      <c r="D1" s="1139"/>
      <c r="E1" s="1136"/>
      <c r="F1" s="1136"/>
      <c r="G1" s="1136"/>
      <c r="H1" s="1136"/>
      <c r="I1" s="1136"/>
      <c r="J1" s="1136"/>
      <c r="K1" s="1136"/>
      <c r="L1" s="1136"/>
      <c r="M1" s="1136"/>
      <c r="N1" s="1136"/>
      <c r="O1" s="34" t="str">
        <f>IF(O5=P5,"OK","Check")</f>
        <v>OK</v>
      </c>
      <c r="P1" s="34" t="str">
        <f>IF(O6=P6,"OK","Check")</f>
        <v>OK</v>
      </c>
      <c r="Q1" s="1136"/>
    </row>
    <row r="2" spans="1:98" s="3" customFormat="1" ht="2.25" customHeight="1">
      <c r="A2" s="115"/>
      <c r="B2" s="115"/>
      <c r="D2" s="81"/>
      <c r="O2" s="30"/>
      <c r="P2" s="30"/>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row>
    <row r="3" spans="1:98" s="28" customFormat="1" ht="3" customHeight="1">
      <c r="A3" s="29"/>
      <c r="B3" s="29"/>
      <c r="D3" s="313"/>
      <c r="O3" s="26"/>
      <c r="P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row>
    <row r="4" spans="1:98" s="3" customFormat="1" ht="11.25" customHeight="1">
      <c r="A4" s="115"/>
      <c r="B4" s="115"/>
      <c r="D4" s="81"/>
      <c r="Q4" s="16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row>
    <row r="5" spans="1:98" s="3" customFormat="1" ht="11.25" customHeight="1">
      <c r="A5" s="115"/>
      <c r="B5" s="115"/>
      <c r="D5" s="81"/>
      <c r="O5" s="42">
        <f>ROWS(C6:C167)</f>
        <v>162</v>
      </c>
      <c r="P5" s="24">
        <v>162</v>
      </c>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row>
    <row r="6" spans="1:98" s="73" customFormat="1" ht="12.75" customHeight="1">
      <c r="C6" s="807" t="s">
        <v>1818</v>
      </c>
      <c r="D6" s="808"/>
      <c r="E6" s="808"/>
      <c r="F6" s="808"/>
      <c r="G6" s="808"/>
      <c r="H6" s="808"/>
      <c r="I6" s="808"/>
      <c r="J6" s="808"/>
      <c r="K6" s="808"/>
      <c r="L6" s="808"/>
      <c r="M6" s="808"/>
      <c r="O6" s="42">
        <f>SUM(O7:O167)</f>
        <v>121</v>
      </c>
      <c r="P6" s="24">
        <v>121</v>
      </c>
    </row>
    <row r="7" spans="1:98" s="3" customFormat="1" ht="11.25" customHeight="1">
      <c r="A7" s="115"/>
      <c r="B7" s="115"/>
      <c r="C7" s="296"/>
      <c r="D7" s="81"/>
      <c r="G7" s="38"/>
      <c r="H7" s="1089" t="s">
        <v>1676</v>
      </c>
      <c r="I7" s="1089"/>
      <c r="J7" s="1089"/>
      <c r="K7" s="1089"/>
      <c r="L7" s="1089"/>
      <c r="M7" s="1089"/>
      <c r="O7" s="42">
        <f>IF(NOT(ISBLANK(C7)), 1, 0)</f>
        <v>0</v>
      </c>
      <c r="P7" s="24">
        <v>0</v>
      </c>
      <c r="Q7" s="223"/>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row>
    <row r="8" spans="1:98" ht="13.8" thickBot="1">
      <c r="A8" s="3"/>
      <c r="B8" s="3"/>
      <c r="C8" s="207" t="s">
        <v>1819</v>
      </c>
      <c r="D8" s="277"/>
      <c r="E8" s="207"/>
      <c r="F8" s="207"/>
      <c r="G8" s="85">
        <f>G94</f>
        <v>2023</v>
      </c>
      <c r="H8" s="207">
        <f>H94</f>
        <v>2024</v>
      </c>
      <c r="I8" s="207">
        <f>I94</f>
        <v>2025</v>
      </c>
      <c r="J8" s="207">
        <f>J94</f>
        <v>2026</v>
      </c>
      <c r="K8" s="207">
        <f>K94</f>
        <v>2027</v>
      </c>
      <c r="L8" s="207">
        <f t="shared" ref="L8:M8" si="0">L94</f>
        <v>2028</v>
      </c>
      <c r="M8" s="207">
        <f t="shared" si="0"/>
        <v>2029</v>
      </c>
      <c r="O8" s="42">
        <f t="shared" ref="O8:O71" si="1">IF(NOT(ISBLANK(C8)), 1, 0)</f>
        <v>1</v>
      </c>
      <c r="P8" s="24">
        <v>1</v>
      </c>
    </row>
    <row r="9" spans="1:98">
      <c r="A9" s="3"/>
      <c r="B9" s="3"/>
      <c r="C9" s="386" t="str">
        <f>C71</f>
        <v>Standalone Revenues</v>
      </c>
      <c r="D9" s="383"/>
      <c r="E9" s="296"/>
      <c r="F9" s="296"/>
      <c r="G9" s="296"/>
      <c r="H9" s="134">
        <f t="shared" ref="H9:M9" si="2">H71</f>
        <v>1278.226743738649</v>
      </c>
      <c r="I9" s="134">
        <f t="shared" si="2"/>
        <v>1562.1187544339082</v>
      </c>
      <c r="J9" s="134">
        <f t="shared" si="2"/>
        <v>1917.7398223858147</v>
      </c>
      <c r="K9" s="134">
        <f t="shared" si="2"/>
        <v>2383.9369385812006</v>
      </c>
      <c r="L9" s="134">
        <f t="shared" si="2"/>
        <v>2980.545632368242</v>
      </c>
      <c r="M9" s="134">
        <f t="shared" si="2"/>
        <v>3750.6959718718617</v>
      </c>
      <c r="O9" s="42">
        <f t="shared" si="1"/>
        <v>1</v>
      </c>
      <c r="P9" s="24">
        <v>1</v>
      </c>
    </row>
    <row r="10" spans="1:98">
      <c r="A10" s="3"/>
      <c r="B10" s="3"/>
      <c r="C10" s="386" t="str">
        <f>C72</f>
        <v>Incremental Revenue Synergies</v>
      </c>
      <c r="D10" s="383"/>
      <c r="E10" s="296"/>
      <c r="F10" s="296"/>
      <c r="G10" s="296"/>
      <c r="H10" s="134">
        <f t="shared" ref="H10:M10" ca="1" si="3">H72</f>
        <v>0</v>
      </c>
      <c r="I10" s="134">
        <f t="shared" ca="1" si="3"/>
        <v>0</v>
      </c>
      <c r="J10" s="134">
        <f t="shared" ca="1" si="3"/>
        <v>0</v>
      </c>
      <c r="K10" s="134">
        <f t="shared" ca="1" si="3"/>
        <v>0</v>
      </c>
      <c r="L10" s="134">
        <f t="shared" ca="1" si="3"/>
        <v>0</v>
      </c>
      <c r="M10" s="134">
        <f t="shared" ca="1" si="3"/>
        <v>0</v>
      </c>
      <c r="O10" s="42">
        <f t="shared" si="1"/>
        <v>1</v>
      </c>
      <c r="P10" s="24">
        <v>1</v>
      </c>
    </row>
    <row r="11" spans="1:98">
      <c r="A11" s="3"/>
      <c r="B11" s="3"/>
      <c r="C11" s="388" t="str">
        <f>C73</f>
        <v>Proforma Revenue Forecast</v>
      </c>
      <c r="D11" s="387"/>
      <c r="E11" s="388"/>
      <c r="F11" s="388"/>
      <c r="G11" s="388"/>
      <c r="H11" s="149">
        <f t="shared" ref="H11:M11" ca="1" si="4">H73</f>
        <v>1278.226743738649</v>
      </c>
      <c r="I11" s="149">
        <f t="shared" ca="1" si="4"/>
        <v>1562.1187544339082</v>
      </c>
      <c r="J11" s="149">
        <f t="shared" ca="1" si="4"/>
        <v>1917.7398223858147</v>
      </c>
      <c r="K11" s="149">
        <f t="shared" ca="1" si="4"/>
        <v>2383.9369385812006</v>
      </c>
      <c r="L11" s="149">
        <f t="shared" ca="1" si="4"/>
        <v>2980.545632368242</v>
      </c>
      <c r="M11" s="149">
        <f t="shared" ca="1" si="4"/>
        <v>3750.6959718718617</v>
      </c>
      <c r="O11" s="42">
        <f t="shared" si="1"/>
        <v>1</v>
      </c>
      <c r="P11" s="24">
        <v>1</v>
      </c>
    </row>
    <row r="12" spans="1:98" ht="5.25" customHeight="1">
      <c r="A12" s="3"/>
      <c r="B12" s="3"/>
      <c r="C12" s="386"/>
      <c r="D12" s="383"/>
      <c r="E12" s="296"/>
      <c r="F12" s="296"/>
      <c r="G12" s="296"/>
      <c r="H12" s="296"/>
      <c r="I12" s="296"/>
      <c r="J12" s="296"/>
      <c r="K12" s="296"/>
      <c r="L12" s="296"/>
      <c r="M12" s="296"/>
      <c r="O12" s="42">
        <f t="shared" si="1"/>
        <v>0</v>
      </c>
      <c r="P12" s="24">
        <v>0</v>
      </c>
    </row>
    <row r="13" spans="1:98" s="73" customFormat="1" ht="11.25" customHeight="1">
      <c r="C13" s="73" t="str">
        <f>C85</f>
        <v>Standalone EBITDA</v>
      </c>
      <c r="D13" s="135"/>
      <c r="F13" s="134"/>
      <c r="G13" s="134"/>
      <c r="H13" s="134">
        <f t="shared" ref="H13:M13" si="5">H85</f>
        <v>104.35564190156782</v>
      </c>
      <c r="I13" s="134">
        <f t="shared" si="5"/>
        <v>62.177476730226687</v>
      </c>
      <c r="J13" s="134">
        <f t="shared" si="5"/>
        <v>96.95328784773379</v>
      </c>
      <c r="K13" s="134">
        <f t="shared" si="5"/>
        <v>164.34007790514497</v>
      </c>
      <c r="L13" s="134">
        <f t="shared" si="5"/>
        <v>244.68758901803909</v>
      </c>
      <c r="M13" s="134">
        <f t="shared" si="5"/>
        <v>256.00403665939569</v>
      </c>
      <c r="O13" s="42">
        <f t="shared" si="1"/>
        <v>1</v>
      </c>
      <c r="P13" s="24">
        <v>1</v>
      </c>
    </row>
    <row r="14" spans="1:98" s="73" customFormat="1" ht="11.25" customHeight="1">
      <c r="C14" s="73" t="str">
        <f>C86</f>
        <v>Revenue Synergies EBITDA Contribution</v>
      </c>
      <c r="D14" s="135"/>
      <c r="F14" s="134"/>
      <c r="G14" s="134"/>
      <c r="H14" s="134">
        <f t="shared" ref="H14:M14" ca="1" si="6">H86</f>
        <v>0</v>
      </c>
      <c r="I14" s="134">
        <f t="shared" ca="1" si="6"/>
        <v>0</v>
      </c>
      <c r="J14" s="134">
        <f t="shared" ca="1" si="6"/>
        <v>0</v>
      </c>
      <c r="K14" s="134">
        <f t="shared" ca="1" si="6"/>
        <v>0</v>
      </c>
      <c r="L14" s="134">
        <f t="shared" ca="1" si="6"/>
        <v>0</v>
      </c>
      <c r="M14" s="134">
        <f t="shared" ca="1" si="6"/>
        <v>0</v>
      </c>
      <c r="O14" s="42">
        <f t="shared" si="1"/>
        <v>1</v>
      </c>
      <c r="P14" s="24">
        <v>1</v>
      </c>
    </row>
    <row r="15" spans="1:98" s="73" customFormat="1" ht="11.25" customHeight="1">
      <c r="C15" s="73" t="str">
        <f t="shared" ref="C15:M15" si="7">C87</f>
        <v>Margin Improvement EBITDA Contribution</v>
      </c>
      <c r="D15" s="135"/>
      <c r="F15" s="134"/>
      <c r="G15" s="134"/>
      <c r="H15" s="134">
        <f t="shared" ca="1" si="7"/>
        <v>0</v>
      </c>
      <c r="I15" s="134">
        <f t="shared" ca="1" si="7"/>
        <v>0</v>
      </c>
      <c r="J15" s="134">
        <f t="shared" ca="1" si="7"/>
        <v>0</v>
      </c>
      <c r="K15" s="134">
        <f t="shared" ca="1" si="7"/>
        <v>0</v>
      </c>
      <c r="L15" s="134">
        <f t="shared" ca="1" si="7"/>
        <v>0</v>
      </c>
      <c r="M15" s="134">
        <f t="shared" ca="1" si="7"/>
        <v>0</v>
      </c>
      <c r="O15" s="42">
        <f t="shared" si="1"/>
        <v>1</v>
      </c>
      <c r="P15" s="24">
        <v>1</v>
      </c>
    </row>
    <row r="16" spans="1:98" s="73" customFormat="1" ht="11.25" customHeight="1">
      <c r="C16" s="78" t="s">
        <v>1702</v>
      </c>
      <c r="D16" s="305"/>
      <c r="E16" s="212"/>
      <c r="F16" s="149"/>
      <c r="G16" s="149"/>
      <c r="H16" s="149">
        <f t="shared" ref="H16:M16" ca="1" si="8">SUM(H13:H15)</f>
        <v>104.35564190156782</v>
      </c>
      <c r="I16" s="149">
        <f t="shared" ca="1" si="8"/>
        <v>62.177476730226687</v>
      </c>
      <c r="J16" s="149">
        <f t="shared" ca="1" si="8"/>
        <v>96.95328784773379</v>
      </c>
      <c r="K16" s="149">
        <f t="shared" ca="1" si="8"/>
        <v>164.34007790514497</v>
      </c>
      <c r="L16" s="149">
        <f t="shared" ca="1" si="8"/>
        <v>244.68758901803909</v>
      </c>
      <c r="M16" s="149">
        <f t="shared" ca="1" si="8"/>
        <v>256.00403665939569</v>
      </c>
      <c r="O16" s="42">
        <f t="shared" si="1"/>
        <v>1</v>
      </c>
      <c r="P16" s="24">
        <v>1</v>
      </c>
    </row>
    <row r="17" spans="1:16" s="73" customFormat="1" ht="11.25" customHeight="1">
      <c r="C17" s="3" t="s">
        <v>1820</v>
      </c>
      <c r="D17" s="135"/>
      <c r="F17" s="134"/>
      <c r="G17" s="134"/>
      <c r="H17" s="134">
        <f ca="1">'DCF - Financials'!K33+'DCF - Assumptions (old)'!K179+'LBO - Financials'!H138*'DCF - Assumptions (old)'!K179-(H86+H87)*'DCF - Assumptions (old)'!K179</f>
        <v>-5.8176801207091211</v>
      </c>
      <c r="I17" s="134">
        <f ca="1">'DCF - Financials'!L33+'DCF - Assumptions (old)'!L179+'LBO - Financials'!I138*'DCF - Assumptions (old)'!L179-(I86+I87)*'DCF - Assumptions (old)'!L179</f>
        <v>39.998578260979578</v>
      </c>
      <c r="J17" s="134">
        <f ca="1">'DCF - Financials'!M33+'DCF - Assumptions (old)'!M179+'LBO - Financials'!J138*'DCF - Assumptions (old)'!M179-(J86+J87)*'DCF - Assumptions (old)'!M179</f>
        <v>56.913006823518877</v>
      </c>
      <c r="K17" s="134">
        <f ca="1">'DCF - Financials'!N33+'DCF - Assumptions (old)'!N179+'LBO - Financials'!K138*'DCF - Assumptions (old)'!N179-(K86+K87)*'DCF - Assumptions (old)'!N179</f>
        <v>68.202838371435988</v>
      </c>
      <c r="L17" s="134">
        <f ca="1">'DCF - Financials'!O33+'DCF - Assumptions (old)'!O179+'LBO - Financials'!L138*'DCF - Assumptions (old)'!O179-(L86+L87)*'DCF - Assumptions (old)'!O179</f>
        <v>68.463282371269841</v>
      </c>
      <c r="M17" s="134">
        <f ca="1">'DCF - Financials'!P33+'DCF - Assumptions (old)'!P179+'LBO - Financials'!M138*'DCF - Assumptions (old)'!P179-(M86+M87)*'DCF - Assumptions (old)'!P179</f>
        <v>79.936164229988108</v>
      </c>
      <c r="O17" s="42">
        <f t="shared" si="1"/>
        <v>1</v>
      </c>
      <c r="P17" s="24">
        <v>1</v>
      </c>
    </row>
    <row r="18" spans="1:16" s="73" customFormat="1" ht="11.25" customHeight="1">
      <c r="A18" s="3"/>
      <c r="C18" s="3" t="s">
        <v>1821</v>
      </c>
      <c r="D18" s="135"/>
      <c r="F18" s="134"/>
      <c r="G18" s="134"/>
      <c r="H18" s="134">
        <f>'DCF - Outputs'!M35</f>
        <v>-63.90270997617155</v>
      </c>
      <c r="I18" s="134">
        <f>'DCF - Outputs'!N35</f>
        <v>-62.248755254759317</v>
      </c>
      <c r="J18" s="134">
        <f>'DCF - Outputs'!O35</f>
        <v>-78.35484834373824</v>
      </c>
      <c r="K18" s="134">
        <f>'DCF - Outputs'!P35</f>
        <v>-94.601179856317813</v>
      </c>
      <c r="L18" s="134">
        <f>'DCF - Outputs'!Q35</f>
        <v>-125.00295338450766</v>
      </c>
      <c r="M18" s="134">
        <f>'DCF - Outputs'!R35</f>
        <v>-153.44227917202954</v>
      </c>
      <c r="O18" s="42">
        <f t="shared" si="1"/>
        <v>1</v>
      </c>
      <c r="P18" s="24">
        <v>1</v>
      </c>
    </row>
    <row r="19" spans="1:16" s="73" customFormat="1" ht="11.25" customHeight="1">
      <c r="C19" s="3" t="s">
        <v>974</v>
      </c>
      <c r="D19" s="135"/>
      <c r="F19" s="134"/>
      <c r="G19" s="134"/>
      <c r="H19" s="134">
        <f>'DCF - Outputs'!L34</f>
        <v>12.142000000000003</v>
      </c>
      <c r="I19" s="134">
        <f>'DCF - Outputs'!M34</f>
        <v>39.85654925390898</v>
      </c>
      <c r="J19" s="134">
        <f>'DCF - Outputs'!N34</f>
        <v>75.061338922483571</v>
      </c>
      <c r="K19" s="134">
        <f>'DCF - Outputs'!O34</f>
        <v>25.40644058204715</v>
      </c>
      <c r="L19" s="134">
        <f>'DCF - Outputs'!P34</f>
        <v>71.676456754127557</v>
      </c>
      <c r="M19" s="134">
        <f>'DCF - Outputs'!Q34</f>
        <v>79.348602157975606</v>
      </c>
      <c r="O19" s="42">
        <f t="shared" si="1"/>
        <v>1</v>
      </c>
      <c r="P19" s="24">
        <v>1</v>
      </c>
    </row>
    <row r="20" spans="1:16" s="73" customFormat="1" ht="11.25" customHeight="1">
      <c r="C20" s="212" t="s">
        <v>1822</v>
      </c>
      <c r="D20" s="305"/>
      <c r="E20" s="212"/>
      <c r="F20" s="212"/>
      <c r="G20" s="149"/>
      <c r="H20" s="149">
        <f t="shared" ref="H20:M20" ca="1" si="9">SUM(H16:H19)</f>
        <v>46.777251804687147</v>
      </c>
      <c r="I20" s="149">
        <f t="shared" ca="1" si="9"/>
        <v>79.783848990355921</v>
      </c>
      <c r="J20" s="149">
        <f t="shared" ca="1" si="9"/>
        <v>150.57278524999799</v>
      </c>
      <c r="K20" s="149">
        <f t="shared" ca="1" si="9"/>
        <v>163.34817700231031</v>
      </c>
      <c r="L20" s="149">
        <f t="shared" ca="1" si="9"/>
        <v>259.8243747589288</v>
      </c>
      <c r="M20" s="149">
        <f t="shared" ca="1" si="9"/>
        <v>261.84652387532986</v>
      </c>
      <c r="O20" s="42">
        <f t="shared" si="1"/>
        <v>1</v>
      </c>
      <c r="P20" s="24">
        <v>1</v>
      </c>
    </row>
    <row r="21" spans="1:16" s="73" customFormat="1" ht="11.25" customHeight="1">
      <c r="C21" s="222" t="s">
        <v>683</v>
      </c>
      <c r="D21" s="308"/>
      <c r="E21" s="222"/>
      <c r="F21" s="222"/>
      <c r="G21" s="307"/>
      <c r="H21" s="307">
        <f ca="1">-H138</f>
        <v>0</v>
      </c>
      <c r="I21" s="307">
        <f ca="1">-I138</f>
        <v>0</v>
      </c>
      <c r="J21" s="307">
        <f ca="1">-J138</f>
        <v>0</v>
      </c>
      <c r="K21" s="307">
        <f ca="1">-K138</f>
        <v>0</v>
      </c>
      <c r="L21" s="307">
        <f t="shared" ref="L21:M21" ca="1" si="10">-L138</f>
        <v>0</v>
      </c>
      <c r="M21" s="307">
        <f t="shared" ca="1" si="10"/>
        <v>0</v>
      </c>
      <c r="O21" s="42">
        <f t="shared" si="1"/>
        <v>1</v>
      </c>
      <c r="P21" s="24">
        <v>1</v>
      </c>
    </row>
    <row r="22" spans="1:16" s="245" customFormat="1" ht="11.25" customHeight="1">
      <c r="C22" s="255" t="s">
        <v>1406</v>
      </c>
      <c r="D22" s="306"/>
      <c r="G22" s="300"/>
      <c r="H22" s="300">
        <v>0</v>
      </c>
      <c r="I22" s="300">
        <v>0</v>
      </c>
      <c r="J22" s="300">
        <v>0</v>
      </c>
      <c r="K22" s="300">
        <v>0</v>
      </c>
      <c r="L22" s="300">
        <v>0</v>
      </c>
      <c r="M22" s="300">
        <v>0</v>
      </c>
      <c r="N22" s="73"/>
      <c r="O22" s="42">
        <f t="shared" si="1"/>
        <v>1</v>
      </c>
      <c r="P22" s="24">
        <v>1</v>
      </c>
    </row>
    <row r="23" spans="1:16" s="73" customFormat="1" ht="11.25" customHeight="1">
      <c r="C23" s="212" t="s">
        <v>1823</v>
      </c>
      <c r="D23" s="305"/>
      <c r="E23" s="212"/>
      <c r="F23" s="212"/>
      <c r="G23" s="149"/>
      <c r="H23" s="149">
        <f t="shared" ref="H23:M23" ca="1" si="11">SUM(H20:H22)</f>
        <v>46.777251804687147</v>
      </c>
      <c r="I23" s="149">
        <f t="shared" ca="1" si="11"/>
        <v>79.783848990355921</v>
      </c>
      <c r="J23" s="149">
        <f t="shared" ca="1" si="11"/>
        <v>150.57278524999799</v>
      </c>
      <c r="K23" s="149">
        <f t="shared" ca="1" si="11"/>
        <v>163.34817700231031</v>
      </c>
      <c r="L23" s="149">
        <f t="shared" ca="1" si="11"/>
        <v>259.8243747589288</v>
      </c>
      <c r="M23" s="149">
        <f t="shared" ca="1" si="11"/>
        <v>261.84652387532986</v>
      </c>
      <c r="O23" s="42">
        <f t="shared" si="1"/>
        <v>1</v>
      </c>
      <c r="P23" s="24">
        <v>1</v>
      </c>
    </row>
    <row r="24" spans="1:16" s="73" customFormat="1" ht="11.25" customHeight="1">
      <c r="C24" s="255" t="s">
        <v>1824</v>
      </c>
      <c r="D24" s="304"/>
      <c r="E24" s="161"/>
      <c r="F24" s="161"/>
      <c r="G24" s="159"/>
      <c r="H24" s="159">
        <f t="shared" ref="H24:M24" ca="1" si="12">(H153+H150+H147+H157)</f>
        <v>0</v>
      </c>
      <c r="I24" s="159">
        <f t="shared" ca="1" si="12"/>
        <v>0</v>
      </c>
      <c r="J24" s="159">
        <f t="shared" ca="1" si="12"/>
        <v>0</v>
      </c>
      <c r="K24" s="159">
        <f t="shared" ca="1" si="12"/>
        <v>0</v>
      </c>
      <c r="L24" s="159">
        <f t="shared" ca="1" si="12"/>
        <v>0</v>
      </c>
      <c r="M24" s="159">
        <f t="shared" ca="1" si="12"/>
        <v>0</v>
      </c>
      <c r="O24" s="42">
        <f t="shared" si="1"/>
        <v>1</v>
      </c>
      <c r="P24" s="24">
        <v>1</v>
      </c>
    </row>
    <row r="25" spans="1:16" s="73" customFormat="1" ht="11.25" customHeight="1">
      <c r="C25" s="255" t="s">
        <v>1825</v>
      </c>
      <c r="D25" s="304"/>
      <c r="E25" s="161"/>
      <c r="F25" s="161"/>
      <c r="G25" s="159"/>
      <c r="H25" s="159">
        <f ca="1">SUM(H23:H24)</f>
        <v>46.777251804687147</v>
      </c>
      <c r="I25" s="159">
        <f t="shared" ref="I25:M25" ca="1" si="13">SUM(I23:I24)</f>
        <v>79.783848990355921</v>
      </c>
      <c r="J25" s="159">
        <f t="shared" ca="1" si="13"/>
        <v>150.57278524999799</v>
      </c>
      <c r="K25" s="159">
        <f t="shared" ca="1" si="13"/>
        <v>163.34817700231031</v>
      </c>
      <c r="L25" s="159">
        <f t="shared" ca="1" si="13"/>
        <v>259.8243747589288</v>
      </c>
      <c r="M25" s="159">
        <f t="shared" ca="1" si="13"/>
        <v>261.84652387532986</v>
      </c>
      <c r="O25" s="42">
        <f t="shared" si="1"/>
        <v>1</v>
      </c>
      <c r="P25" s="24">
        <v>1</v>
      </c>
    </row>
    <row r="26" spans="1:16" s="73" customFormat="1" ht="11.25" customHeight="1">
      <c r="C26" s="255"/>
      <c r="D26" s="304"/>
      <c r="E26" s="161"/>
      <c r="F26" s="161"/>
      <c r="G26" s="159"/>
      <c r="H26" s="159"/>
      <c r="I26" s="159"/>
      <c r="J26" s="159"/>
      <c r="K26" s="159"/>
      <c r="L26" s="159"/>
      <c r="M26" s="159"/>
      <c r="O26" s="42">
        <f t="shared" si="1"/>
        <v>0</v>
      </c>
      <c r="P26" s="24">
        <v>0</v>
      </c>
    </row>
    <row r="27" spans="1:16" s="73" customFormat="1" ht="11.25" customHeight="1">
      <c r="C27" s="73" t="s">
        <v>1826</v>
      </c>
      <c r="D27" s="135"/>
      <c r="F27" s="134"/>
      <c r="G27" s="134"/>
      <c r="H27" s="134">
        <f t="shared" ref="H27:M27" si="14">G28</f>
        <v>0</v>
      </c>
      <c r="I27" s="134">
        <f t="shared" ca="1" si="14"/>
        <v>93.554503609374294</v>
      </c>
      <c r="J27" s="134">
        <f t="shared" ca="1" si="14"/>
        <v>253.12220159008615</v>
      </c>
      <c r="K27" s="134">
        <f t="shared" ca="1" si="14"/>
        <v>554.26777209008219</v>
      </c>
      <c r="L27" s="134">
        <f t="shared" ca="1" si="14"/>
        <v>880.96412609470281</v>
      </c>
      <c r="M27" s="134">
        <f t="shared" ca="1" si="14"/>
        <v>1400.6128756125604</v>
      </c>
      <c r="O27" s="42">
        <f t="shared" si="1"/>
        <v>1</v>
      </c>
      <c r="P27" s="24">
        <v>1</v>
      </c>
    </row>
    <row r="28" spans="1:16" s="73" customFormat="1" ht="11.25" customHeight="1">
      <c r="C28" s="274" t="s">
        <v>1827</v>
      </c>
      <c r="D28" s="275"/>
      <c r="E28" s="274"/>
      <c r="F28" s="274"/>
      <c r="G28" s="273"/>
      <c r="H28" s="273">
        <f t="shared" ref="H28:M28" ca="1" si="15">SUM(H23:H25,H27)</f>
        <v>93.554503609374294</v>
      </c>
      <c r="I28" s="273">
        <f t="shared" ca="1" si="15"/>
        <v>253.12220159008615</v>
      </c>
      <c r="J28" s="273">
        <f t="shared" ca="1" si="15"/>
        <v>554.26777209008219</v>
      </c>
      <c r="K28" s="273">
        <f t="shared" ca="1" si="15"/>
        <v>880.96412609470281</v>
      </c>
      <c r="L28" s="273">
        <f t="shared" ca="1" si="15"/>
        <v>1400.6128756125604</v>
      </c>
      <c r="M28" s="273">
        <f t="shared" ca="1" si="15"/>
        <v>1924.3059233632202</v>
      </c>
      <c r="O28" s="42">
        <f t="shared" si="1"/>
        <v>1</v>
      </c>
      <c r="P28" s="24">
        <v>1</v>
      </c>
    </row>
    <row r="29" spans="1:16" s="73" customFormat="1" ht="11.25" customHeight="1">
      <c r="D29" s="281"/>
      <c r="F29" s="280"/>
      <c r="G29" s="303"/>
      <c r="H29" s="303"/>
      <c r="I29" s="303"/>
      <c r="J29" s="303"/>
      <c r="K29" s="303"/>
      <c r="L29" s="303"/>
      <c r="M29" s="303"/>
      <c r="O29" s="42">
        <f t="shared" si="1"/>
        <v>0</v>
      </c>
      <c r="P29" s="24">
        <v>0</v>
      </c>
    </row>
    <row r="30" spans="1:16" s="73" customFormat="1" ht="11.25" customHeight="1">
      <c r="D30" s="281"/>
      <c r="F30" s="280"/>
      <c r="G30" s="38"/>
      <c r="H30" s="1089" t="s">
        <v>1676</v>
      </c>
      <c r="I30" s="1089"/>
      <c r="J30" s="1089"/>
      <c r="K30" s="1089"/>
      <c r="L30" s="1089"/>
      <c r="M30" s="1089"/>
      <c r="O30" s="42">
        <f t="shared" si="1"/>
        <v>0</v>
      </c>
      <c r="P30" s="24">
        <v>0</v>
      </c>
    </row>
    <row r="31" spans="1:16" ht="13.8" thickBot="1">
      <c r="A31" s="3"/>
      <c r="B31" s="3"/>
      <c r="C31" s="207" t="s">
        <v>1828</v>
      </c>
      <c r="D31" s="277"/>
      <c r="E31" s="207"/>
      <c r="F31" s="207"/>
      <c r="G31" s="85">
        <f t="shared" ref="G31:M31" si="16">G8</f>
        <v>2023</v>
      </c>
      <c r="H31" s="207">
        <f t="shared" si="16"/>
        <v>2024</v>
      </c>
      <c r="I31" s="207">
        <f t="shared" si="16"/>
        <v>2025</v>
      </c>
      <c r="J31" s="207">
        <f t="shared" si="16"/>
        <v>2026</v>
      </c>
      <c r="K31" s="207">
        <f t="shared" si="16"/>
        <v>2027</v>
      </c>
      <c r="L31" s="207">
        <f t="shared" si="16"/>
        <v>2028</v>
      </c>
      <c r="M31" s="207">
        <f t="shared" si="16"/>
        <v>2029</v>
      </c>
      <c r="O31" s="42">
        <f t="shared" si="1"/>
        <v>1</v>
      </c>
      <c r="P31" s="24">
        <v>1</v>
      </c>
    </row>
    <row r="32" spans="1:16" s="73" customFormat="1" ht="11.25" customHeight="1">
      <c r="C32" s="73" t="s">
        <v>1829</v>
      </c>
      <c r="D32" s="135"/>
      <c r="F32" s="134"/>
      <c r="G32" s="134">
        <f ca="1">-'LBO - Assumptions'!F55</f>
        <v>-265.28400000000005</v>
      </c>
      <c r="H32" s="300">
        <v>0</v>
      </c>
      <c r="I32" s="300">
        <v>0</v>
      </c>
      <c r="J32" s="300">
        <v>0</v>
      </c>
      <c r="K32" s="300">
        <v>0</v>
      </c>
      <c r="L32" s="300">
        <v>0</v>
      </c>
      <c r="M32" s="300">
        <v>0</v>
      </c>
      <c r="O32" s="42">
        <f t="shared" si="1"/>
        <v>1</v>
      </c>
      <c r="P32" s="24">
        <v>1</v>
      </c>
    </row>
    <row r="33" spans="1:16" s="73" customFormat="1" ht="11.25" customHeight="1">
      <c r="C33" s="73" t="s">
        <v>1830</v>
      </c>
      <c r="D33" s="135"/>
      <c r="F33" s="134"/>
      <c r="G33" s="134"/>
      <c r="H33" s="134">
        <f ca="1">IF(H34=0,0,1)*IF('LBO - Assumptions'!$G$81=1,('LBO - Assumptions'!$G$83-('LBO - Assumptions'!$G$83)))</f>
        <v>0</v>
      </c>
      <c r="I33" s="134">
        <f ca="1">IF(I34=0,0,1)*IF('LBO - Assumptions'!$G$81=1,('LBO - Assumptions'!$G$83-('LBO - Assumptions'!$G$83)))</f>
        <v>0</v>
      </c>
      <c r="J33" s="134">
        <f ca="1">IF(J34=0,0,1)*IF('LBO - Assumptions'!$G$81=1,('LBO - Assumptions'!$G$83-('LBO - Assumptions'!$G$83)))</f>
        <v>0</v>
      </c>
      <c r="K33" s="134">
        <f ca="1">IF(K34=0,0,1)*IF('LBO - Assumptions'!$G$81=1,('LBO - Assumptions'!$G$83-('LBO - Assumptions'!$G$83)))</f>
        <v>0</v>
      </c>
      <c r="L33" s="134">
        <f ca="1">IF(L34=0,0,1)*IF('LBO - Assumptions'!$G$81=1,('LBO - Assumptions'!$G$83-('LBO - Assumptions'!$G$83)))</f>
        <v>0</v>
      </c>
      <c r="M33" s="134">
        <f ca="1">IF(M34=0,0,1)*IF('LBO - Assumptions'!$G$81=1,('LBO - Assumptions'!$G$83-('LBO - Assumptions'!$G$83)))</f>
        <v>0</v>
      </c>
      <c r="O33" s="42">
        <f t="shared" si="1"/>
        <v>1</v>
      </c>
      <c r="P33" s="24">
        <v>1</v>
      </c>
    </row>
    <row r="34" spans="1:16" s="73" customFormat="1" ht="11.25" customHeight="1">
      <c r="C34" s="73" t="s">
        <v>1831</v>
      </c>
      <c r="D34" s="135"/>
      <c r="F34" s="134"/>
      <c r="G34" s="134"/>
      <c r="H34" s="134">
        <f ca="1">H41*H42</f>
        <v>0</v>
      </c>
      <c r="I34" s="134">
        <f ca="1">I41*I42</f>
        <v>0</v>
      </c>
      <c r="J34" s="134">
        <f ca="1">J41*J42</f>
        <v>0</v>
      </c>
      <c r="K34" s="134">
        <f ca="1">(K41*K42)</f>
        <v>0</v>
      </c>
      <c r="L34" s="134">
        <f ca="1">(L41*L42)</f>
        <v>0</v>
      </c>
      <c r="M34" s="134">
        <f ca="1">(M41*M42)</f>
        <v>0</v>
      </c>
      <c r="O34" s="42">
        <f t="shared" si="1"/>
        <v>1</v>
      </c>
      <c r="P34" s="24">
        <v>1</v>
      </c>
    </row>
    <row r="35" spans="1:16" s="73" customFormat="1" ht="11.25" customHeight="1">
      <c r="C35" s="73" t="s">
        <v>1832</v>
      </c>
      <c r="D35" s="135"/>
      <c r="F35" s="134"/>
      <c r="G35" s="134"/>
      <c r="H35" s="134">
        <f ca="1">IF(H34=0,0,1)*-'LBO - Financials'!H122</f>
        <v>0</v>
      </c>
      <c r="I35" s="134">
        <f ca="1">IF(I34=0,0,1)*-'LBO - Financials'!I122</f>
        <v>0</v>
      </c>
      <c r="J35" s="134">
        <f ca="1">IF(J34=0,0,1)*-'LBO - Financials'!J122</f>
        <v>0</v>
      </c>
      <c r="K35" s="134">
        <f ca="1">IF(K34=0,0,1)*-'LBO - Financials'!K122</f>
        <v>0</v>
      </c>
      <c r="L35" s="134">
        <f ca="1">IF(L34=0,0,1)*-'LBO - Financials'!L122</f>
        <v>0</v>
      </c>
      <c r="M35" s="134">
        <f ca="1">IF(M34=0,0,1)*-'LBO - Financials'!M122</f>
        <v>0</v>
      </c>
      <c r="O35" s="42">
        <f t="shared" si="1"/>
        <v>1</v>
      </c>
      <c r="P35" s="24">
        <v>1</v>
      </c>
    </row>
    <row r="36" spans="1:16" s="73" customFormat="1" ht="11.25" customHeight="1">
      <c r="C36" s="73" t="s">
        <v>1833</v>
      </c>
      <c r="D36" s="135"/>
      <c r="F36" s="134"/>
      <c r="G36" s="134"/>
      <c r="H36" s="134">
        <f ca="1">H34*-'LBO - Assumptions'!$D$104</f>
        <v>0</v>
      </c>
      <c r="I36" s="134">
        <f ca="1">I34*-'LBO - Assumptions'!$D$104</f>
        <v>0</v>
      </c>
      <c r="J36" s="134">
        <f ca="1">J34*-'LBO - Assumptions'!$D$104</f>
        <v>0</v>
      </c>
      <c r="K36" s="134">
        <f ca="1">K34*-'LBO - Assumptions'!$D$104</f>
        <v>0</v>
      </c>
      <c r="L36" s="134">
        <f ca="1">L34*-'LBO - Assumptions'!$D$104</f>
        <v>0</v>
      </c>
      <c r="M36" s="134">
        <f ca="1">M34*-'LBO - Assumptions'!$D$104</f>
        <v>0</v>
      </c>
      <c r="O36" s="42">
        <f t="shared" si="1"/>
        <v>1</v>
      </c>
      <c r="P36" s="24">
        <v>1</v>
      </c>
    </row>
    <row r="37" spans="1:16" s="73" customFormat="1" ht="11.25" customHeight="1">
      <c r="C37" s="73" t="s">
        <v>1834</v>
      </c>
      <c r="D37" s="135"/>
      <c r="F37" s="134"/>
      <c r="G37" s="134"/>
      <c r="H37" s="134">
        <f ca="1">H25</f>
        <v>46.777251804687147</v>
      </c>
      <c r="I37" s="134">
        <f t="shared" ref="I37:M37" ca="1" si="17">I25</f>
        <v>79.783848990355921</v>
      </c>
      <c r="J37" s="134">
        <f t="shared" ca="1" si="17"/>
        <v>150.57278524999799</v>
      </c>
      <c r="K37" s="134">
        <f t="shared" ca="1" si="17"/>
        <v>163.34817700231031</v>
      </c>
      <c r="L37" s="134">
        <f t="shared" ca="1" si="17"/>
        <v>259.8243747589288</v>
      </c>
      <c r="M37" s="134">
        <f t="shared" ca="1" si="17"/>
        <v>261.84652387532986</v>
      </c>
      <c r="O37" s="42">
        <f t="shared" si="1"/>
        <v>1</v>
      </c>
      <c r="P37" s="24">
        <v>1</v>
      </c>
    </row>
    <row r="38" spans="1:16" s="73" customFormat="1" ht="11.25" customHeight="1" thickBot="1">
      <c r="C38" s="274" t="s">
        <v>1835</v>
      </c>
      <c r="D38" s="275"/>
      <c r="E38" s="274"/>
      <c r="F38" s="273"/>
      <c r="G38" s="149">
        <f ca="1">G34+G33+SUM(G35:G37)+G32</f>
        <v>-265.28400000000005</v>
      </c>
      <c r="H38" s="273">
        <f t="shared" ref="H38:M38" ca="1" si="18">SUM(H32:H37)</f>
        <v>46.777251804687147</v>
      </c>
      <c r="I38" s="273">
        <f t="shared" ca="1" si="18"/>
        <v>79.783848990355921</v>
      </c>
      <c r="J38" s="273">
        <f t="shared" ca="1" si="18"/>
        <v>150.57278524999799</v>
      </c>
      <c r="K38" s="273">
        <f t="shared" ca="1" si="18"/>
        <v>163.34817700231031</v>
      </c>
      <c r="L38" s="273">
        <f t="shared" ca="1" si="18"/>
        <v>259.8243747589288</v>
      </c>
      <c r="M38" s="273">
        <f t="shared" ca="1" si="18"/>
        <v>261.84652387532986</v>
      </c>
      <c r="O38" s="42">
        <f t="shared" si="1"/>
        <v>1</v>
      </c>
      <c r="P38" s="24">
        <v>1</v>
      </c>
    </row>
    <row r="39" spans="1:16" s="73" customFormat="1" ht="11.25" customHeight="1" thickBot="1">
      <c r="C39" s="825" t="s">
        <v>1836</v>
      </c>
      <c r="D39" s="826"/>
      <c r="E39" s="827"/>
      <c r="F39" s="828"/>
      <c r="G39" s="829">
        <f ca="1">IFERROR(IRR(G38:M38),0)</f>
        <v>0.38387479019818049</v>
      </c>
      <c r="H39" s="589"/>
      <c r="I39" s="589"/>
      <c r="J39" s="589"/>
      <c r="K39" s="589"/>
      <c r="L39" s="589"/>
      <c r="M39" s="589"/>
      <c r="O39" s="42">
        <f t="shared" si="1"/>
        <v>1</v>
      </c>
      <c r="P39" s="24">
        <v>1</v>
      </c>
    </row>
    <row r="40" spans="1:16" s="73" customFormat="1" ht="11.25" customHeight="1">
      <c r="C40" s="73" t="s">
        <v>1837</v>
      </c>
      <c r="D40" s="135"/>
      <c r="G40" s="293" t="s">
        <v>1837</v>
      </c>
      <c r="O40" s="42">
        <f t="shared" si="1"/>
        <v>1</v>
      </c>
      <c r="P40" s="24">
        <v>1</v>
      </c>
    </row>
    <row r="41" spans="1:16" s="73" customFormat="1" ht="11.25" customHeight="1">
      <c r="C41" s="73" t="s">
        <v>1838</v>
      </c>
      <c r="D41" s="135"/>
      <c r="G41" s="302">
        <f>'LBO - Assumptions'!G114</f>
        <v>2029</v>
      </c>
      <c r="H41" s="134">
        <f t="shared" ref="H41:M41" ca="1" si="19">IF(H31=$G$41,1,0)*H16</f>
        <v>0</v>
      </c>
      <c r="I41" s="134">
        <f t="shared" ca="1" si="19"/>
        <v>0</v>
      </c>
      <c r="J41" s="134">
        <f t="shared" ca="1" si="19"/>
        <v>0</v>
      </c>
      <c r="K41" s="134">
        <f t="shared" ca="1" si="19"/>
        <v>0</v>
      </c>
      <c r="L41" s="134">
        <f t="shared" ca="1" si="19"/>
        <v>0</v>
      </c>
      <c r="M41" s="134">
        <f t="shared" ca="1" si="19"/>
        <v>256.00403665939569</v>
      </c>
      <c r="O41" s="42">
        <f t="shared" si="1"/>
        <v>1</v>
      </c>
      <c r="P41" s="24">
        <v>1</v>
      </c>
    </row>
    <row r="42" spans="1:16" s="73" customFormat="1" ht="11.25" customHeight="1">
      <c r="C42" s="73" t="s">
        <v>1763</v>
      </c>
      <c r="D42" s="135"/>
      <c r="F42" s="134"/>
      <c r="G42" s="301"/>
      <c r="H42" s="301">
        <f ca="1">IF(H31=$G$41,1,0)*'LBO - Assumptions'!$E$34</f>
        <v>0</v>
      </c>
      <c r="I42" s="301">
        <f ca="1">IF(I31=$G$41,1,0)*'LBO - Assumptions'!$E$34</f>
        <v>0</v>
      </c>
      <c r="J42" s="301">
        <f ca="1">IF(J31=$G$41,1,0)*'LBO - Assumptions'!$E$34</f>
        <v>0</v>
      </c>
      <c r="K42" s="301">
        <f ca="1">IF(K31=$G$41,1,0)*'LBO - Assumptions'!$E$34</f>
        <v>0</v>
      </c>
      <c r="L42" s="301">
        <f ca="1">IF(L31=$G$41,1,0)*'LBO - Assumptions'!$E$34</f>
        <v>0</v>
      </c>
      <c r="M42" s="301">
        <f ca="1">IF(M31=$G$41,1,0)*'LBO - Assumptions'!$E$34</f>
        <v>0</v>
      </c>
      <c r="O42" s="42">
        <f t="shared" si="1"/>
        <v>1</v>
      </c>
      <c r="P42" s="24">
        <v>1</v>
      </c>
    </row>
    <row r="43" spans="1:16" s="73" customFormat="1" ht="11.25" customHeight="1">
      <c r="D43" s="135"/>
      <c r="F43" s="134"/>
      <c r="G43" s="301"/>
      <c r="H43" s="301"/>
      <c r="I43" s="301"/>
      <c r="J43" s="301"/>
      <c r="K43" s="301"/>
      <c r="L43" s="301"/>
      <c r="M43" s="301"/>
      <c r="O43" s="42">
        <f t="shared" si="1"/>
        <v>0</v>
      </c>
      <c r="P43" s="24">
        <v>0</v>
      </c>
    </row>
    <row r="44" spans="1:16" s="73" customFormat="1" ht="11.25" customHeight="1">
      <c r="D44" s="135"/>
      <c r="F44" s="134"/>
      <c r="G44" s="38"/>
      <c r="H44" s="1089" t="s">
        <v>1676</v>
      </c>
      <c r="I44" s="1089"/>
      <c r="J44" s="1089"/>
      <c r="K44" s="1089"/>
      <c r="L44" s="1089"/>
      <c r="M44" s="1089"/>
      <c r="O44" s="42">
        <f t="shared" si="1"/>
        <v>0</v>
      </c>
      <c r="P44" s="24">
        <v>0</v>
      </c>
    </row>
    <row r="45" spans="1:16" ht="13.8" thickBot="1">
      <c r="A45" s="3"/>
      <c r="B45" s="3"/>
      <c r="C45" s="207" t="s">
        <v>1839</v>
      </c>
      <c r="D45" s="277"/>
      <c r="E45" s="207"/>
      <c r="F45" s="207"/>
      <c r="G45" s="85">
        <f t="shared" ref="G45:M45" si="20">G8</f>
        <v>2023</v>
      </c>
      <c r="H45" s="207">
        <f t="shared" si="20"/>
        <v>2024</v>
      </c>
      <c r="I45" s="207">
        <f t="shared" si="20"/>
        <v>2025</v>
      </c>
      <c r="J45" s="207">
        <f t="shared" si="20"/>
        <v>2026</v>
      </c>
      <c r="K45" s="207">
        <f t="shared" si="20"/>
        <v>2027</v>
      </c>
      <c r="L45" s="207">
        <f t="shared" si="20"/>
        <v>2028</v>
      </c>
      <c r="M45" s="207">
        <f t="shared" si="20"/>
        <v>2029</v>
      </c>
      <c r="O45" s="42">
        <f t="shared" si="1"/>
        <v>1</v>
      </c>
      <c r="P45" s="24">
        <v>1</v>
      </c>
    </row>
    <row r="46" spans="1:16" s="73" customFormat="1" ht="11.25" customHeight="1">
      <c r="D46" s="135"/>
      <c r="F46" s="134"/>
      <c r="G46" s="301"/>
      <c r="H46" s="301"/>
      <c r="I46" s="301"/>
      <c r="J46" s="301"/>
      <c r="K46" s="301"/>
      <c r="L46" s="301"/>
      <c r="M46" s="301"/>
      <c r="O46" s="42">
        <f t="shared" si="1"/>
        <v>0</v>
      </c>
      <c r="P46" s="24">
        <v>0</v>
      </c>
    </row>
    <row r="47" spans="1:16" s="73" customFormat="1" ht="11.25" customHeight="1">
      <c r="C47" s="73" t="s">
        <v>1840</v>
      </c>
      <c r="D47" s="135"/>
      <c r="F47" s="134"/>
      <c r="G47" s="134"/>
      <c r="H47" s="134">
        <f ca="1">G49</f>
        <v>0</v>
      </c>
      <c r="I47" s="134">
        <f t="shared" ref="I47:M48" ca="1" si="21">I96</f>
        <v>0</v>
      </c>
      <c r="J47" s="134">
        <f t="shared" ca="1" si="21"/>
        <v>0</v>
      </c>
      <c r="K47" s="134">
        <f t="shared" ca="1" si="21"/>
        <v>0</v>
      </c>
      <c r="L47" s="134">
        <f t="shared" ca="1" si="21"/>
        <v>0</v>
      </c>
      <c r="M47" s="134">
        <f t="shared" ca="1" si="21"/>
        <v>0</v>
      </c>
      <c r="O47" s="42">
        <f t="shared" si="1"/>
        <v>1</v>
      </c>
      <c r="P47" s="24">
        <v>1</v>
      </c>
    </row>
    <row r="48" spans="1:16" s="73" customFormat="1" ht="11.25" customHeight="1">
      <c r="C48" s="127" t="s">
        <v>1689</v>
      </c>
      <c r="D48" s="139"/>
      <c r="E48" s="127"/>
      <c r="F48" s="154"/>
      <c r="G48" s="154"/>
      <c r="H48" s="154">
        <f ca="1">H97</f>
        <v>0</v>
      </c>
      <c r="I48" s="154">
        <f t="shared" ca="1" si="21"/>
        <v>0</v>
      </c>
      <c r="J48" s="154">
        <f t="shared" ca="1" si="21"/>
        <v>0</v>
      </c>
      <c r="K48" s="154">
        <f t="shared" ca="1" si="21"/>
        <v>0</v>
      </c>
      <c r="L48" s="154">
        <f t="shared" ca="1" si="21"/>
        <v>0</v>
      </c>
      <c r="M48" s="154">
        <f t="shared" ca="1" si="21"/>
        <v>0</v>
      </c>
      <c r="O48" s="42">
        <f t="shared" si="1"/>
        <v>1</v>
      </c>
      <c r="P48" s="24">
        <v>1</v>
      </c>
    </row>
    <row r="49" spans="1:98" s="73" customFormat="1" ht="11.25" customHeight="1">
      <c r="C49" s="127" t="s">
        <v>1841</v>
      </c>
      <c r="D49" s="139"/>
      <c r="E49" s="127"/>
      <c r="F49" s="154"/>
      <c r="G49" s="154">
        <f ca="1">G98</f>
        <v>0</v>
      </c>
      <c r="H49" s="154">
        <f t="shared" ref="H49:M49" ca="1" si="22">SUM(H47:H48)</f>
        <v>0</v>
      </c>
      <c r="I49" s="154">
        <f t="shared" ca="1" si="22"/>
        <v>0</v>
      </c>
      <c r="J49" s="154">
        <f t="shared" ca="1" si="22"/>
        <v>0</v>
      </c>
      <c r="K49" s="154">
        <f t="shared" ca="1" si="22"/>
        <v>0</v>
      </c>
      <c r="L49" s="154">
        <f t="shared" ca="1" si="22"/>
        <v>0</v>
      </c>
      <c r="M49" s="154">
        <f t="shared" ca="1" si="22"/>
        <v>0</v>
      </c>
      <c r="O49" s="42">
        <f t="shared" si="1"/>
        <v>1</v>
      </c>
      <c r="P49" s="24">
        <v>1</v>
      </c>
    </row>
    <row r="50" spans="1:98" s="73" customFormat="1" ht="11.25" customHeight="1">
      <c r="D50" s="135"/>
      <c r="F50" s="134"/>
      <c r="G50" s="134"/>
      <c r="H50" s="134"/>
      <c r="I50" s="134"/>
      <c r="J50" s="134"/>
      <c r="K50" s="134"/>
      <c r="L50" s="134"/>
      <c r="M50" s="134"/>
      <c r="O50" s="42">
        <f t="shared" si="1"/>
        <v>0</v>
      </c>
      <c r="P50" s="24">
        <v>0</v>
      </c>
    </row>
    <row r="51" spans="1:98" s="73" customFormat="1" ht="11.25" customHeight="1">
      <c r="C51" s="73" t="s">
        <v>1842</v>
      </c>
      <c r="D51" s="135"/>
      <c r="F51" s="134"/>
      <c r="G51" s="134"/>
      <c r="H51" s="134">
        <f ca="1">G53</f>
        <v>0</v>
      </c>
      <c r="I51" s="134">
        <f t="shared" ref="H51:M52" ca="1" si="23">I101</f>
        <v>0</v>
      </c>
      <c r="J51" s="134">
        <f t="shared" ca="1" si="23"/>
        <v>0</v>
      </c>
      <c r="K51" s="134">
        <f t="shared" ca="1" si="23"/>
        <v>0</v>
      </c>
      <c r="L51" s="134">
        <f t="shared" ca="1" si="23"/>
        <v>0</v>
      </c>
      <c r="M51" s="134">
        <f t="shared" ca="1" si="23"/>
        <v>0</v>
      </c>
      <c r="O51" s="42">
        <f t="shared" si="1"/>
        <v>1</v>
      </c>
      <c r="P51" s="24">
        <v>1</v>
      </c>
    </row>
    <row r="52" spans="1:98" s="73" customFormat="1" ht="11.25" customHeight="1">
      <c r="C52" s="127" t="s">
        <v>1690</v>
      </c>
      <c r="D52" s="139"/>
      <c r="E52" s="127"/>
      <c r="F52" s="154"/>
      <c r="G52" s="154">
        <f>G102</f>
        <v>0</v>
      </c>
      <c r="H52" s="154">
        <f t="shared" ca="1" si="23"/>
        <v>0</v>
      </c>
      <c r="I52" s="154">
        <f t="shared" ca="1" si="23"/>
        <v>0</v>
      </c>
      <c r="J52" s="154">
        <f t="shared" ca="1" si="23"/>
        <v>0</v>
      </c>
      <c r="K52" s="154">
        <f t="shared" ca="1" si="23"/>
        <v>0</v>
      </c>
      <c r="L52" s="154">
        <f t="shared" ca="1" si="23"/>
        <v>0</v>
      </c>
      <c r="M52" s="154">
        <f t="shared" ca="1" si="23"/>
        <v>0</v>
      </c>
      <c r="O52" s="42">
        <f t="shared" si="1"/>
        <v>1</v>
      </c>
      <c r="P52" s="24">
        <v>1</v>
      </c>
    </row>
    <row r="53" spans="1:98" s="73" customFormat="1" ht="11.25" customHeight="1">
      <c r="C53" s="127" t="s">
        <v>1843</v>
      </c>
      <c r="D53" s="139"/>
      <c r="E53" s="127"/>
      <c r="F53" s="154"/>
      <c r="G53" s="154">
        <f ca="1">G103</f>
        <v>0</v>
      </c>
      <c r="H53" s="154">
        <f ca="1">SUM(H51:H52)</f>
        <v>0</v>
      </c>
      <c r="I53" s="154">
        <f t="shared" ref="I53:M53" ca="1" si="24">SUM(I51:I52)</f>
        <v>0</v>
      </c>
      <c r="J53" s="154">
        <f t="shared" ca="1" si="24"/>
        <v>0</v>
      </c>
      <c r="K53" s="154">
        <f t="shared" ca="1" si="24"/>
        <v>0</v>
      </c>
      <c r="L53" s="154">
        <f t="shared" ca="1" si="24"/>
        <v>0</v>
      </c>
      <c r="M53" s="154">
        <f t="shared" ca="1" si="24"/>
        <v>0</v>
      </c>
      <c r="O53" s="42">
        <f t="shared" si="1"/>
        <v>1</v>
      </c>
      <c r="P53" s="24">
        <v>1</v>
      </c>
    </row>
    <row r="54" spans="1:98" s="73" customFormat="1" ht="11.25" customHeight="1">
      <c r="D54" s="135"/>
      <c r="F54" s="134"/>
      <c r="G54" s="134"/>
      <c r="H54" s="134"/>
      <c r="I54" s="134"/>
      <c r="J54" s="134"/>
      <c r="K54" s="134"/>
      <c r="L54" s="134"/>
      <c r="M54" s="134"/>
      <c r="O54" s="42">
        <f t="shared" si="1"/>
        <v>0</v>
      </c>
      <c r="P54" s="24">
        <v>0</v>
      </c>
    </row>
    <row r="55" spans="1:98" s="73" customFormat="1" ht="11.25" customHeight="1">
      <c r="C55" s="73" t="s">
        <v>1844</v>
      </c>
      <c r="D55" s="135"/>
      <c r="F55" s="134"/>
      <c r="G55" s="134"/>
      <c r="H55" s="134">
        <f ca="1">G57</f>
        <v>0</v>
      </c>
      <c r="I55" s="134">
        <f ca="1">I106</f>
        <v>0</v>
      </c>
      <c r="J55" s="134">
        <f t="shared" ref="J55:M55" ca="1" si="25">J106</f>
        <v>0</v>
      </c>
      <c r="K55" s="134">
        <f t="shared" ca="1" si="25"/>
        <v>0</v>
      </c>
      <c r="L55" s="134">
        <f t="shared" ca="1" si="25"/>
        <v>0</v>
      </c>
      <c r="M55" s="134">
        <f t="shared" ca="1" si="25"/>
        <v>0</v>
      </c>
      <c r="O55" s="42">
        <f t="shared" si="1"/>
        <v>1</v>
      </c>
      <c r="P55" s="24">
        <v>1</v>
      </c>
    </row>
    <row r="56" spans="1:98" s="73" customFormat="1" ht="11.25" customHeight="1">
      <c r="C56" s="127" t="s">
        <v>1691</v>
      </c>
      <c r="D56" s="139"/>
      <c r="E56" s="127"/>
      <c r="F56" s="154"/>
      <c r="G56" s="154"/>
      <c r="H56" s="154">
        <f ca="1">H107</f>
        <v>0</v>
      </c>
      <c r="I56" s="154">
        <f t="shared" ref="I56:M56" ca="1" si="26">I107</f>
        <v>0</v>
      </c>
      <c r="J56" s="154">
        <f t="shared" ca="1" si="26"/>
        <v>0</v>
      </c>
      <c r="K56" s="154">
        <f t="shared" ca="1" si="26"/>
        <v>0</v>
      </c>
      <c r="L56" s="154">
        <f t="shared" ca="1" si="26"/>
        <v>0</v>
      </c>
      <c r="M56" s="154">
        <f t="shared" ca="1" si="26"/>
        <v>0</v>
      </c>
      <c r="O56" s="42">
        <f t="shared" si="1"/>
        <v>1</v>
      </c>
      <c r="P56" s="24">
        <v>1</v>
      </c>
    </row>
    <row r="57" spans="1:98" s="73" customFormat="1" ht="11.25" customHeight="1">
      <c r="C57" s="127" t="s">
        <v>1845</v>
      </c>
      <c r="D57" s="139"/>
      <c r="E57" s="127"/>
      <c r="F57" s="154"/>
      <c r="G57" s="154">
        <f ca="1">G108</f>
        <v>0</v>
      </c>
      <c r="H57" s="154">
        <f ca="1">SUM(H55:H56)</f>
        <v>0</v>
      </c>
      <c r="I57" s="154">
        <f t="shared" ref="I57:M57" ca="1" si="27">SUM(I55:I56)</f>
        <v>0</v>
      </c>
      <c r="J57" s="154">
        <f t="shared" ca="1" si="27"/>
        <v>0</v>
      </c>
      <c r="K57" s="154">
        <f t="shared" ca="1" si="27"/>
        <v>0</v>
      </c>
      <c r="L57" s="154">
        <f t="shared" ca="1" si="27"/>
        <v>0</v>
      </c>
      <c r="M57" s="154">
        <f t="shared" ca="1" si="27"/>
        <v>0</v>
      </c>
      <c r="O57" s="42">
        <f t="shared" si="1"/>
        <v>1</v>
      </c>
      <c r="P57" s="24">
        <v>1</v>
      </c>
    </row>
    <row r="58" spans="1:98" s="73" customFormat="1" ht="11.25" customHeight="1">
      <c r="D58" s="135"/>
      <c r="F58" s="134"/>
      <c r="G58" s="134"/>
      <c r="H58" s="134"/>
      <c r="I58" s="134"/>
      <c r="J58" s="134"/>
      <c r="K58" s="134"/>
      <c r="L58" s="134"/>
      <c r="M58" s="134"/>
      <c r="O58" s="42">
        <f t="shared" si="1"/>
        <v>0</v>
      </c>
      <c r="P58" s="24">
        <v>0</v>
      </c>
    </row>
    <row r="59" spans="1:98" s="73" customFormat="1" ht="11.25" customHeight="1">
      <c r="C59" s="73" t="s">
        <v>1846</v>
      </c>
      <c r="D59" s="135"/>
      <c r="F59" s="134"/>
      <c r="G59" s="134"/>
      <c r="H59" s="134">
        <f ca="1">G61</f>
        <v>0</v>
      </c>
      <c r="I59" s="134">
        <f ca="1">I111</f>
        <v>0</v>
      </c>
      <c r="J59" s="134">
        <f t="shared" ref="J59:M59" ca="1" si="28">J111</f>
        <v>0</v>
      </c>
      <c r="K59" s="134">
        <f t="shared" ca="1" si="28"/>
        <v>0</v>
      </c>
      <c r="L59" s="134">
        <f t="shared" ca="1" si="28"/>
        <v>0</v>
      </c>
      <c r="M59" s="134">
        <f t="shared" ca="1" si="28"/>
        <v>0</v>
      </c>
      <c r="O59" s="42">
        <f t="shared" si="1"/>
        <v>1</v>
      </c>
      <c r="P59" s="24">
        <v>1</v>
      </c>
    </row>
    <row r="60" spans="1:98" s="73" customFormat="1" ht="11.25" customHeight="1">
      <c r="C60" s="127" t="s">
        <v>1692</v>
      </c>
      <c r="D60" s="139"/>
      <c r="E60" s="127"/>
      <c r="F60" s="154"/>
      <c r="G60" s="154"/>
      <c r="H60" s="154">
        <f ca="1">H112</f>
        <v>0</v>
      </c>
      <c r="I60" s="154">
        <f t="shared" ref="I60:M60" ca="1" si="29">I112</f>
        <v>0</v>
      </c>
      <c r="J60" s="154">
        <f t="shared" ca="1" si="29"/>
        <v>0</v>
      </c>
      <c r="K60" s="154">
        <f t="shared" ca="1" si="29"/>
        <v>0</v>
      </c>
      <c r="L60" s="154">
        <f t="shared" ca="1" si="29"/>
        <v>0</v>
      </c>
      <c r="M60" s="154">
        <f t="shared" ca="1" si="29"/>
        <v>0</v>
      </c>
      <c r="O60" s="42">
        <f t="shared" si="1"/>
        <v>1</v>
      </c>
      <c r="P60" s="24">
        <v>1</v>
      </c>
    </row>
    <row r="61" spans="1:98" s="73" customFormat="1" ht="11.25" customHeight="1">
      <c r="C61" s="127" t="s">
        <v>1847</v>
      </c>
      <c r="D61" s="139"/>
      <c r="E61" s="127"/>
      <c r="F61" s="154"/>
      <c r="G61" s="154">
        <f ca="1">G113</f>
        <v>0</v>
      </c>
      <c r="H61" s="154">
        <f ca="1">SUM(H59:H60)</f>
        <v>0</v>
      </c>
      <c r="I61" s="154">
        <f t="shared" ref="I61:M61" ca="1" si="30">SUM(I59:I60)</f>
        <v>0</v>
      </c>
      <c r="J61" s="154">
        <f t="shared" ca="1" si="30"/>
        <v>0</v>
      </c>
      <c r="K61" s="154">
        <f t="shared" ca="1" si="30"/>
        <v>0</v>
      </c>
      <c r="L61" s="154">
        <f t="shared" ca="1" si="30"/>
        <v>0</v>
      </c>
      <c r="M61" s="154">
        <f t="shared" ca="1" si="30"/>
        <v>0</v>
      </c>
      <c r="O61" s="42">
        <f t="shared" si="1"/>
        <v>1</v>
      </c>
      <c r="P61" s="24">
        <v>1</v>
      </c>
    </row>
    <row r="62" spans="1:98" s="3" customFormat="1" ht="11.25" customHeight="1">
      <c r="A62" s="115"/>
      <c r="B62" s="115"/>
      <c r="C62" s="296"/>
      <c r="D62" s="81"/>
      <c r="G62" s="38"/>
      <c r="O62" s="42">
        <f t="shared" si="1"/>
        <v>0</v>
      </c>
      <c r="P62" s="24">
        <v>0</v>
      </c>
      <c r="Q62" s="223"/>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row>
    <row r="63" spans="1:98" s="3" customFormat="1" ht="12.75" customHeight="1">
      <c r="A63" s="115"/>
      <c r="B63" s="115"/>
      <c r="C63" s="807" t="s">
        <v>1848</v>
      </c>
      <c r="D63" s="808"/>
      <c r="E63" s="808"/>
      <c r="F63" s="808"/>
      <c r="G63" s="808"/>
      <c r="H63" s="808"/>
      <c r="I63" s="808"/>
      <c r="J63" s="808"/>
      <c r="K63" s="808"/>
      <c r="L63" s="808"/>
      <c r="M63" s="808"/>
      <c r="O63" s="42">
        <f t="shared" si="1"/>
        <v>1</v>
      </c>
      <c r="P63" s="24">
        <v>1</v>
      </c>
      <c r="Q63" s="223"/>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row>
    <row r="64" spans="1:98" s="3" customFormat="1" ht="11.25" customHeight="1">
      <c r="A64" s="115"/>
      <c r="B64" s="115"/>
      <c r="C64" s="296"/>
      <c r="D64" s="81"/>
      <c r="G64" s="38"/>
      <c r="H64" s="1089" t="s">
        <v>1676</v>
      </c>
      <c r="I64" s="1089"/>
      <c r="J64" s="1089"/>
      <c r="K64" s="1089"/>
      <c r="L64" s="1089"/>
      <c r="M64" s="1089"/>
      <c r="O64" s="42">
        <f t="shared" si="1"/>
        <v>0</v>
      </c>
      <c r="P64" s="24">
        <v>0</v>
      </c>
      <c r="Q64" s="223"/>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row>
    <row r="65" spans="1:16" ht="13.8" thickBot="1">
      <c r="A65" s="3"/>
      <c r="B65" s="3"/>
      <c r="C65" s="207"/>
      <c r="D65" s="277"/>
      <c r="E65" s="207"/>
      <c r="F65" s="372"/>
      <c r="G65" s="85">
        <f t="shared" ref="G65:M65" si="31">G94</f>
        <v>2023</v>
      </c>
      <c r="H65" s="207">
        <f t="shared" si="31"/>
        <v>2024</v>
      </c>
      <c r="I65" s="207">
        <f t="shared" si="31"/>
        <v>2025</v>
      </c>
      <c r="J65" s="207">
        <f t="shared" si="31"/>
        <v>2026</v>
      </c>
      <c r="K65" s="207">
        <f t="shared" si="31"/>
        <v>2027</v>
      </c>
      <c r="L65" s="207">
        <f t="shared" si="31"/>
        <v>2028</v>
      </c>
      <c r="M65" s="207">
        <f t="shared" si="31"/>
        <v>2029</v>
      </c>
      <c r="O65" s="42">
        <f t="shared" si="1"/>
        <v>0</v>
      </c>
      <c r="P65" s="24">
        <v>0</v>
      </c>
    </row>
    <row r="66" spans="1:16">
      <c r="C66" s="161" t="s">
        <v>1697</v>
      </c>
      <c r="F66" s="375" t="s">
        <v>1744</v>
      </c>
      <c r="O66" s="42">
        <f t="shared" si="1"/>
        <v>1</v>
      </c>
      <c r="P66" s="24">
        <v>1</v>
      </c>
    </row>
    <row r="67" spans="1:16" s="73" customFormat="1" ht="11.25" customHeight="1">
      <c r="C67" s="73" t="s">
        <v>1849</v>
      </c>
      <c r="D67" s="135"/>
      <c r="F67" s="374">
        <v>1</v>
      </c>
      <c r="G67" s="371"/>
      <c r="H67" s="371"/>
      <c r="I67" s="371"/>
      <c r="J67" s="371"/>
      <c r="K67" s="371"/>
      <c r="L67" s="371"/>
      <c r="M67" s="371"/>
      <c r="O67" s="42">
        <f t="shared" si="1"/>
        <v>1</v>
      </c>
      <c r="P67" s="24">
        <v>1</v>
      </c>
    </row>
    <row r="68" spans="1:16" s="73" customFormat="1" ht="11.25" customHeight="1">
      <c r="C68" s="73" t="s">
        <v>1850</v>
      </c>
      <c r="D68" s="135"/>
      <c r="F68" s="1197">
        <v>2</v>
      </c>
      <c r="G68" s="371"/>
      <c r="H68" s="371"/>
      <c r="I68" s="371"/>
      <c r="J68" s="371"/>
      <c r="K68" s="371"/>
      <c r="L68" s="371"/>
      <c r="M68" s="371"/>
      <c r="O68" s="42">
        <f t="shared" si="1"/>
        <v>1</v>
      </c>
      <c r="P68" s="24">
        <v>1</v>
      </c>
    </row>
    <row r="69" spans="1:16" s="73" customFormat="1" ht="11.25" customHeight="1">
      <c r="C69" s="212" t="s">
        <v>1697</v>
      </c>
      <c r="D69" s="305"/>
      <c r="E69" s="212" t="s">
        <v>1851</v>
      </c>
      <c r="F69" s="370">
        <f ca="1">'LBO - Assumptions'!E24</f>
        <v>0</v>
      </c>
      <c r="G69" s="373"/>
      <c r="H69" s="373">
        <f t="shared" ref="H69:M69" ca="1" si="32">OFFSET(H66,$F$69,0)</f>
        <v>0</v>
      </c>
      <c r="I69" s="373">
        <f t="shared" ca="1" si="32"/>
        <v>0</v>
      </c>
      <c r="J69" s="373">
        <f t="shared" ca="1" si="32"/>
        <v>0</v>
      </c>
      <c r="K69" s="373">
        <f t="shared" ca="1" si="32"/>
        <v>0</v>
      </c>
      <c r="L69" s="373">
        <f t="shared" ca="1" si="32"/>
        <v>0</v>
      </c>
      <c r="M69" s="373">
        <f t="shared" ca="1" si="32"/>
        <v>0</v>
      </c>
      <c r="O69" s="42">
        <f t="shared" si="1"/>
        <v>1</v>
      </c>
      <c r="P69" s="24">
        <v>1</v>
      </c>
    </row>
    <row r="70" spans="1:16" s="73" customFormat="1" ht="11.25" customHeight="1">
      <c r="D70" s="135"/>
      <c r="G70" s="310"/>
      <c r="H70" s="310"/>
      <c r="I70" s="310"/>
      <c r="J70" s="310"/>
      <c r="K70" s="310"/>
      <c r="L70" s="310"/>
      <c r="M70" s="310"/>
      <c r="O70" s="42">
        <f t="shared" si="1"/>
        <v>0</v>
      </c>
      <c r="P70" s="24">
        <v>0</v>
      </c>
    </row>
    <row r="71" spans="1:16" s="73" customFormat="1" ht="11.25" customHeight="1">
      <c r="C71" s="73" t="s">
        <v>1696</v>
      </c>
      <c r="D71" s="304"/>
      <c r="E71" s="161"/>
      <c r="F71" s="309"/>
      <c r="G71" s="134"/>
      <c r="H71" s="134">
        <f>'DCF - Financials'!L9</f>
        <v>1278.226743738649</v>
      </c>
      <c r="I71" s="134">
        <f>'DCF - Financials'!M9</f>
        <v>1562.1187544339082</v>
      </c>
      <c r="J71" s="134">
        <f>'DCF - Financials'!N9</f>
        <v>1917.7398223858147</v>
      </c>
      <c r="K71" s="134">
        <f>'DCF - Financials'!O9</f>
        <v>2383.9369385812006</v>
      </c>
      <c r="L71" s="134">
        <f>'DCF - Financials'!P9</f>
        <v>2980.545632368242</v>
      </c>
      <c r="M71" s="134">
        <f>'DCF - Financials'!Q9</f>
        <v>3750.6959718718617</v>
      </c>
      <c r="O71" s="42">
        <f t="shared" si="1"/>
        <v>1</v>
      </c>
      <c r="P71" s="24">
        <v>1</v>
      </c>
    </row>
    <row r="72" spans="1:16" s="73" customFormat="1" ht="11.25" customHeight="1">
      <c r="C72" s="73" t="s">
        <v>1852</v>
      </c>
      <c r="D72" s="304"/>
      <c r="E72" s="389" t="s">
        <v>1853</v>
      </c>
      <c r="F72" s="390">
        <f ca="1">SUM(H72:M72)/SUM(H71:M71)</f>
        <v>0</v>
      </c>
      <c r="G72" s="134"/>
      <c r="H72" s="134">
        <f t="shared" ref="H72:M72" ca="1" si="33">H71*H69</f>
        <v>0</v>
      </c>
      <c r="I72" s="134">
        <f t="shared" ca="1" si="33"/>
        <v>0</v>
      </c>
      <c r="J72" s="134">
        <f t="shared" ca="1" si="33"/>
        <v>0</v>
      </c>
      <c r="K72" s="134">
        <f t="shared" ca="1" si="33"/>
        <v>0</v>
      </c>
      <c r="L72" s="134">
        <f t="shared" ca="1" si="33"/>
        <v>0</v>
      </c>
      <c r="M72" s="134">
        <f t="shared" ca="1" si="33"/>
        <v>0</v>
      </c>
      <c r="O72" s="42">
        <f t="shared" ref="O72:O135" si="34">IF(NOT(ISBLANK(C72)), 1, 0)</f>
        <v>1</v>
      </c>
      <c r="P72" s="24">
        <v>1</v>
      </c>
    </row>
    <row r="73" spans="1:16" s="73" customFormat="1" ht="11.25" customHeight="1">
      <c r="C73" s="376" t="s">
        <v>1698</v>
      </c>
      <c r="D73" s="377"/>
      <c r="E73" s="376"/>
      <c r="F73" s="378"/>
      <c r="G73" s="144"/>
      <c r="H73" s="144">
        <f t="shared" ref="H73:M73" ca="1" si="35">SUM(H71:H72)</f>
        <v>1278.226743738649</v>
      </c>
      <c r="I73" s="144">
        <f t="shared" ca="1" si="35"/>
        <v>1562.1187544339082</v>
      </c>
      <c r="J73" s="144">
        <f t="shared" ca="1" si="35"/>
        <v>1917.7398223858147</v>
      </c>
      <c r="K73" s="144">
        <f t="shared" ca="1" si="35"/>
        <v>2383.9369385812006</v>
      </c>
      <c r="L73" s="144">
        <f t="shared" ca="1" si="35"/>
        <v>2980.545632368242</v>
      </c>
      <c r="M73" s="144">
        <f t="shared" ca="1" si="35"/>
        <v>3750.6959718718617</v>
      </c>
      <c r="O73" s="42">
        <f t="shared" si="34"/>
        <v>1</v>
      </c>
      <c r="P73" s="24">
        <v>1</v>
      </c>
    </row>
    <row r="74" spans="1:16" s="220" customFormat="1" ht="11.25" customHeight="1">
      <c r="C74" s="79" t="s">
        <v>1699</v>
      </c>
      <c r="D74" s="281"/>
      <c r="F74" s="280"/>
      <c r="G74" s="280"/>
      <c r="H74" s="312"/>
      <c r="I74" s="312">
        <f ca="1">IFERROR(I73/H73-1,0)</f>
        <v>0.2220983186949379</v>
      </c>
      <c r="J74" s="312">
        <f t="shared" ref="J74:M74" ca="1" si="36">IFERROR(J73/I73-1,0)</f>
        <v>0.22765303018257343</v>
      </c>
      <c r="K74" s="312">
        <f t="shared" ca="1" si="36"/>
        <v>0.24309716612934551</v>
      </c>
      <c r="L74" s="312">
        <f t="shared" ca="1" si="36"/>
        <v>0.25026194448839445</v>
      </c>
      <c r="M74" s="312">
        <f t="shared" ca="1" si="36"/>
        <v>0.2583924000826936</v>
      </c>
      <c r="O74" s="42">
        <f t="shared" si="34"/>
        <v>1</v>
      </c>
      <c r="P74" s="24">
        <v>1</v>
      </c>
    </row>
    <row r="75" spans="1:16" s="73" customFormat="1" ht="11.25" customHeight="1">
      <c r="C75" s="3"/>
      <c r="D75" s="135"/>
      <c r="F75" s="134"/>
      <c r="G75" s="134"/>
      <c r="H75" s="134"/>
      <c r="I75" s="134"/>
      <c r="J75" s="134"/>
      <c r="K75" s="134"/>
      <c r="L75" s="134"/>
      <c r="M75" s="134"/>
      <c r="O75" s="42">
        <f t="shared" si="34"/>
        <v>0</v>
      </c>
      <c r="P75" s="24">
        <v>0</v>
      </c>
    </row>
    <row r="76" spans="1:16" s="73" customFormat="1" ht="11.25" customHeight="1">
      <c r="C76" s="23" t="s">
        <v>1854</v>
      </c>
      <c r="D76" s="135"/>
      <c r="F76" s="134"/>
      <c r="G76" s="134"/>
      <c r="H76" s="134"/>
      <c r="I76" s="134"/>
      <c r="J76" s="134"/>
      <c r="K76" s="134"/>
      <c r="L76" s="134"/>
      <c r="M76" s="134"/>
      <c r="O76" s="42">
        <f t="shared" si="34"/>
        <v>1</v>
      </c>
      <c r="P76" s="24">
        <v>1</v>
      </c>
    </row>
    <row r="77" spans="1:16" s="73" customFormat="1" ht="11.25" customHeight="1">
      <c r="C77" s="73" t="s">
        <v>1855</v>
      </c>
      <c r="D77" s="135"/>
      <c r="F77" s="374">
        <v>1</v>
      </c>
      <c r="G77" s="371"/>
      <c r="H77" s="371"/>
      <c r="I77" s="371"/>
      <c r="J77" s="371"/>
      <c r="K77" s="371"/>
      <c r="L77" s="371"/>
      <c r="M77" s="371"/>
      <c r="O77" s="42">
        <f t="shared" si="34"/>
        <v>1</v>
      </c>
      <c r="P77" s="24">
        <v>1</v>
      </c>
    </row>
    <row r="78" spans="1:16" s="73" customFormat="1" ht="11.25" customHeight="1">
      <c r="C78" s="73" t="s">
        <v>1856</v>
      </c>
      <c r="D78" s="135"/>
      <c r="F78" s="1197">
        <v>2</v>
      </c>
      <c r="G78" s="371"/>
      <c r="H78" s="371"/>
      <c r="I78" s="371"/>
      <c r="J78" s="371"/>
      <c r="K78" s="371"/>
      <c r="L78" s="371"/>
      <c r="M78" s="371"/>
      <c r="O78" s="42">
        <f t="shared" si="34"/>
        <v>1</v>
      </c>
      <c r="P78" s="24">
        <v>1</v>
      </c>
    </row>
    <row r="79" spans="1:16" s="73" customFormat="1" ht="11.25" customHeight="1">
      <c r="C79" s="212" t="s">
        <v>1857</v>
      </c>
      <c r="D79" s="305"/>
      <c r="E79" s="212" t="s">
        <v>1851</v>
      </c>
      <c r="F79" s="370">
        <f ca="1">'LBO - Assumptions'!E25</f>
        <v>0</v>
      </c>
      <c r="G79" s="373"/>
      <c r="H79" s="373">
        <f t="shared" ref="H79:M79" ca="1" si="37">OFFSET(H76,$F$79,0)</f>
        <v>0</v>
      </c>
      <c r="I79" s="373">
        <f t="shared" ca="1" si="37"/>
        <v>0</v>
      </c>
      <c r="J79" s="373">
        <f t="shared" ca="1" si="37"/>
        <v>0</v>
      </c>
      <c r="K79" s="373">
        <f t="shared" ca="1" si="37"/>
        <v>0</v>
      </c>
      <c r="L79" s="373">
        <f t="shared" ca="1" si="37"/>
        <v>0</v>
      </c>
      <c r="M79" s="373">
        <f t="shared" ca="1" si="37"/>
        <v>0</v>
      </c>
      <c r="O79" s="42">
        <f t="shared" si="34"/>
        <v>1</v>
      </c>
      <c r="P79" s="24">
        <v>1</v>
      </c>
    </row>
    <row r="80" spans="1:16" s="73" customFormat="1" ht="11.25" customHeight="1">
      <c r="C80" s="3"/>
      <c r="D80" s="135"/>
      <c r="F80" s="134"/>
      <c r="G80" s="134"/>
      <c r="H80" s="134"/>
      <c r="I80" s="134"/>
      <c r="J80" s="134"/>
      <c r="K80" s="134"/>
      <c r="L80" s="134"/>
      <c r="M80" s="134"/>
      <c r="O80" s="42">
        <f t="shared" si="34"/>
        <v>0</v>
      </c>
      <c r="P80" s="24">
        <v>0</v>
      </c>
    </row>
    <row r="81" spans="1:16" s="73" customFormat="1" ht="11.25" customHeight="1">
      <c r="A81" s="3"/>
      <c r="C81" s="3" t="s">
        <v>1858</v>
      </c>
      <c r="D81" s="135"/>
      <c r="G81" s="221"/>
      <c r="H81" s="221">
        <f>'DCF - Financials'!L57</f>
        <v>8.164094704851893E-2</v>
      </c>
      <c r="I81" s="221">
        <f>'DCF - Financials'!M57</f>
        <v>3.9803296998862939E-2</v>
      </c>
      <c r="J81" s="221">
        <f>'DCF - Financials'!N57</f>
        <v>5.0556017409659093E-2</v>
      </c>
      <c r="K81" s="221">
        <f>'DCF - Financials'!O57</f>
        <v>6.8936419938587776E-2</v>
      </c>
      <c r="L81" s="221">
        <f>'DCF - Financials'!P57</f>
        <v>8.2094897780047915E-2</v>
      </c>
      <c r="M81" s="221">
        <f>'DCF - Financials'!Q57</f>
        <v>6.825507547913344E-2</v>
      </c>
      <c r="O81" s="42">
        <f t="shared" si="34"/>
        <v>1</v>
      </c>
      <c r="P81" s="24">
        <v>1</v>
      </c>
    </row>
    <row r="82" spans="1:16" s="73" customFormat="1" ht="11.25" customHeight="1">
      <c r="C82" s="3" t="s">
        <v>1859</v>
      </c>
      <c r="D82" s="135"/>
      <c r="E82" s="266" t="s">
        <v>1853</v>
      </c>
      <c r="F82" s="390">
        <f ca="1">AVERAGE(H82:M82)</f>
        <v>0</v>
      </c>
      <c r="G82" s="124"/>
      <c r="H82" s="124">
        <f t="shared" ref="H82:M82" ca="1" si="38">H79</f>
        <v>0</v>
      </c>
      <c r="I82" s="124">
        <f t="shared" ca="1" si="38"/>
        <v>0</v>
      </c>
      <c r="J82" s="124">
        <f t="shared" ca="1" si="38"/>
        <v>0</v>
      </c>
      <c r="K82" s="124">
        <f t="shared" ca="1" si="38"/>
        <v>0</v>
      </c>
      <c r="L82" s="124">
        <f t="shared" ca="1" si="38"/>
        <v>0</v>
      </c>
      <c r="M82" s="124">
        <f t="shared" ca="1" si="38"/>
        <v>0</v>
      </c>
      <c r="O82" s="42">
        <f t="shared" si="34"/>
        <v>1</v>
      </c>
      <c r="P82" s="24">
        <v>1</v>
      </c>
    </row>
    <row r="83" spans="1:16" s="73" customFormat="1" ht="11.25" customHeight="1">
      <c r="C83" s="376" t="s">
        <v>1860</v>
      </c>
      <c r="D83" s="377"/>
      <c r="E83" s="376"/>
      <c r="F83" s="144"/>
      <c r="G83" s="379"/>
      <c r="H83" s="379">
        <f t="shared" ref="H83:M83" ca="1" si="39">SUM(H81:H82)</f>
        <v>8.164094704851893E-2</v>
      </c>
      <c r="I83" s="379">
        <f t="shared" ca="1" si="39"/>
        <v>3.9803296998862939E-2</v>
      </c>
      <c r="J83" s="379">
        <f t="shared" ca="1" si="39"/>
        <v>5.0556017409659093E-2</v>
      </c>
      <c r="K83" s="379">
        <f t="shared" ca="1" si="39"/>
        <v>6.8936419938587776E-2</v>
      </c>
      <c r="L83" s="379">
        <f t="shared" ca="1" si="39"/>
        <v>8.2094897780047915E-2</v>
      </c>
      <c r="M83" s="379">
        <f t="shared" ca="1" si="39"/>
        <v>6.825507547913344E-2</v>
      </c>
      <c r="O83" s="42">
        <f t="shared" si="34"/>
        <v>1</v>
      </c>
      <c r="P83" s="24">
        <v>1</v>
      </c>
    </row>
    <row r="84" spans="1:16" s="73" customFormat="1" ht="11.25" customHeight="1">
      <c r="C84" s="3"/>
      <c r="D84" s="135"/>
      <c r="F84" s="311"/>
      <c r="G84" s="310"/>
      <c r="H84" s="310"/>
      <c r="I84" s="310"/>
      <c r="J84" s="310"/>
      <c r="K84" s="310"/>
      <c r="L84" s="310"/>
      <c r="M84" s="310"/>
      <c r="O84" s="42">
        <f t="shared" si="34"/>
        <v>0</v>
      </c>
      <c r="P84" s="24">
        <v>0</v>
      </c>
    </row>
    <row r="85" spans="1:16" s="73" customFormat="1" ht="11.25" customHeight="1">
      <c r="A85" s="3"/>
      <c r="C85" s="3" t="s">
        <v>1700</v>
      </c>
      <c r="D85" s="135"/>
      <c r="F85" s="311"/>
      <c r="G85" s="134"/>
      <c r="H85" s="134">
        <f>'DCF - Financials'!L56</f>
        <v>104.35564190156782</v>
      </c>
      <c r="I85" s="134">
        <f>'DCF - Financials'!M56</f>
        <v>62.177476730226687</v>
      </c>
      <c r="J85" s="134">
        <f>'DCF - Financials'!N56</f>
        <v>96.95328784773379</v>
      </c>
      <c r="K85" s="134">
        <f>'DCF - Financials'!O56</f>
        <v>164.34007790514497</v>
      </c>
      <c r="L85" s="134">
        <f>'DCF - Financials'!P56</f>
        <v>244.68758901803909</v>
      </c>
      <c r="M85" s="134">
        <f>'DCF - Financials'!Q56</f>
        <v>256.00403665939569</v>
      </c>
      <c r="O85" s="42">
        <f t="shared" si="34"/>
        <v>1</v>
      </c>
      <c r="P85" s="24">
        <v>1</v>
      </c>
    </row>
    <row r="86" spans="1:16" s="73" customFormat="1" ht="11.25" customHeight="1">
      <c r="C86" s="3" t="s">
        <v>1861</v>
      </c>
      <c r="D86" s="135"/>
      <c r="F86" s="311"/>
      <c r="G86" s="134"/>
      <c r="H86" s="134">
        <f t="shared" ref="H86:M86" ca="1" si="40">H72*H81</f>
        <v>0</v>
      </c>
      <c r="I86" s="134">
        <f t="shared" ca="1" si="40"/>
        <v>0</v>
      </c>
      <c r="J86" s="134">
        <f t="shared" ca="1" si="40"/>
        <v>0</v>
      </c>
      <c r="K86" s="134">
        <f t="shared" ca="1" si="40"/>
        <v>0</v>
      </c>
      <c r="L86" s="134">
        <f t="shared" ca="1" si="40"/>
        <v>0</v>
      </c>
      <c r="M86" s="134">
        <f t="shared" ca="1" si="40"/>
        <v>0</v>
      </c>
      <c r="O86" s="42">
        <f t="shared" si="34"/>
        <v>1</v>
      </c>
      <c r="P86" s="24">
        <v>1</v>
      </c>
    </row>
    <row r="87" spans="1:16" s="73" customFormat="1" ht="11.25" customHeight="1">
      <c r="C87" s="3" t="s">
        <v>1862</v>
      </c>
      <c r="D87" s="135"/>
      <c r="E87" s="135"/>
      <c r="F87" s="135"/>
      <c r="G87" s="134"/>
      <c r="H87" s="134">
        <f t="shared" ref="H87:M87" ca="1" si="41">H88-H85-H86</f>
        <v>0</v>
      </c>
      <c r="I87" s="134">
        <f t="shared" ca="1" si="41"/>
        <v>0</v>
      </c>
      <c r="J87" s="134">
        <f t="shared" ca="1" si="41"/>
        <v>0</v>
      </c>
      <c r="K87" s="134">
        <f t="shared" ca="1" si="41"/>
        <v>0</v>
      </c>
      <c r="L87" s="134">
        <f t="shared" ca="1" si="41"/>
        <v>0</v>
      </c>
      <c r="M87" s="134">
        <f t="shared" ca="1" si="41"/>
        <v>0</v>
      </c>
      <c r="O87" s="42">
        <f t="shared" si="34"/>
        <v>1</v>
      </c>
      <c r="P87" s="24">
        <v>1</v>
      </c>
    </row>
    <row r="88" spans="1:16" s="161" customFormat="1" ht="11.25" customHeight="1">
      <c r="C88" s="376" t="s">
        <v>1702</v>
      </c>
      <c r="D88" s="377"/>
      <c r="E88" s="376"/>
      <c r="F88" s="376"/>
      <c r="G88" s="144"/>
      <c r="H88" s="144">
        <f t="shared" ref="H88:M88" ca="1" si="42">H73*H83</f>
        <v>104.35564190156782</v>
      </c>
      <c r="I88" s="144">
        <f t="shared" ca="1" si="42"/>
        <v>62.177476730226687</v>
      </c>
      <c r="J88" s="144">
        <f t="shared" ca="1" si="42"/>
        <v>96.95328784773379</v>
      </c>
      <c r="K88" s="144">
        <f t="shared" ca="1" si="42"/>
        <v>164.34007790514497</v>
      </c>
      <c r="L88" s="144">
        <f t="shared" ca="1" si="42"/>
        <v>244.68758901803909</v>
      </c>
      <c r="M88" s="144">
        <f t="shared" ca="1" si="42"/>
        <v>256.00403665939569</v>
      </c>
      <c r="O88" s="42">
        <f t="shared" si="34"/>
        <v>1</v>
      </c>
      <c r="P88" s="24">
        <v>1</v>
      </c>
    </row>
    <row r="89" spans="1:16" s="161" customFormat="1" ht="11.25" customHeight="1">
      <c r="C89" s="73" t="s">
        <v>1863</v>
      </c>
      <c r="D89" s="304"/>
      <c r="F89" s="309"/>
      <c r="G89" s="134"/>
      <c r="H89" s="134">
        <f t="shared" ref="H89:M89" ca="1" si="43">SUM(H86:H87)</f>
        <v>0</v>
      </c>
      <c r="I89" s="134">
        <f t="shared" ca="1" si="43"/>
        <v>0</v>
      </c>
      <c r="J89" s="134">
        <f t="shared" ca="1" si="43"/>
        <v>0</v>
      </c>
      <c r="K89" s="134">
        <f t="shared" ca="1" si="43"/>
        <v>0</v>
      </c>
      <c r="L89" s="134">
        <f t="shared" ca="1" si="43"/>
        <v>0</v>
      </c>
      <c r="M89" s="134">
        <f t="shared" ca="1" si="43"/>
        <v>0</v>
      </c>
      <c r="O89" s="42">
        <f t="shared" si="34"/>
        <v>1</v>
      </c>
      <c r="P89" s="24">
        <v>1</v>
      </c>
    </row>
    <row r="90" spans="1:16" s="161" customFormat="1" ht="11.25" customHeight="1">
      <c r="D90" s="304"/>
      <c r="F90" s="309"/>
      <c r="G90" s="159"/>
      <c r="H90" s="159"/>
      <c r="I90" s="159"/>
      <c r="J90" s="159"/>
      <c r="K90" s="159"/>
      <c r="L90" s="159"/>
      <c r="M90" s="159"/>
      <c r="O90" s="42">
        <f t="shared" si="34"/>
        <v>0</v>
      </c>
      <c r="P90" s="24">
        <v>0</v>
      </c>
    </row>
    <row r="91" spans="1:16" ht="11.25" customHeight="1">
      <c r="E91" s="299"/>
      <c r="F91" s="298"/>
      <c r="G91" s="297"/>
      <c r="H91" s="297"/>
      <c r="I91" s="297"/>
      <c r="J91" s="297"/>
      <c r="K91" s="297"/>
      <c r="L91" s="297"/>
      <c r="M91" s="297"/>
      <c r="O91" s="42">
        <f t="shared" si="34"/>
        <v>0</v>
      </c>
      <c r="P91" s="24">
        <v>0</v>
      </c>
    </row>
    <row r="92" spans="1:16" s="73" customFormat="1" ht="12.75" customHeight="1">
      <c r="C92" s="807" t="s">
        <v>1864</v>
      </c>
      <c r="D92" s="808"/>
      <c r="E92" s="808"/>
      <c r="F92" s="808"/>
      <c r="G92" s="808"/>
      <c r="H92" s="808"/>
      <c r="I92" s="808"/>
      <c r="J92" s="808"/>
      <c r="K92" s="808"/>
      <c r="L92" s="808"/>
      <c r="M92" s="808"/>
      <c r="O92" s="42">
        <f t="shared" si="34"/>
        <v>1</v>
      </c>
      <c r="P92" s="24">
        <v>1</v>
      </c>
    </row>
    <row r="93" spans="1:16" ht="13.5" customHeight="1">
      <c r="A93" s="115"/>
      <c r="B93" s="115"/>
      <c r="C93" s="115"/>
      <c r="D93" s="286"/>
      <c r="E93" s="115"/>
      <c r="F93" s="19"/>
      <c r="G93" s="38"/>
      <c r="H93" s="1089" t="s">
        <v>1676</v>
      </c>
      <c r="I93" s="1089"/>
      <c r="J93" s="1089"/>
      <c r="K93" s="1089"/>
      <c r="L93" s="1089"/>
      <c r="M93" s="1089"/>
      <c r="O93" s="42">
        <f t="shared" si="34"/>
        <v>0</v>
      </c>
      <c r="P93" s="24">
        <v>0</v>
      </c>
    </row>
    <row r="94" spans="1:16" ht="13.8" thickBot="1">
      <c r="A94" s="3"/>
      <c r="B94" s="3"/>
      <c r="C94" s="207"/>
      <c r="D94" s="277"/>
      <c r="E94" s="207"/>
      <c r="F94" s="207"/>
      <c r="G94" s="85">
        <f>'LBO - Outputs'!J49</f>
        <v>2023</v>
      </c>
      <c r="H94" s="207">
        <f>'LBO - Outputs'!K49</f>
        <v>2024</v>
      </c>
      <c r="I94" s="207">
        <f>'LBO - Outputs'!L49</f>
        <v>2025</v>
      </c>
      <c r="J94" s="207">
        <f>'LBO - Outputs'!M49</f>
        <v>2026</v>
      </c>
      <c r="K94" s="207">
        <f>'LBO - Outputs'!N49</f>
        <v>2027</v>
      </c>
      <c r="L94" s="207">
        <f>'LBO - Outputs'!O49</f>
        <v>2028</v>
      </c>
      <c r="M94" s="207">
        <f>'LBO - Outputs'!P49</f>
        <v>2029</v>
      </c>
      <c r="O94" s="42">
        <f t="shared" si="34"/>
        <v>0</v>
      </c>
      <c r="P94" s="24">
        <v>0</v>
      </c>
    </row>
    <row r="95" spans="1:16" ht="11.25" customHeight="1">
      <c r="C95" s="161" t="str">
        <f>'LBO - Assumptions'!C50</f>
        <v>Junior Debt</v>
      </c>
      <c r="D95" s="135"/>
      <c r="E95" s="73"/>
      <c r="F95" s="73"/>
      <c r="G95" s="285"/>
      <c r="H95" s="285"/>
      <c r="I95" s="285"/>
      <c r="J95" s="285"/>
      <c r="K95" s="285"/>
      <c r="L95" s="285"/>
      <c r="M95" s="285"/>
      <c r="N95" s="95"/>
      <c r="O95" s="42">
        <f t="shared" si="34"/>
        <v>1</v>
      </c>
      <c r="P95" s="24">
        <v>1</v>
      </c>
    </row>
    <row r="96" spans="1:16" ht="11.25" customHeight="1">
      <c r="C96" s="1140" t="s">
        <v>1865</v>
      </c>
      <c r="D96" s="1100"/>
      <c r="E96" s="1141" t="str">
        <f>'LBO - Assumptions'!C50</f>
        <v>Junior Debt</v>
      </c>
      <c r="F96" s="1103"/>
      <c r="G96" s="1103"/>
      <c r="H96" s="1103">
        <f ca="1">G98</f>
        <v>0</v>
      </c>
      <c r="I96" s="1103">
        <f ca="1">H98</f>
        <v>0</v>
      </c>
      <c r="J96" s="1103">
        <f ca="1">I98</f>
        <v>0</v>
      </c>
      <c r="K96" s="1103">
        <f ca="1">J98</f>
        <v>0</v>
      </c>
      <c r="L96" s="1103">
        <f t="shared" ref="L96:M96" ca="1" si="44">K98</f>
        <v>0</v>
      </c>
      <c r="M96" s="1103">
        <f t="shared" ca="1" si="44"/>
        <v>0</v>
      </c>
      <c r="N96" s="95"/>
      <c r="O96" s="42">
        <f t="shared" si="34"/>
        <v>1</v>
      </c>
      <c r="P96" s="24">
        <v>1</v>
      </c>
    </row>
    <row r="97" spans="3:16" ht="11.25" customHeight="1">
      <c r="C97" s="1091" t="s">
        <v>1866</v>
      </c>
      <c r="D97" s="1100"/>
      <c r="E97" s="1091"/>
      <c r="F97" s="1091"/>
      <c r="G97" s="95"/>
      <c r="H97" s="95">
        <f t="shared" ref="H97:M97" ca="1" si="45">VLOOKUP($E96,$C$145:$M$158,H$167,FALSE)</f>
        <v>0</v>
      </c>
      <c r="I97" s="95">
        <f t="shared" ca="1" si="45"/>
        <v>0</v>
      </c>
      <c r="J97" s="95">
        <f t="shared" ca="1" si="45"/>
        <v>0</v>
      </c>
      <c r="K97" s="95">
        <f t="shared" ca="1" si="45"/>
        <v>0</v>
      </c>
      <c r="L97" s="95">
        <f t="shared" ca="1" si="45"/>
        <v>0</v>
      </c>
      <c r="M97" s="95">
        <f t="shared" ca="1" si="45"/>
        <v>0</v>
      </c>
      <c r="N97" s="95"/>
      <c r="O97" s="42">
        <f t="shared" si="34"/>
        <v>1</v>
      </c>
      <c r="P97" s="24">
        <v>1</v>
      </c>
    </row>
    <row r="98" spans="3:16" ht="11.25" customHeight="1">
      <c r="C98" s="73" t="s">
        <v>1094</v>
      </c>
      <c r="D98" s="135"/>
      <c r="E98" s="73"/>
      <c r="F98" s="134"/>
      <c r="G98" s="100">
        <f ca="1">'LBO - Assumptions'!F50</f>
        <v>0</v>
      </c>
      <c r="H98" s="100">
        <f ca="1">H96+H97</f>
        <v>0</v>
      </c>
      <c r="I98" s="100">
        <f ca="1">I96+I97</f>
        <v>0</v>
      </c>
      <c r="J98" s="100">
        <f ca="1">J96+J97</f>
        <v>0</v>
      </c>
      <c r="K98" s="100">
        <f ca="1">K96+K97</f>
        <v>0</v>
      </c>
      <c r="L98" s="100">
        <f t="shared" ref="L98:M98" ca="1" si="46">L96+L97</f>
        <v>0</v>
      </c>
      <c r="M98" s="100">
        <f t="shared" ca="1" si="46"/>
        <v>0</v>
      </c>
      <c r="N98" s="95"/>
      <c r="O98" s="42">
        <f t="shared" si="34"/>
        <v>1</v>
      </c>
      <c r="P98" s="24">
        <v>1</v>
      </c>
    </row>
    <row r="99" spans="3:16" ht="11.25" customHeight="1">
      <c r="C99" s="73"/>
      <c r="D99" s="135"/>
      <c r="E99" s="73"/>
      <c r="F99" s="134"/>
      <c r="G99" s="95"/>
      <c r="H99" s="95"/>
      <c r="I99" s="95"/>
      <c r="J99" s="95"/>
      <c r="K99" s="95"/>
      <c r="L99" s="95"/>
      <c r="M99" s="95"/>
      <c r="N99" s="95"/>
      <c r="O99" s="42">
        <f t="shared" si="34"/>
        <v>0</v>
      </c>
      <c r="P99" s="24">
        <v>0</v>
      </c>
    </row>
    <row r="100" spans="3:16" ht="11.25" customHeight="1">
      <c r="C100" s="161" t="str">
        <f>'LBO - Assumptions'!C49</f>
        <v>Senior Debt</v>
      </c>
      <c r="D100" s="135"/>
      <c r="E100" s="73"/>
      <c r="F100" s="73"/>
      <c r="G100" s="285"/>
      <c r="H100" s="285"/>
      <c r="I100" s="285"/>
      <c r="J100" s="285"/>
      <c r="K100" s="285"/>
      <c r="L100" s="285"/>
      <c r="M100" s="285"/>
      <c r="N100" s="95"/>
      <c r="O100" s="42">
        <f t="shared" si="34"/>
        <v>1</v>
      </c>
      <c r="P100" s="24">
        <v>1</v>
      </c>
    </row>
    <row r="101" spans="3:16" ht="11.25" customHeight="1">
      <c r="C101" s="1140" t="s">
        <v>1865</v>
      </c>
      <c r="D101" s="1100"/>
      <c r="E101" s="1141" t="str">
        <f>'LBO - Assumptions'!C49</f>
        <v>Senior Debt</v>
      </c>
      <c r="F101" s="1103"/>
      <c r="G101" s="1103"/>
      <c r="H101" s="1103">
        <f ca="1">G103</f>
        <v>0</v>
      </c>
      <c r="I101" s="1103">
        <f ca="1">H103</f>
        <v>0</v>
      </c>
      <c r="J101" s="1103">
        <f ca="1">I103</f>
        <v>0</v>
      </c>
      <c r="K101" s="1103">
        <f ca="1">J103</f>
        <v>0</v>
      </c>
      <c r="L101" s="1103">
        <f t="shared" ref="L101:M101" ca="1" si="47">K103</f>
        <v>0</v>
      </c>
      <c r="M101" s="1103">
        <f t="shared" ca="1" si="47"/>
        <v>0</v>
      </c>
      <c r="N101" s="95"/>
      <c r="O101" s="42">
        <f t="shared" si="34"/>
        <v>1</v>
      </c>
      <c r="P101" s="24">
        <v>1</v>
      </c>
    </row>
    <row r="102" spans="3:16" ht="11.25" customHeight="1">
      <c r="C102" s="1091" t="s">
        <v>1866</v>
      </c>
      <c r="D102" s="1100"/>
      <c r="E102" s="1091"/>
      <c r="F102" s="1091"/>
      <c r="G102" s="95"/>
      <c r="H102" s="95">
        <f ca="1">VLOOKUP($E101,$C$144:$M$158,H$167,FALSE)</f>
        <v>0</v>
      </c>
      <c r="I102" s="95">
        <f t="shared" ref="I102:M102" ca="1" si="48">VLOOKUP($E101,$C$144:$M$158,I$167,FALSE)</f>
        <v>0</v>
      </c>
      <c r="J102" s="95">
        <f t="shared" ca="1" si="48"/>
        <v>0</v>
      </c>
      <c r="K102" s="95">
        <f t="shared" ca="1" si="48"/>
        <v>0</v>
      </c>
      <c r="L102" s="95">
        <f t="shared" ca="1" si="48"/>
        <v>0</v>
      </c>
      <c r="M102" s="95">
        <f t="shared" ca="1" si="48"/>
        <v>0</v>
      </c>
      <c r="N102" s="95"/>
      <c r="O102" s="42">
        <f t="shared" si="34"/>
        <v>1</v>
      </c>
      <c r="P102" s="24">
        <v>1</v>
      </c>
    </row>
    <row r="103" spans="3:16" ht="11.25" customHeight="1">
      <c r="C103" s="73" t="s">
        <v>1094</v>
      </c>
      <c r="D103" s="135"/>
      <c r="E103" s="73"/>
      <c r="F103" s="134"/>
      <c r="G103" s="100">
        <f ca="1">'LBO - Assumptions'!F49</f>
        <v>0</v>
      </c>
      <c r="H103" s="100">
        <f ca="1">H101+H102</f>
        <v>0</v>
      </c>
      <c r="I103" s="100">
        <f ca="1">I101+I102</f>
        <v>0</v>
      </c>
      <c r="J103" s="100">
        <f ca="1">J101+J102</f>
        <v>0</v>
      </c>
      <c r="K103" s="100">
        <f ca="1">K101+K102</f>
        <v>0</v>
      </c>
      <c r="L103" s="100">
        <f t="shared" ref="L103:M103" ca="1" si="49">L101+L102</f>
        <v>0</v>
      </c>
      <c r="M103" s="100">
        <f t="shared" ca="1" si="49"/>
        <v>0</v>
      </c>
      <c r="N103" s="95"/>
      <c r="O103" s="42">
        <f t="shared" si="34"/>
        <v>1</v>
      </c>
      <c r="P103" s="24">
        <v>1</v>
      </c>
    </row>
    <row r="104" spans="3:16" ht="11.25" customHeight="1">
      <c r="C104" s="73"/>
      <c r="D104" s="135"/>
      <c r="E104" s="73"/>
      <c r="F104" s="134"/>
      <c r="G104" s="95"/>
      <c r="H104" s="95"/>
      <c r="I104" s="95"/>
      <c r="J104" s="95"/>
      <c r="K104" s="95"/>
      <c r="L104" s="95"/>
      <c r="M104" s="95"/>
      <c r="N104" s="95"/>
      <c r="O104" s="42">
        <f t="shared" si="34"/>
        <v>0</v>
      </c>
      <c r="P104" s="24">
        <v>0</v>
      </c>
    </row>
    <row r="105" spans="3:16" ht="11.25" customHeight="1">
      <c r="C105" s="161" t="s">
        <v>1668</v>
      </c>
      <c r="D105" s="135"/>
      <c r="E105" s="73"/>
      <c r="F105" s="73"/>
      <c r="G105" s="285"/>
      <c r="H105" s="285"/>
      <c r="I105" s="285"/>
      <c r="J105" s="285"/>
      <c r="K105" s="285"/>
      <c r="L105" s="285"/>
      <c r="M105" s="285"/>
      <c r="N105" s="3"/>
      <c r="O105" s="42">
        <f t="shared" si="34"/>
        <v>1</v>
      </c>
      <c r="P105" s="24">
        <v>1</v>
      </c>
    </row>
    <row r="106" spans="3:16" ht="11.25" customHeight="1">
      <c r="C106" s="1140" t="s">
        <v>1865</v>
      </c>
      <c r="D106" s="1100"/>
      <c r="E106" s="1141" t="str">
        <f>'LBO - Assumptions'!C51</f>
        <v>Revolver</v>
      </c>
      <c r="F106" s="1103"/>
      <c r="G106" s="1103"/>
      <c r="H106" s="1103">
        <f ca="1">G108</f>
        <v>0</v>
      </c>
      <c r="I106" s="1103">
        <f ca="1">H108</f>
        <v>0</v>
      </c>
      <c r="J106" s="1103">
        <f ca="1">I108</f>
        <v>0</v>
      </c>
      <c r="K106" s="1103">
        <f ca="1">J108</f>
        <v>0</v>
      </c>
      <c r="L106" s="1103">
        <f t="shared" ref="L106:M106" ca="1" si="50">K108</f>
        <v>0</v>
      </c>
      <c r="M106" s="1103">
        <f t="shared" ca="1" si="50"/>
        <v>0</v>
      </c>
      <c r="N106" s="95"/>
      <c r="O106" s="42">
        <f t="shared" si="34"/>
        <v>1</v>
      </c>
      <c r="P106" s="24">
        <v>1</v>
      </c>
    </row>
    <row r="107" spans="3:16" ht="11.25" customHeight="1">
      <c r="C107" s="1091" t="s">
        <v>1866</v>
      </c>
      <c r="D107" s="1100"/>
      <c r="E107" s="1091"/>
      <c r="F107" s="1091"/>
      <c r="G107" s="95"/>
      <c r="H107" s="95">
        <f ca="1">VLOOKUP($E106,$C$144:$M$158,H$167,FALSE)</f>
        <v>0</v>
      </c>
      <c r="I107" s="95">
        <f t="shared" ref="I107:M107" ca="1" si="51">VLOOKUP($E106,$C$144:$M$158,I$167,FALSE)</f>
        <v>0</v>
      </c>
      <c r="J107" s="95">
        <f t="shared" ca="1" si="51"/>
        <v>0</v>
      </c>
      <c r="K107" s="95">
        <f t="shared" ca="1" si="51"/>
        <v>0</v>
      </c>
      <c r="L107" s="95">
        <f t="shared" ca="1" si="51"/>
        <v>0</v>
      </c>
      <c r="M107" s="95">
        <f t="shared" ca="1" si="51"/>
        <v>0</v>
      </c>
      <c r="N107" s="134"/>
      <c r="O107" s="42">
        <f t="shared" si="34"/>
        <v>1</v>
      </c>
      <c r="P107" s="24">
        <v>1</v>
      </c>
    </row>
    <row r="108" spans="3:16" ht="11.25" customHeight="1">
      <c r="C108" s="73" t="s">
        <v>1094</v>
      </c>
      <c r="D108" s="135"/>
      <c r="E108" s="73"/>
      <c r="F108" s="134"/>
      <c r="G108" s="100">
        <f ca="1">'LBO - Assumptions'!F51</f>
        <v>0</v>
      </c>
      <c r="H108" s="100">
        <f ca="1">H106+H107</f>
        <v>0</v>
      </c>
      <c r="I108" s="100">
        <f ca="1">I106+I107</f>
        <v>0</v>
      </c>
      <c r="J108" s="100">
        <f ca="1">J106+J107</f>
        <v>0</v>
      </c>
      <c r="K108" s="100">
        <f ca="1">K106+K107</f>
        <v>0</v>
      </c>
      <c r="L108" s="100">
        <f t="shared" ref="L108:M108" ca="1" si="52">L106+L107</f>
        <v>0</v>
      </c>
      <c r="M108" s="100">
        <f t="shared" ca="1" si="52"/>
        <v>0</v>
      </c>
      <c r="N108" s="134"/>
      <c r="O108" s="42">
        <f t="shared" si="34"/>
        <v>1</v>
      </c>
      <c r="P108" s="24">
        <v>1</v>
      </c>
    </row>
    <row r="109" spans="3:16" ht="11.25" customHeight="1">
      <c r="C109" s="73"/>
      <c r="D109" s="135"/>
      <c r="E109" s="73"/>
      <c r="F109" s="134"/>
      <c r="G109" s="95"/>
      <c r="H109" s="95"/>
      <c r="I109" s="95"/>
      <c r="J109" s="95"/>
      <c r="K109" s="95"/>
      <c r="L109" s="95"/>
      <c r="M109" s="95"/>
      <c r="N109" s="134"/>
      <c r="O109" s="42">
        <f t="shared" si="34"/>
        <v>0</v>
      </c>
      <c r="P109" s="24">
        <v>0</v>
      </c>
    </row>
    <row r="110" spans="3:16" ht="11.25" customHeight="1">
      <c r="C110" s="161" t="str">
        <f>'LBO - Assumptions'!C52</f>
        <v>Assumed Debt</v>
      </c>
      <c r="D110" s="135"/>
      <c r="E110" s="73"/>
      <c r="F110" s="134"/>
      <c r="G110" s="95"/>
      <c r="H110" s="95"/>
      <c r="I110" s="95"/>
      <c r="J110" s="95"/>
      <c r="K110" s="95"/>
      <c r="L110" s="95"/>
      <c r="M110" s="95"/>
      <c r="N110" s="134"/>
      <c r="O110" s="42">
        <f t="shared" si="34"/>
        <v>1</v>
      </c>
      <c r="P110" s="24">
        <v>1</v>
      </c>
    </row>
    <row r="111" spans="3:16" s="2" customFormat="1" ht="11.25" customHeight="1">
      <c r="C111" s="73" t="s">
        <v>1865</v>
      </c>
      <c r="D111" s="81"/>
      <c r="E111" s="161" t="str">
        <f>'LBO - Assumptions'!C52</f>
        <v>Assumed Debt</v>
      </c>
      <c r="F111" s="95"/>
      <c r="G111" s="95"/>
      <c r="H111" s="95">
        <f ca="1">G113</f>
        <v>0</v>
      </c>
      <c r="I111" s="95">
        <f ca="1">H113</f>
        <v>0</v>
      </c>
      <c r="J111" s="95">
        <f ca="1">I113</f>
        <v>0</v>
      </c>
      <c r="K111" s="95">
        <f ca="1">J113</f>
        <v>0</v>
      </c>
      <c r="L111" s="95">
        <f t="shared" ref="L111:M111" ca="1" si="53">K113</f>
        <v>0</v>
      </c>
      <c r="M111" s="95">
        <f t="shared" ca="1" si="53"/>
        <v>0</v>
      </c>
      <c r="N111" s="95"/>
      <c r="O111" s="42">
        <f t="shared" si="34"/>
        <v>1</v>
      </c>
      <c r="P111" s="24">
        <v>1</v>
      </c>
    </row>
    <row r="112" spans="3:16" ht="11.25" customHeight="1">
      <c r="C112" s="15" t="s">
        <v>1866</v>
      </c>
      <c r="D112" s="147"/>
      <c r="E112" s="15"/>
      <c r="F112" s="15"/>
      <c r="G112" s="284"/>
      <c r="H112" s="284">
        <f ca="1">VLOOKUP($E111,$C$144:$M$158,H$167,FALSE)</f>
        <v>0</v>
      </c>
      <c r="I112" s="284">
        <f t="shared" ref="I112:M112" ca="1" si="54">VLOOKUP($E111,$C$144:$M$158,I$167,FALSE)</f>
        <v>0</v>
      </c>
      <c r="J112" s="284">
        <f t="shared" ca="1" si="54"/>
        <v>0</v>
      </c>
      <c r="K112" s="284">
        <f t="shared" ca="1" si="54"/>
        <v>0</v>
      </c>
      <c r="L112" s="284">
        <f t="shared" ca="1" si="54"/>
        <v>0</v>
      </c>
      <c r="M112" s="284">
        <f t="shared" ca="1" si="54"/>
        <v>0</v>
      </c>
      <c r="N112" s="95"/>
      <c r="O112" s="42">
        <f t="shared" si="34"/>
        <v>1</v>
      </c>
      <c r="P112" s="24">
        <v>1</v>
      </c>
    </row>
    <row r="113" spans="1:16" ht="11.25" customHeight="1">
      <c r="C113" s="73" t="s">
        <v>1094</v>
      </c>
      <c r="D113" s="135"/>
      <c r="E113" s="73"/>
      <c r="F113" s="134"/>
      <c r="G113" s="100">
        <f ca="1">'LBO - Assumptions'!F52</f>
        <v>0</v>
      </c>
      <c r="H113" s="100">
        <f ca="1">H111+H112</f>
        <v>0</v>
      </c>
      <c r="I113" s="100">
        <f ca="1">I111+I112</f>
        <v>0</v>
      </c>
      <c r="J113" s="100">
        <f ca="1">J111+J112</f>
        <v>0</v>
      </c>
      <c r="K113" s="100">
        <f ca="1">K111+K112</f>
        <v>0</v>
      </c>
      <c r="L113" s="100">
        <f t="shared" ref="L113:M113" ca="1" si="55">L111+L112</f>
        <v>0</v>
      </c>
      <c r="M113" s="100">
        <f t="shared" ca="1" si="55"/>
        <v>0</v>
      </c>
      <c r="N113" s="95"/>
      <c r="O113" s="42">
        <f t="shared" si="34"/>
        <v>1</v>
      </c>
      <c r="P113" s="24">
        <v>1</v>
      </c>
    </row>
    <row r="114" spans="1:16" ht="11.25" customHeight="1">
      <c r="G114" s="38"/>
      <c r="H114" s="1089" t="s">
        <v>1676</v>
      </c>
      <c r="I114" s="1089"/>
      <c r="J114" s="1089"/>
      <c r="K114" s="1089"/>
      <c r="L114" s="1089"/>
      <c r="M114" s="1089"/>
      <c r="O114" s="42">
        <f t="shared" si="34"/>
        <v>0</v>
      </c>
      <c r="P114" s="24">
        <v>0</v>
      </c>
    </row>
    <row r="115" spans="1:16" ht="13.8" thickBot="1">
      <c r="A115" s="3"/>
      <c r="B115" s="3"/>
      <c r="C115" s="207" t="s">
        <v>1867</v>
      </c>
      <c r="D115" s="277"/>
      <c r="E115" s="207"/>
      <c r="F115" s="207"/>
      <c r="G115" s="85">
        <f>G$94</f>
        <v>2023</v>
      </c>
      <c r="H115" s="207">
        <f>H$94</f>
        <v>2024</v>
      </c>
      <c r="I115" s="207">
        <f>I$94</f>
        <v>2025</v>
      </c>
      <c r="J115" s="207">
        <f>J$94</f>
        <v>2026</v>
      </c>
      <c r="K115" s="207">
        <f>K$94</f>
        <v>2027</v>
      </c>
      <c r="L115" s="207">
        <f t="shared" ref="L115:M115" si="56">L$94</f>
        <v>2028</v>
      </c>
      <c r="M115" s="207">
        <f t="shared" si="56"/>
        <v>2029</v>
      </c>
      <c r="O115" s="42">
        <f t="shared" si="34"/>
        <v>1</v>
      </c>
      <c r="P115" s="24">
        <v>1</v>
      </c>
    </row>
    <row r="116" spans="1:16" ht="11.25" customHeight="1">
      <c r="C116" s="73" t="str">
        <f>'LBO - Assumptions'!C49</f>
        <v>Senior Debt</v>
      </c>
      <c r="D116" s="276">
        <f>VLOOKUP(C116,'LBO - Assumptions'!$C$49:$E$52,2,FALSE)</f>
        <v>1</v>
      </c>
      <c r="E116" s="73"/>
      <c r="F116" s="134"/>
      <c r="G116" s="134"/>
      <c r="H116" s="134">
        <f t="shared" ref="H116:M116" ca="1" si="57">H103</f>
        <v>0</v>
      </c>
      <c r="I116" s="134">
        <f t="shared" ca="1" si="57"/>
        <v>0</v>
      </c>
      <c r="J116" s="134">
        <f t="shared" ca="1" si="57"/>
        <v>0</v>
      </c>
      <c r="K116" s="134">
        <f t="shared" ca="1" si="57"/>
        <v>0</v>
      </c>
      <c r="L116" s="134">
        <f t="shared" ca="1" si="57"/>
        <v>0</v>
      </c>
      <c r="M116" s="134">
        <f t="shared" ca="1" si="57"/>
        <v>0</v>
      </c>
      <c r="N116" s="134"/>
      <c r="O116" s="42">
        <f t="shared" si="34"/>
        <v>1</v>
      </c>
      <c r="P116" s="24">
        <v>1</v>
      </c>
    </row>
    <row r="117" spans="1:16" ht="11.25" customHeight="1">
      <c r="C117" s="73" t="str">
        <f>'LBO - Assumptions'!C50</f>
        <v>Junior Debt</v>
      </c>
      <c r="D117" s="276">
        <f>VLOOKUP(C117,'LBO - Assumptions'!$C$49:$E$52,2,FALSE)</f>
        <v>0</v>
      </c>
      <c r="E117" s="73"/>
      <c r="F117" s="134"/>
      <c r="G117" s="134"/>
      <c r="H117" s="134">
        <f t="shared" ref="H117:M117" ca="1" si="58">H98</f>
        <v>0</v>
      </c>
      <c r="I117" s="134">
        <f t="shared" ca="1" si="58"/>
        <v>0</v>
      </c>
      <c r="J117" s="134">
        <f t="shared" ca="1" si="58"/>
        <v>0</v>
      </c>
      <c r="K117" s="134">
        <f t="shared" ca="1" si="58"/>
        <v>0</v>
      </c>
      <c r="L117" s="134">
        <f t="shared" ca="1" si="58"/>
        <v>0</v>
      </c>
      <c r="M117" s="134">
        <f t="shared" ca="1" si="58"/>
        <v>0</v>
      </c>
      <c r="N117" s="134"/>
      <c r="O117" s="42">
        <f t="shared" si="34"/>
        <v>1</v>
      </c>
      <c r="P117" s="24">
        <v>1</v>
      </c>
    </row>
    <row r="118" spans="1:16" ht="11.25" customHeight="1">
      <c r="C118" s="73" t="str">
        <f>'LBO - Assumptions'!C51</f>
        <v>Revolver</v>
      </c>
      <c r="D118" s="276">
        <f>VLOOKUP(C118,'LBO - Assumptions'!$C$49:$E$52,2,FALSE)</f>
        <v>1</v>
      </c>
      <c r="E118" s="73"/>
      <c r="F118" s="134"/>
      <c r="G118" s="134"/>
      <c r="H118" s="134">
        <f ca="1">H108</f>
        <v>0</v>
      </c>
      <c r="I118" s="134">
        <f ca="1">I108</f>
        <v>0</v>
      </c>
      <c r="J118" s="134">
        <f ca="1">J108</f>
        <v>0</v>
      </c>
      <c r="K118" s="134">
        <f ca="1">K108</f>
        <v>0</v>
      </c>
      <c r="L118" s="134">
        <f t="shared" ref="L118:M118" ca="1" si="59">L108</f>
        <v>0</v>
      </c>
      <c r="M118" s="134">
        <f t="shared" ca="1" si="59"/>
        <v>0</v>
      </c>
      <c r="N118" s="134"/>
      <c r="O118" s="42">
        <f t="shared" si="34"/>
        <v>1</v>
      </c>
      <c r="P118" s="24">
        <v>1</v>
      </c>
    </row>
    <row r="119" spans="1:16" ht="11.25" customHeight="1">
      <c r="C119" s="1140" t="str">
        <f>'LBO - Assumptions'!C52</f>
        <v>Assumed Debt</v>
      </c>
      <c r="D119" s="1142">
        <f>VLOOKUP(C119,'LBO - Assumptions'!$C$49:$E$52,2,FALSE)</f>
        <v>0</v>
      </c>
      <c r="E119" s="1140"/>
      <c r="F119" s="1143"/>
      <c r="G119" s="1143"/>
      <c r="H119" s="1143">
        <f ca="1">H113</f>
        <v>0</v>
      </c>
      <c r="I119" s="1143">
        <f ca="1">I113</f>
        <v>0</v>
      </c>
      <c r="J119" s="1143">
        <f ca="1">J113</f>
        <v>0</v>
      </c>
      <c r="K119" s="1143">
        <f ca="1">K113</f>
        <v>0</v>
      </c>
      <c r="L119" s="1143">
        <f t="shared" ref="L119:M119" ca="1" si="60">L113</f>
        <v>0</v>
      </c>
      <c r="M119" s="1143">
        <f t="shared" ca="1" si="60"/>
        <v>0</v>
      </c>
      <c r="N119" s="134"/>
      <c r="O119" s="42">
        <f t="shared" si="34"/>
        <v>1</v>
      </c>
      <c r="P119" s="24">
        <v>1</v>
      </c>
    </row>
    <row r="120" spans="1:16" ht="11.25" customHeight="1">
      <c r="C120" s="127" t="s">
        <v>1666</v>
      </c>
      <c r="D120" s="283"/>
      <c r="E120" s="127"/>
      <c r="F120" s="127"/>
      <c r="G120" s="154"/>
      <c r="H120" s="154">
        <f ca="1">SUMIF($D$116:$D$119,1,H116:H119)</f>
        <v>0</v>
      </c>
      <c r="I120" s="154">
        <f ca="1">SUMIF($D$116:$D$119,1,I116:I119)</f>
        <v>0</v>
      </c>
      <c r="J120" s="154">
        <f ca="1">SUMIF($D$116:$D$119,1,J116:J119)</f>
        <v>0</v>
      </c>
      <c r="K120" s="154">
        <f ca="1">SUMIF($D$116:$D$119,1,K116:K119)</f>
        <v>0</v>
      </c>
      <c r="L120" s="154">
        <f t="shared" ref="L120:M120" ca="1" si="61">SUMIF($D$116:$D$119,1,L116:L119)</f>
        <v>0</v>
      </c>
      <c r="M120" s="154">
        <f t="shared" ca="1" si="61"/>
        <v>0</v>
      </c>
      <c r="N120" s="134"/>
      <c r="O120" s="42">
        <f t="shared" si="34"/>
        <v>1</v>
      </c>
      <c r="P120" s="24">
        <v>1</v>
      </c>
    </row>
    <row r="121" spans="1:16" ht="11.25" customHeight="1">
      <c r="C121" s="73" t="s">
        <v>1868</v>
      </c>
      <c r="D121" s="276"/>
      <c r="E121" s="73"/>
      <c r="F121" s="73"/>
      <c r="G121" s="134"/>
      <c r="H121" s="134">
        <f ca="1">SUMIF($D$116:$D$119,0,H116:H119)</f>
        <v>0</v>
      </c>
      <c r="I121" s="134">
        <f ca="1">SUMIF($D$116:$D$119,0,I116:I119)</f>
        <v>0</v>
      </c>
      <c r="J121" s="134">
        <f ca="1">SUMIF($D$116:$D$119,0,J116:J119)</f>
        <v>0</v>
      </c>
      <c r="K121" s="134">
        <f ca="1">SUMIF($D$116:$D$119,0,K116:K119)</f>
        <v>0</v>
      </c>
      <c r="L121" s="134">
        <f t="shared" ref="L121:M121" ca="1" si="62">SUMIF($D$116:$D$119,0,L116:L119)</f>
        <v>0</v>
      </c>
      <c r="M121" s="134">
        <f t="shared" ca="1" si="62"/>
        <v>0</v>
      </c>
      <c r="N121" s="134"/>
      <c r="O121" s="42">
        <f t="shared" si="34"/>
        <v>1</v>
      </c>
      <c r="P121" s="24">
        <v>1</v>
      </c>
    </row>
    <row r="122" spans="1:16" s="160" customFormat="1" ht="11.25" customHeight="1">
      <c r="C122" s="274" t="s">
        <v>1774</v>
      </c>
      <c r="D122" s="282"/>
      <c r="E122" s="274"/>
      <c r="F122" s="274"/>
      <c r="G122" s="273"/>
      <c r="H122" s="273">
        <f ca="1">SUM(H120:H121)</f>
        <v>0</v>
      </c>
      <c r="I122" s="273">
        <f ca="1">SUM(I120:I121)</f>
        <v>0</v>
      </c>
      <c r="J122" s="273">
        <f ca="1">SUM(J120:J121)</f>
        <v>0</v>
      </c>
      <c r="K122" s="273">
        <f ca="1">SUM(K120:K121)</f>
        <v>0</v>
      </c>
      <c r="L122" s="273">
        <f t="shared" ref="L122:M122" ca="1" si="63">SUM(L120:L121)</f>
        <v>0</v>
      </c>
      <c r="M122" s="273">
        <f t="shared" ca="1" si="63"/>
        <v>0</v>
      </c>
      <c r="N122" s="159"/>
      <c r="O122" s="42">
        <f t="shared" si="34"/>
        <v>1</v>
      </c>
      <c r="P122" s="24">
        <v>1</v>
      </c>
    </row>
    <row r="123" spans="1:16" ht="11.25" customHeight="1">
      <c r="C123" s="73"/>
      <c r="D123" s="281" t="s">
        <v>1869</v>
      </c>
      <c r="F123" s="280"/>
      <c r="G123" s="279"/>
      <c r="H123" s="279" t="str">
        <f t="shared" ref="H123:M123" ca="1" si="64">IF(H122-(H113+H108+H103+H98)=0,"OK",H122-(H113+H108+H103+H98))</f>
        <v>OK</v>
      </c>
      <c r="I123" s="279" t="str">
        <f t="shared" ca="1" si="64"/>
        <v>OK</v>
      </c>
      <c r="J123" s="279" t="str">
        <f t="shared" ca="1" si="64"/>
        <v>OK</v>
      </c>
      <c r="K123" s="279" t="str">
        <f t="shared" ca="1" si="64"/>
        <v>OK</v>
      </c>
      <c r="L123" s="279" t="str">
        <f t="shared" ca="1" si="64"/>
        <v>OK</v>
      </c>
      <c r="M123" s="279" t="str">
        <f t="shared" ca="1" si="64"/>
        <v>OK</v>
      </c>
      <c r="N123" s="134"/>
      <c r="O123" s="42">
        <f t="shared" si="34"/>
        <v>0</v>
      </c>
      <c r="P123" s="24">
        <v>0</v>
      </c>
    </row>
    <row r="124" spans="1:16" ht="11.25" customHeight="1">
      <c r="C124" s="73"/>
      <c r="D124" s="281"/>
      <c r="E124" s="220"/>
      <c r="F124" s="280"/>
      <c r="G124" s="279"/>
      <c r="H124" s="279"/>
      <c r="I124" s="279"/>
      <c r="J124" s="279"/>
      <c r="K124" s="279"/>
      <c r="L124" s="279"/>
      <c r="M124" s="279"/>
      <c r="N124" s="134"/>
      <c r="O124" s="42">
        <f t="shared" si="34"/>
        <v>0</v>
      </c>
      <c r="P124" s="24">
        <v>0</v>
      </c>
    </row>
    <row r="125" spans="1:16" ht="13.8" thickBot="1">
      <c r="A125" s="3"/>
      <c r="B125" s="3"/>
      <c r="C125" s="207" t="s">
        <v>1753</v>
      </c>
      <c r="D125" s="277"/>
      <c r="E125" s="207"/>
      <c r="F125" s="207"/>
      <c r="G125" s="207"/>
      <c r="H125" s="207">
        <f>H$94</f>
        <v>2024</v>
      </c>
      <c r="I125" s="207">
        <f>I$94</f>
        <v>2025</v>
      </c>
      <c r="J125" s="207">
        <f>J$94</f>
        <v>2026</v>
      </c>
      <c r="K125" s="207">
        <f>K$94</f>
        <v>2027</v>
      </c>
      <c r="L125" s="207">
        <f t="shared" ref="L125:M125" si="65">L$94</f>
        <v>2028</v>
      </c>
      <c r="M125" s="207">
        <f t="shared" si="65"/>
        <v>2029</v>
      </c>
      <c r="O125" s="42">
        <f t="shared" si="34"/>
        <v>1</v>
      </c>
      <c r="P125" s="24">
        <v>1</v>
      </c>
    </row>
    <row r="126" spans="1:16" s="73" customFormat="1" ht="11.25" customHeight="1">
      <c r="C126" s="73" t="str">
        <f>E101</f>
        <v>Senior Debt</v>
      </c>
      <c r="D126" s="384">
        <f ca="1">'LBO - Assumptions'!E18</f>
        <v>0</v>
      </c>
      <c r="F126" s="134"/>
      <c r="G126" s="278"/>
      <c r="H126" s="278">
        <f ca="1">$D$126</f>
        <v>0</v>
      </c>
      <c r="I126" s="278">
        <f t="shared" ref="I126:K129" ca="1" si="66">H126</f>
        <v>0</v>
      </c>
      <c r="J126" s="278">
        <f t="shared" ca="1" si="66"/>
        <v>0</v>
      </c>
      <c r="K126" s="278">
        <f t="shared" ca="1" si="66"/>
        <v>0</v>
      </c>
      <c r="L126" s="278">
        <f t="shared" ref="L126:M126" ca="1" si="67">K126</f>
        <v>0</v>
      </c>
      <c r="M126" s="278">
        <f t="shared" ca="1" si="67"/>
        <v>0</v>
      </c>
      <c r="N126" s="134"/>
      <c r="O126" s="42">
        <f t="shared" si="34"/>
        <v>1</v>
      </c>
      <c r="P126" s="24">
        <v>1</v>
      </c>
    </row>
    <row r="127" spans="1:16" s="73" customFormat="1" ht="11.25" customHeight="1">
      <c r="C127" s="73" t="str">
        <f>E96</f>
        <v>Junior Debt</v>
      </c>
      <c r="D127" s="384">
        <f ca="1">'LBO - Assumptions'!E19</f>
        <v>0</v>
      </c>
      <c r="F127" s="134"/>
      <c r="G127" s="278"/>
      <c r="H127" s="278">
        <f ca="1">$D$127</f>
        <v>0</v>
      </c>
      <c r="I127" s="278">
        <f t="shared" ca="1" si="66"/>
        <v>0</v>
      </c>
      <c r="J127" s="278">
        <f t="shared" ca="1" si="66"/>
        <v>0</v>
      </c>
      <c r="K127" s="278">
        <f t="shared" ca="1" si="66"/>
        <v>0</v>
      </c>
      <c r="L127" s="278">
        <f t="shared" ref="L127:M127" ca="1" si="68">K127</f>
        <v>0</v>
      </c>
      <c r="M127" s="278">
        <f t="shared" ca="1" si="68"/>
        <v>0</v>
      </c>
      <c r="N127" s="134"/>
      <c r="O127" s="42">
        <f t="shared" si="34"/>
        <v>1</v>
      </c>
      <c r="P127" s="24">
        <v>1</v>
      </c>
    </row>
    <row r="128" spans="1:16" s="73" customFormat="1" ht="11.25" customHeight="1">
      <c r="C128" s="73" t="str">
        <f>E106</f>
        <v>Revolver</v>
      </c>
      <c r="D128" s="384">
        <f ca="1">'LBO - Assumptions'!E20</f>
        <v>0</v>
      </c>
      <c r="F128" s="134"/>
      <c r="G128" s="278"/>
      <c r="H128" s="278">
        <f ca="1">$D$128</f>
        <v>0</v>
      </c>
      <c r="I128" s="278">
        <f t="shared" ca="1" si="66"/>
        <v>0</v>
      </c>
      <c r="J128" s="278">
        <f t="shared" ca="1" si="66"/>
        <v>0</v>
      </c>
      <c r="K128" s="278">
        <f t="shared" ca="1" si="66"/>
        <v>0</v>
      </c>
      <c r="L128" s="278">
        <f t="shared" ref="L128:M128" ca="1" si="69">K128</f>
        <v>0</v>
      </c>
      <c r="M128" s="278">
        <f t="shared" ca="1" si="69"/>
        <v>0</v>
      </c>
      <c r="N128" s="134"/>
      <c r="O128" s="42">
        <f t="shared" si="34"/>
        <v>1</v>
      </c>
      <c r="P128" s="24">
        <v>1</v>
      </c>
    </row>
    <row r="129" spans="1:98" s="73" customFormat="1" ht="11.25" customHeight="1">
      <c r="C129" s="73" t="str">
        <f>E111</f>
        <v>Assumed Debt</v>
      </c>
      <c r="D129" s="384">
        <f ca="1">'LBO - Assumptions'!E21</f>
        <v>0</v>
      </c>
      <c r="G129" s="278"/>
      <c r="H129" s="278">
        <f ca="1">$D$129</f>
        <v>0</v>
      </c>
      <c r="I129" s="278">
        <f t="shared" ca="1" si="66"/>
        <v>0</v>
      </c>
      <c r="J129" s="278">
        <f t="shared" ca="1" si="66"/>
        <v>0</v>
      </c>
      <c r="K129" s="278">
        <f t="shared" ca="1" si="66"/>
        <v>0</v>
      </c>
      <c r="L129" s="278">
        <f t="shared" ref="L129:M129" ca="1" si="70">K129</f>
        <v>0</v>
      </c>
      <c r="M129" s="278">
        <f t="shared" ca="1" si="70"/>
        <v>0</v>
      </c>
      <c r="N129" s="134"/>
      <c r="O129" s="42">
        <f t="shared" si="34"/>
        <v>1</v>
      </c>
      <c r="P129" s="24">
        <v>1</v>
      </c>
    </row>
    <row r="130" spans="1:98" s="73" customFormat="1" ht="11.25" customHeight="1">
      <c r="D130" s="135"/>
      <c r="F130" s="134"/>
      <c r="G130" s="134"/>
      <c r="H130" s="134"/>
      <c r="I130" s="134"/>
      <c r="J130" s="134"/>
      <c r="K130" s="134"/>
      <c r="L130" s="134"/>
      <c r="M130" s="134"/>
      <c r="N130" s="134"/>
      <c r="O130" s="42">
        <f t="shared" si="34"/>
        <v>0</v>
      </c>
      <c r="P130" s="24">
        <v>0</v>
      </c>
    </row>
    <row r="131" spans="1:98" ht="13.8" thickBot="1">
      <c r="A131" s="3"/>
      <c r="B131" s="3"/>
      <c r="C131" s="207" t="s">
        <v>683</v>
      </c>
      <c r="D131" s="277"/>
      <c r="E131" s="207"/>
      <c r="F131" s="207"/>
      <c r="G131" s="207"/>
      <c r="H131" s="207"/>
      <c r="I131" s="207"/>
      <c r="J131" s="207"/>
      <c r="K131" s="207"/>
      <c r="L131" s="207"/>
      <c r="M131" s="207"/>
      <c r="O131" s="42">
        <f t="shared" si="34"/>
        <v>1</v>
      </c>
      <c r="P131" s="24">
        <v>1</v>
      </c>
    </row>
    <row r="132" spans="1:98" s="73" customFormat="1" ht="11.25" customHeight="1">
      <c r="C132" s="73" t="str">
        <f>C126</f>
        <v>Senior Debt</v>
      </c>
      <c r="D132" s="276">
        <f>VLOOKUP(C132,'LBO - Assumptions'!$C$49:$E$52,2,FALSE)</f>
        <v>1</v>
      </c>
      <c r="F132" s="134"/>
      <c r="G132" s="134"/>
      <c r="H132" s="134">
        <f t="shared" ref="H132:M132" ca="1" si="71">H126*(H101)</f>
        <v>0</v>
      </c>
      <c r="I132" s="134">
        <f t="shared" ca="1" si="71"/>
        <v>0</v>
      </c>
      <c r="J132" s="134">
        <f t="shared" ca="1" si="71"/>
        <v>0</v>
      </c>
      <c r="K132" s="134">
        <f t="shared" ca="1" si="71"/>
        <v>0</v>
      </c>
      <c r="L132" s="134">
        <f t="shared" ca="1" si="71"/>
        <v>0</v>
      </c>
      <c r="M132" s="134">
        <f t="shared" ca="1" si="71"/>
        <v>0</v>
      </c>
      <c r="O132" s="42">
        <f t="shared" si="34"/>
        <v>1</v>
      </c>
      <c r="P132" s="24">
        <v>1</v>
      </c>
    </row>
    <row r="133" spans="1:98" s="73" customFormat="1" ht="11.25" customHeight="1">
      <c r="C133" s="73" t="str">
        <f>C127</f>
        <v>Junior Debt</v>
      </c>
      <c r="D133" s="276">
        <f>VLOOKUP(C133,'LBO - Assumptions'!$C$49:$E$52,2,FALSE)</f>
        <v>0</v>
      </c>
      <c r="F133" s="134"/>
      <c r="G133" s="134"/>
      <c r="H133" s="134">
        <f t="shared" ref="H133:M133" ca="1" si="72">H127*(H96)</f>
        <v>0</v>
      </c>
      <c r="I133" s="134">
        <f t="shared" ca="1" si="72"/>
        <v>0</v>
      </c>
      <c r="J133" s="134">
        <f t="shared" ca="1" si="72"/>
        <v>0</v>
      </c>
      <c r="K133" s="134">
        <f t="shared" ca="1" si="72"/>
        <v>0</v>
      </c>
      <c r="L133" s="134">
        <f t="shared" ca="1" si="72"/>
        <v>0</v>
      </c>
      <c r="M133" s="134">
        <f t="shared" ca="1" si="72"/>
        <v>0</v>
      </c>
      <c r="O133" s="42">
        <f t="shared" si="34"/>
        <v>1</v>
      </c>
      <c r="P133" s="24">
        <v>1</v>
      </c>
    </row>
    <row r="134" spans="1:98" s="73" customFormat="1" ht="11.25" customHeight="1">
      <c r="C134" s="73" t="str">
        <f>C128</f>
        <v>Revolver</v>
      </c>
      <c r="D134" s="276">
        <f>VLOOKUP(C134,'LBO - Assumptions'!$C$49:$E$52,2,FALSE)</f>
        <v>1</v>
      </c>
      <c r="F134" s="134"/>
      <c r="G134" s="134"/>
      <c r="H134" s="134">
        <f ca="1">H128*(H106)</f>
        <v>0</v>
      </c>
      <c r="I134" s="134">
        <f ca="1">I128*(I106)</f>
        <v>0</v>
      </c>
      <c r="J134" s="134">
        <f ca="1">J128*(J106)</f>
        <v>0</v>
      </c>
      <c r="K134" s="134">
        <f ca="1">K128*(K106)</f>
        <v>0</v>
      </c>
      <c r="L134" s="134">
        <f t="shared" ref="L134:M134" ca="1" si="73">L128*(L106)</f>
        <v>0</v>
      </c>
      <c r="M134" s="134">
        <f t="shared" ca="1" si="73"/>
        <v>0</v>
      </c>
      <c r="O134" s="42">
        <f t="shared" si="34"/>
        <v>1</v>
      </c>
      <c r="P134" s="24">
        <v>1</v>
      </c>
    </row>
    <row r="135" spans="1:98" s="73" customFormat="1" ht="11.25" customHeight="1">
      <c r="C135" s="73" t="str">
        <f>C129</f>
        <v>Assumed Debt</v>
      </c>
      <c r="D135" s="276">
        <f>VLOOKUP(C135,'LBO - Assumptions'!$C$49:$E$52,2,FALSE)</f>
        <v>0</v>
      </c>
      <c r="G135" s="134"/>
      <c r="H135" s="134">
        <f ca="1">(H111)*H129</f>
        <v>0</v>
      </c>
      <c r="I135" s="134">
        <f ca="1">(I111)*I129</f>
        <v>0</v>
      </c>
      <c r="J135" s="134">
        <f ca="1">(J111)*J129</f>
        <v>0</v>
      </c>
      <c r="K135" s="134">
        <f ca="1">(K111)*K129</f>
        <v>0</v>
      </c>
      <c r="L135" s="134">
        <f t="shared" ref="L135:M135" ca="1" si="74">(L111)*L129</f>
        <v>0</v>
      </c>
      <c r="M135" s="134">
        <f t="shared" ca="1" si="74"/>
        <v>0</v>
      </c>
      <c r="N135" s="134"/>
      <c r="O135" s="42">
        <f t="shared" si="34"/>
        <v>1</v>
      </c>
      <c r="P135" s="24">
        <v>1</v>
      </c>
    </row>
    <row r="136" spans="1:98" s="73" customFormat="1" ht="11.25" customHeight="1">
      <c r="C136" s="127" t="s">
        <v>1870</v>
      </c>
      <c r="D136" s="139"/>
      <c r="E136" s="127"/>
      <c r="F136" s="127"/>
      <c r="G136" s="154"/>
      <c r="H136" s="154">
        <f ca="1">SUMIF($D$132:$D$135,1,H132:H135)</f>
        <v>0</v>
      </c>
      <c r="I136" s="154">
        <f ca="1">SUMIF($D$132:$D$135,1,I132:I135)</f>
        <v>0</v>
      </c>
      <c r="J136" s="154">
        <f ca="1">SUMIF($D$132:$D$135,1,J132:J135)</f>
        <v>0</v>
      </c>
      <c r="K136" s="154">
        <f ca="1">SUMIF($D$132:$D$135,1,K132:K135)</f>
        <v>0</v>
      </c>
      <c r="L136" s="154">
        <f t="shared" ref="L136:M136" ca="1" si="75">SUMIF($D$132:$D$135,1,L132:L135)</f>
        <v>0</v>
      </c>
      <c r="M136" s="154">
        <f t="shared" ca="1" si="75"/>
        <v>0</v>
      </c>
      <c r="O136" s="42">
        <f t="shared" ref="O136:O167" si="76">IF(NOT(ISBLANK(C136)), 1, 0)</f>
        <v>1</v>
      </c>
      <c r="P136" s="24">
        <v>1</v>
      </c>
    </row>
    <row r="137" spans="1:98" s="73" customFormat="1" ht="11.25" customHeight="1">
      <c r="C137" s="73" t="s">
        <v>1871</v>
      </c>
      <c r="D137" s="135"/>
      <c r="G137" s="134"/>
      <c r="H137" s="134">
        <f ca="1">SUMIF($D$132:$D$135,0,H132:H135)</f>
        <v>0</v>
      </c>
      <c r="I137" s="134">
        <f ca="1">SUMIF($D$132:$D$135,0,I132:I135)</f>
        <v>0</v>
      </c>
      <c r="J137" s="134">
        <f ca="1">SUMIF($D$132:$D$135,0,J132:J135)</f>
        <v>0</v>
      </c>
      <c r="K137" s="134">
        <f ca="1">SUMIF($D$132:$D$135,0,K132:K135)</f>
        <v>0</v>
      </c>
      <c r="L137" s="134">
        <f t="shared" ref="L137:M137" ca="1" si="77">SUMIF($D$132:$D$135,0,L132:L135)</f>
        <v>0</v>
      </c>
      <c r="M137" s="134">
        <f t="shared" ca="1" si="77"/>
        <v>0</v>
      </c>
      <c r="O137" s="42">
        <f t="shared" si="76"/>
        <v>1</v>
      </c>
      <c r="P137" s="24">
        <v>1</v>
      </c>
    </row>
    <row r="138" spans="1:98" s="73" customFormat="1" ht="11.25" customHeight="1">
      <c r="C138" s="274" t="s">
        <v>1872</v>
      </c>
      <c r="D138" s="275"/>
      <c r="E138" s="274"/>
      <c r="F138" s="274"/>
      <c r="G138" s="273"/>
      <c r="H138" s="273">
        <f ca="1">SUM(H132:H135)</f>
        <v>0</v>
      </c>
      <c r="I138" s="273">
        <f ca="1">SUM(I132:I135)</f>
        <v>0</v>
      </c>
      <c r="J138" s="273">
        <f ca="1">SUM(J132:J135)</f>
        <v>0</v>
      </c>
      <c r="K138" s="273">
        <f ca="1">SUM(K132:K135)</f>
        <v>0</v>
      </c>
      <c r="L138" s="273">
        <f t="shared" ref="L138:M138" ca="1" si="78">SUM(L132:L135)</f>
        <v>0</v>
      </c>
      <c r="M138" s="273">
        <f t="shared" ca="1" si="78"/>
        <v>0</v>
      </c>
      <c r="O138" s="42">
        <f t="shared" si="76"/>
        <v>1</v>
      </c>
      <c r="P138" s="24">
        <v>1</v>
      </c>
    </row>
    <row r="139" spans="1:98" s="73" customFormat="1" ht="11.25" customHeight="1">
      <c r="D139" s="135"/>
      <c r="F139" s="134"/>
      <c r="O139" s="42">
        <f t="shared" si="76"/>
        <v>0</v>
      </c>
      <c r="P139" s="24">
        <v>0</v>
      </c>
    </row>
    <row r="140" spans="1:98" s="73" customFormat="1" ht="10.199999999999999">
      <c r="C140" s="1" t="s">
        <v>1873</v>
      </c>
      <c r="D140" s="135"/>
      <c r="F140" s="134"/>
      <c r="G140" s="134"/>
      <c r="H140" s="134"/>
      <c r="I140" s="134"/>
      <c r="J140" s="134"/>
      <c r="K140" s="134"/>
      <c r="L140" s="134"/>
      <c r="M140" s="134"/>
      <c r="O140" s="42">
        <f t="shared" si="76"/>
        <v>1</v>
      </c>
      <c r="P140" s="24">
        <v>1</v>
      </c>
    </row>
    <row r="141" spans="1:98" s="73" customFormat="1" ht="10.199999999999999">
      <c r="C141" s="1"/>
      <c r="D141" s="135"/>
      <c r="F141" s="134"/>
      <c r="G141" s="134"/>
      <c r="H141" s="134"/>
      <c r="I141" s="134"/>
      <c r="J141" s="134"/>
      <c r="K141" s="134"/>
      <c r="L141" s="134"/>
      <c r="M141" s="134"/>
      <c r="O141" s="42">
        <f t="shared" si="76"/>
        <v>0</v>
      </c>
      <c r="P141" s="24">
        <v>0</v>
      </c>
    </row>
    <row r="142" spans="1:98" s="73" customFormat="1" ht="12.75" customHeight="1">
      <c r="C142" s="807" t="s">
        <v>1874</v>
      </c>
      <c r="D142" s="808"/>
      <c r="E142" s="808"/>
      <c r="F142" s="808"/>
      <c r="G142" s="808"/>
      <c r="H142" s="808"/>
      <c r="I142" s="808"/>
      <c r="J142" s="808"/>
      <c r="K142" s="808"/>
      <c r="L142" s="808"/>
      <c r="M142" s="808"/>
      <c r="O142" s="42">
        <f t="shared" si="76"/>
        <v>1</v>
      </c>
      <c r="P142" s="24">
        <v>1</v>
      </c>
    </row>
    <row r="143" spans="1:98" s="3" customFormat="1" ht="11.25" customHeight="1">
      <c r="A143" s="115"/>
      <c r="B143" s="115"/>
      <c r="C143" s="296"/>
      <c r="D143" s="81"/>
      <c r="G143" s="38"/>
      <c r="H143" s="1089" t="s">
        <v>1676</v>
      </c>
      <c r="I143" s="1089"/>
      <c r="J143" s="1089"/>
      <c r="K143" s="1089"/>
      <c r="L143" s="1089"/>
      <c r="M143" s="1089"/>
      <c r="O143" s="42">
        <f t="shared" si="76"/>
        <v>0</v>
      </c>
      <c r="P143" s="24">
        <v>0</v>
      </c>
      <c r="Q143" s="223"/>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row>
    <row r="144" spans="1:98" ht="13.8" thickBot="1">
      <c r="A144" s="3"/>
      <c r="B144" s="3"/>
      <c r="C144" s="207"/>
      <c r="D144" s="277"/>
      <c r="E144" s="207"/>
      <c r="F144" s="207"/>
      <c r="G144" s="85">
        <f t="shared" ref="G144:M144" si="79">G94</f>
        <v>2023</v>
      </c>
      <c r="H144" s="207">
        <f t="shared" si="79"/>
        <v>2024</v>
      </c>
      <c r="I144" s="207">
        <f t="shared" si="79"/>
        <v>2025</v>
      </c>
      <c r="J144" s="207">
        <f t="shared" si="79"/>
        <v>2026</v>
      </c>
      <c r="K144" s="207">
        <f t="shared" si="79"/>
        <v>2027</v>
      </c>
      <c r="L144" s="207">
        <f t="shared" si="79"/>
        <v>2028</v>
      </c>
      <c r="M144" s="207">
        <f t="shared" si="79"/>
        <v>2029</v>
      </c>
      <c r="O144" s="42">
        <f t="shared" si="76"/>
        <v>0</v>
      </c>
      <c r="P144" s="24">
        <v>0</v>
      </c>
    </row>
    <row r="145" spans="1:20" s="73" customFormat="1" ht="11.25" customHeight="1">
      <c r="C145" s="127"/>
      <c r="D145" s="139"/>
      <c r="E145" s="288"/>
      <c r="F145" s="295" t="s">
        <v>1875</v>
      </c>
      <c r="G145" s="288"/>
      <c r="H145" s="127"/>
      <c r="I145" s="127"/>
      <c r="J145" s="127"/>
      <c r="K145" s="127"/>
      <c r="L145" s="127"/>
      <c r="M145" s="127"/>
      <c r="O145" s="42">
        <f t="shared" si="76"/>
        <v>0</v>
      </c>
      <c r="P145" s="24">
        <v>0</v>
      </c>
    </row>
    <row r="146" spans="1:20" s="73" customFormat="1" ht="11.25" customHeight="1">
      <c r="C146" s="212" t="s">
        <v>1876</v>
      </c>
      <c r="D146" s="139" t="s">
        <v>1877</v>
      </c>
      <c r="E146" s="127"/>
      <c r="F146" s="447"/>
      <c r="G146" s="154"/>
      <c r="H146" s="154">
        <f t="shared" ref="H146:M146" ca="1" si="80">H23</f>
        <v>46.777251804687147</v>
      </c>
      <c r="I146" s="154">
        <f t="shared" ca="1" si="80"/>
        <v>79.783848990355921</v>
      </c>
      <c r="J146" s="154">
        <f t="shared" ca="1" si="80"/>
        <v>150.57278524999799</v>
      </c>
      <c r="K146" s="154">
        <f t="shared" ca="1" si="80"/>
        <v>163.34817700231031</v>
      </c>
      <c r="L146" s="154">
        <f t="shared" ca="1" si="80"/>
        <v>259.8243747589288</v>
      </c>
      <c r="M146" s="154">
        <f t="shared" ca="1" si="80"/>
        <v>261.84652387532986</v>
      </c>
      <c r="O146" s="42">
        <f t="shared" si="76"/>
        <v>1</v>
      </c>
      <c r="P146" s="24">
        <v>1</v>
      </c>
    </row>
    <row r="147" spans="1:20" s="73" customFormat="1" ht="11.25" customHeight="1">
      <c r="C147" s="1141" t="str">
        <f>VLOOKUP(F147,$F$161:$G$164,2,FALSE)</f>
        <v>Junior Debt</v>
      </c>
      <c r="D147" s="1144" t="s">
        <v>1297</v>
      </c>
      <c r="E147" s="1140"/>
      <c r="F147" s="292">
        <f>'LBO - Assumptions'!F76</f>
        <v>1</v>
      </c>
      <c r="G147" s="1143"/>
      <c r="H147" s="1143">
        <f t="shared" ref="H147:M147" ca="1" si="81">-MAX(0,MIN(H146,VLOOKUP($C$147,$E$94:$M$114,H167-2,FALSE)))</f>
        <v>0</v>
      </c>
      <c r="I147" s="1143">
        <f t="shared" ca="1" si="81"/>
        <v>0</v>
      </c>
      <c r="J147" s="1143">
        <f t="shared" ca="1" si="81"/>
        <v>0</v>
      </c>
      <c r="K147" s="1143">
        <f t="shared" ca="1" si="81"/>
        <v>0</v>
      </c>
      <c r="L147" s="1143">
        <f t="shared" ca="1" si="81"/>
        <v>0</v>
      </c>
      <c r="M147" s="1143">
        <f t="shared" ca="1" si="81"/>
        <v>0</v>
      </c>
      <c r="O147" s="42">
        <f t="shared" si="76"/>
        <v>1</v>
      </c>
      <c r="P147" s="24">
        <v>1</v>
      </c>
    </row>
    <row r="148" spans="1:20" s="73" customFormat="1" ht="11.25" customHeight="1">
      <c r="C148" s="127"/>
      <c r="D148" s="127"/>
      <c r="E148" s="32"/>
      <c r="F148" s="450"/>
      <c r="G148" s="451"/>
      <c r="H148" s="127"/>
      <c r="I148" s="127"/>
      <c r="J148" s="127"/>
      <c r="K148" s="127"/>
      <c r="L148" s="127"/>
      <c r="M148" s="127"/>
      <c r="O148" s="42">
        <f t="shared" si="76"/>
        <v>0</v>
      </c>
      <c r="P148" s="24">
        <v>0</v>
      </c>
    </row>
    <row r="149" spans="1:20" s="73" customFormat="1" ht="11.25" customHeight="1">
      <c r="C149" s="212" t="s">
        <v>1878</v>
      </c>
      <c r="D149" s="139" t="s">
        <v>1877</v>
      </c>
      <c r="E149" s="127"/>
      <c r="F149" s="127"/>
      <c r="G149" s="154"/>
      <c r="H149" s="154">
        <f ca="1">H146+H147</f>
        <v>46.777251804687147</v>
      </c>
      <c r="I149" s="154">
        <f t="shared" ref="I149:M149" ca="1" si="82">I146+I147</f>
        <v>79.783848990355921</v>
      </c>
      <c r="J149" s="154">
        <f t="shared" ca="1" si="82"/>
        <v>150.57278524999799</v>
      </c>
      <c r="K149" s="154">
        <f t="shared" ca="1" si="82"/>
        <v>163.34817700231031</v>
      </c>
      <c r="L149" s="154">
        <f t="shared" ca="1" si="82"/>
        <v>259.8243747589288</v>
      </c>
      <c r="M149" s="154">
        <f t="shared" ca="1" si="82"/>
        <v>261.84652387532986</v>
      </c>
      <c r="O149" s="42">
        <f t="shared" si="76"/>
        <v>1</v>
      </c>
      <c r="P149" s="24">
        <v>1</v>
      </c>
    </row>
    <row r="150" spans="1:20" s="73" customFormat="1" ht="11.25" customHeight="1">
      <c r="C150" s="1141" t="str">
        <f>VLOOKUP(F150,$F$161:$G$164,2,FALSE)</f>
        <v>Senior Debt</v>
      </c>
      <c r="D150" s="1144" t="s">
        <v>1879</v>
      </c>
      <c r="E150" s="1140"/>
      <c r="F150" s="292">
        <f>'LBO - Assumptions'!F75</f>
        <v>2</v>
      </c>
      <c r="G150" s="1143"/>
      <c r="H150" s="1143">
        <f t="shared" ref="H150:M150" ca="1" si="83">-MAX(0,MIN(H149,VLOOKUP($C$150,$E$100:$M$114,H167-2,FALSE)))</f>
        <v>0</v>
      </c>
      <c r="I150" s="1143">
        <f t="shared" ca="1" si="83"/>
        <v>0</v>
      </c>
      <c r="J150" s="1143">
        <f t="shared" ca="1" si="83"/>
        <v>0</v>
      </c>
      <c r="K150" s="1143">
        <f t="shared" ca="1" si="83"/>
        <v>0</v>
      </c>
      <c r="L150" s="1143">
        <f t="shared" ca="1" si="83"/>
        <v>0</v>
      </c>
      <c r="M150" s="1143">
        <f t="shared" ca="1" si="83"/>
        <v>0</v>
      </c>
      <c r="O150" s="42">
        <f t="shared" si="76"/>
        <v>1</v>
      </c>
      <c r="P150" s="24">
        <v>1</v>
      </c>
    </row>
    <row r="151" spans="1:20">
      <c r="O151" s="42">
        <f t="shared" si="76"/>
        <v>0</v>
      </c>
      <c r="P151" s="24">
        <v>0</v>
      </c>
    </row>
    <row r="152" spans="1:20" s="73" customFormat="1" ht="11.25" customHeight="1">
      <c r="C152" s="212" t="s">
        <v>1880</v>
      </c>
      <c r="D152" s="139" t="s">
        <v>1877</v>
      </c>
      <c r="E152" s="127"/>
      <c r="F152" s="127"/>
      <c r="G152" s="154"/>
      <c r="H152" s="154">
        <f ca="1">H146+H147+H150</f>
        <v>46.777251804687147</v>
      </c>
      <c r="I152" s="154">
        <f t="shared" ref="I152:M152" ca="1" si="84">I146+I147+I150</f>
        <v>79.783848990355921</v>
      </c>
      <c r="J152" s="154">
        <f t="shared" ca="1" si="84"/>
        <v>150.57278524999799</v>
      </c>
      <c r="K152" s="154">
        <f t="shared" ca="1" si="84"/>
        <v>163.34817700231031</v>
      </c>
      <c r="L152" s="154">
        <f t="shared" ca="1" si="84"/>
        <v>259.8243747589288</v>
      </c>
      <c r="M152" s="154">
        <f t="shared" ca="1" si="84"/>
        <v>261.84652387532986</v>
      </c>
      <c r="O152" s="42">
        <f t="shared" si="76"/>
        <v>1</v>
      </c>
      <c r="P152" s="24">
        <v>1</v>
      </c>
    </row>
    <row r="153" spans="1:20" s="73" customFormat="1" ht="11.25" customHeight="1">
      <c r="C153" s="161" t="str">
        <f>VLOOKUP(F153,$F$161:$G$164,2,FALSE)</f>
        <v>Revolver</v>
      </c>
      <c r="D153" s="135" t="s">
        <v>1881</v>
      </c>
      <c r="F153" s="448">
        <f>'LBO - Assumptions'!F77</f>
        <v>3</v>
      </c>
      <c r="G153" s="134"/>
      <c r="H153" s="134">
        <f t="shared" ref="H153:M153" ca="1" si="85">-MAX(0,MIN(H152,VLOOKUP($C$153,$E$94:$M$114,H167-2,FALSE)))</f>
        <v>0</v>
      </c>
      <c r="I153" s="134">
        <f t="shared" ca="1" si="85"/>
        <v>0</v>
      </c>
      <c r="J153" s="134">
        <f t="shared" ca="1" si="85"/>
        <v>0</v>
      </c>
      <c r="K153" s="134">
        <f t="shared" ca="1" si="85"/>
        <v>0</v>
      </c>
      <c r="L153" s="134">
        <f t="shared" ca="1" si="85"/>
        <v>0</v>
      </c>
      <c r="M153" s="134">
        <f t="shared" ca="1" si="85"/>
        <v>0</v>
      </c>
      <c r="O153" s="42">
        <f t="shared" si="76"/>
        <v>1</v>
      </c>
      <c r="P153" s="24">
        <v>1</v>
      </c>
    </row>
    <row r="154" spans="1:20" s="73" customFormat="1" ht="11.25" customHeight="1">
      <c r="C154" s="81" t="s">
        <v>1882</v>
      </c>
      <c r="D154" s="81"/>
      <c r="E154" s="3"/>
      <c r="F154" s="449">
        <f ca="1">'LBO - Assumptions'!F51</f>
        <v>0</v>
      </c>
      <c r="O154" s="42">
        <f t="shared" si="76"/>
        <v>1</v>
      </c>
      <c r="P154" s="24">
        <v>1</v>
      </c>
    </row>
    <row r="155" spans="1:20" s="73" customFormat="1" ht="11.25" customHeight="1">
      <c r="C155" s="161"/>
      <c r="D155" s="135"/>
      <c r="F155" s="294"/>
      <c r="G155" s="134"/>
      <c r="H155" s="134"/>
      <c r="I155" s="134"/>
      <c r="J155" s="134"/>
      <c r="K155" s="134"/>
      <c r="L155" s="134"/>
      <c r="M155" s="134"/>
      <c r="O155" s="42">
        <f t="shared" si="76"/>
        <v>0</v>
      </c>
      <c r="P155" s="24">
        <v>0</v>
      </c>
    </row>
    <row r="156" spans="1:20" s="73" customFormat="1" ht="11.25" customHeight="1">
      <c r="C156" s="212" t="s">
        <v>1883</v>
      </c>
      <c r="D156" s="139" t="s">
        <v>1877</v>
      </c>
      <c r="E156" s="127"/>
      <c r="F156" s="447"/>
      <c r="G156" s="154"/>
      <c r="H156" s="154">
        <f ca="1">H150+H153+H147+H146</f>
        <v>46.777251804687147</v>
      </c>
      <c r="I156" s="154">
        <f t="shared" ref="I156:M156" ca="1" si="86">I150+I153+I147+I146</f>
        <v>79.783848990355921</v>
      </c>
      <c r="J156" s="154">
        <f t="shared" ca="1" si="86"/>
        <v>150.57278524999799</v>
      </c>
      <c r="K156" s="154">
        <f t="shared" ca="1" si="86"/>
        <v>163.34817700231031</v>
      </c>
      <c r="L156" s="154">
        <f t="shared" ca="1" si="86"/>
        <v>259.8243747589288</v>
      </c>
      <c r="M156" s="154">
        <f t="shared" ca="1" si="86"/>
        <v>261.84652387532986</v>
      </c>
      <c r="O156" s="42">
        <f t="shared" si="76"/>
        <v>1</v>
      </c>
      <c r="P156" s="24">
        <v>1</v>
      </c>
      <c r="T156" s="293"/>
    </row>
    <row r="157" spans="1:20" s="73" customFormat="1" ht="11.25" customHeight="1">
      <c r="C157" s="1141" t="str">
        <f>VLOOKUP(F157,$F$161:$G$164,2,FALSE)</f>
        <v>Assumed Debt</v>
      </c>
      <c r="D157" s="1144" t="s">
        <v>1297</v>
      </c>
      <c r="E157" s="1140"/>
      <c r="F157" s="292">
        <f>'LBO - Assumptions'!F78</f>
        <v>4</v>
      </c>
      <c r="G157" s="1143"/>
      <c r="H157" s="1143">
        <f t="shared" ref="H157:M157" ca="1" si="87">-MAX(0,MIN(H156,VLOOKUP($C$157,$E$94:$M$114,H167-2,FALSE)))</f>
        <v>0</v>
      </c>
      <c r="I157" s="1143">
        <f t="shared" ca="1" si="87"/>
        <v>0</v>
      </c>
      <c r="J157" s="1143">
        <f t="shared" ca="1" si="87"/>
        <v>0</v>
      </c>
      <c r="K157" s="1143">
        <f t="shared" ca="1" si="87"/>
        <v>0</v>
      </c>
      <c r="L157" s="1143">
        <f t="shared" ca="1" si="87"/>
        <v>0</v>
      </c>
      <c r="M157" s="1143">
        <f t="shared" ca="1" si="87"/>
        <v>0</v>
      </c>
      <c r="O157" s="42">
        <f t="shared" si="76"/>
        <v>1</v>
      </c>
      <c r="P157" s="24">
        <v>1</v>
      </c>
    </row>
    <row r="158" spans="1:20" s="73" customFormat="1" ht="11.25" customHeight="1">
      <c r="D158" s="135"/>
      <c r="O158" s="42">
        <f t="shared" si="76"/>
        <v>0</v>
      </c>
      <c r="P158" s="24">
        <v>0</v>
      </c>
    </row>
    <row r="159" spans="1:20" ht="13.8" thickBot="1">
      <c r="A159" s="3"/>
      <c r="B159" s="3"/>
      <c r="C159" s="207" t="s">
        <v>1884</v>
      </c>
      <c r="D159" s="277"/>
      <c r="E159" s="207"/>
      <c r="F159" s="207"/>
      <c r="G159" s="207"/>
      <c r="H159" s="207"/>
      <c r="I159" s="207"/>
      <c r="J159" s="207"/>
      <c r="K159" s="207"/>
      <c r="L159" s="207"/>
      <c r="M159" s="207"/>
      <c r="O159" s="42">
        <f t="shared" si="76"/>
        <v>1</v>
      </c>
      <c r="P159" s="24">
        <v>1</v>
      </c>
    </row>
    <row r="160" spans="1:20" s="73" customFormat="1" ht="11.25" customHeight="1">
      <c r="C160" s="289" t="s">
        <v>1885</v>
      </c>
      <c r="D160" s="291"/>
      <c r="E160" s="289"/>
      <c r="F160" s="290" t="s">
        <v>1886</v>
      </c>
      <c r="G160" s="289" t="s">
        <v>1887</v>
      </c>
      <c r="H160" s="288"/>
      <c r="I160" s="288"/>
      <c r="J160" s="288"/>
      <c r="K160" s="288"/>
      <c r="L160" s="288"/>
      <c r="M160" s="288"/>
      <c r="O160" s="42">
        <f t="shared" si="76"/>
        <v>1</v>
      </c>
      <c r="P160" s="24">
        <v>1</v>
      </c>
    </row>
    <row r="161" spans="1:98" s="73" customFormat="1" ht="11.25" customHeight="1">
      <c r="C161" s="73" t="str">
        <f>'LBO - Assumptions'!C75</f>
        <v>Senior Debt</v>
      </c>
      <c r="D161" s="135"/>
      <c r="F161" s="287">
        <f>VLOOKUP(C161,'LBO - Assumptions'!$C$75:$F$78,4,FALSE)</f>
        <v>2</v>
      </c>
      <c r="G161" s="73" t="str">
        <f>C161</f>
        <v>Senior Debt</v>
      </c>
      <c r="O161" s="42">
        <f t="shared" si="76"/>
        <v>1</v>
      </c>
      <c r="P161" s="24">
        <v>1</v>
      </c>
    </row>
    <row r="162" spans="1:98" s="73" customFormat="1" ht="11.25" customHeight="1">
      <c r="C162" s="73" t="str">
        <f>'LBO - Assumptions'!C76</f>
        <v>Junior Debt</v>
      </c>
      <c r="D162" s="135"/>
      <c r="F162" s="287">
        <f>VLOOKUP(C162,'LBO - Assumptions'!$C$75:$F$78,4,FALSE)</f>
        <v>1</v>
      </c>
      <c r="G162" s="73" t="str">
        <f>C162</f>
        <v>Junior Debt</v>
      </c>
      <c r="O162" s="42">
        <f t="shared" si="76"/>
        <v>1</v>
      </c>
      <c r="P162" s="24">
        <v>1</v>
      </c>
    </row>
    <row r="163" spans="1:98" s="73" customFormat="1" ht="11.25" customHeight="1">
      <c r="C163" s="73" t="str">
        <f>'LBO - Assumptions'!C77</f>
        <v>Revolver</v>
      </c>
      <c r="D163" s="135"/>
      <c r="F163" s="287">
        <f>VLOOKUP(C163,'LBO - Assumptions'!$C$75:$F$78,4,FALSE)</f>
        <v>3</v>
      </c>
      <c r="G163" s="73" t="str">
        <f>C163</f>
        <v>Revolver</v>
      </c>
      <c r="O163" s="42">
        <f t="shared" si="76"/>
        <v>1</v>
      </c>
      <c r="P163" s="24">
        <v>1</v>
      </c>
    </row>
    <row r="164" spans="1:98" s="73" customFormat="1" ht="11.25" customHeight="1">
      <c r="C164" s="73" t="str">
        <f>'LBO - Assumptions'!C78</f>
        <v>Assumed Debt</v>
      </c>
      <c r="D164" s="135"/>
      <c r="F164" s="1197">
        <f>VLOOKUP(C164,'LBO - Assumptions'!$C$75:$F$78,4,FALSE)</f>
        <v>4</v>
      </c>
      <c r="G164" s="73" t="str">
        <f>C164</f>
        <v>Assumed Debt</v>
      </c>
      <c r="O164" s="42">
        <f t="shared" si="76"/>
        <v>1</v>
      </c>
      <c r="P164" s="24">
        <v>1</v>
      </c>
    </row>
    <row r="165" spans="1:98" s="3" customFormat="1" ht="11.25" customHeight="1">
      <c r="A165" s="115"/>
      <c r="B165" s="115"/>
      <c r="D165" s="81"/>
      <c r="O165" s="42">
        <f t="shared" si="76"/>
        <v>0</v>
      </c>
      <c r="P165" s="24">
        <v>0</v>
      </c>
      <c r="Q165" s="16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row>
    <row r="166" spans="1:98" s="73" customFormat="1" ht="10.199999999999999">
      <c r="C166" s="1"/>
      <c r="D166" s="135"/>
      <c r="F166" s="134"/>
      <c r="G166" s="134"/>
      <c r="H166" s="134"/>
      <c r="I166" s="134"/>
      <c r="J166" s="134"/>
      <c r="K166" s="134"/>
      <c r="L166" s="134"/>
      <c r="M166" s="134"/>
      <c r="O166" s="42">
        <f t="shared" si="76"/>
        <v>0</v>
      </c>
      <c r="P166" s="24">
        <v>0</v>
      </c>
    </row>
    <row r="167" spans="1:98" s="73" customFormat="1" ht="10.199999999999999">
      <c r="A167" s="272" t="s">
        <v>1888</v>
      </c>
      <c r="B167" s="272"/>
      <c r="C167" s="270">
        <v>1</v>
      </c>
      <c r="D167" s="271">
        <f t="shared" ref="D167:K167" si="88">C167+1</f>
        <v>2</v>
      </c>
      <c r="E167" s="270">
        <f t="shared" si="88"/>
        <v>3</v>
      </c>
      <c r="F167" s="270">
        <f t="shared" si="88"/>
        <v>4</v>
      </c>
      <c r="G167" s="270">
        <f t="shared" si="88"/>
        <v>5</v>
      </c>
      <c r="H167" s="270">
        <f t="shared" si="88"/>
        <v>6</v>
      </c>
      <c r="I167" s="270">
        <f t="shared" si="88"/>
        <v>7</v>
      </c>
      <c r="J167" s="270">
        <f t="shared" si="88"/>
        <v>8</v>
      </c>
      <c r="K167" s="270">
        <f t="shared" si="88"/>
        <v>9</v>
      </c>
      <c r="L167" s="270">
        <f t="shared" ref="L167:M167" si="89">K167+1</f>
        <v>10</v>
      </c>
      <c r="M167" s="270">
        <f t="shared" si="89"/>
        <v>11</v>
      </c>
      <c r="O167" s="42">
        <f t="shared" si="76"/>
        <v>1</v>
      </c>
      <c r="P167" s="24">
        <v>1</v>
      </c>
    </row>
    <row r="168" spans="1:98">
      <c r="F168" s="269"/>
    </row>
    <row r="169" spans="1:98" hidden="1">
      <c r="F169" s="269"/>
    </row>
    <row r="170" spans="1:98" hidden="1">
      <c r="F170" s="269"/>
    </row>
    <row r="176" spans="1:98"/>
    <row r="352"/>
    <row r="358"/>
    <row r="359"/>
    <row r="360"/>
    <row r="361"/>
    <row r="362"/>
  </sheetData>
  <conditionalFormatting sqref="G40:G43 G62">
    <cfRule type="cellIs" dxfId="10" priority="26" stopIfTrue="1" operator="equal">
      <formula>#REF!</formula>
    </cfRule>
  </conditionalFormatting>
  <conditionalFormatting sqref="G46:G50">
    <cfRule type="cellIs" dxfId="9" priority="2" stopIfTrue="1" operator="equal">
      <formula>#REF!</formula>
    </cfRule>
  </conditionalFormatting>
  <conditionalFormatting sqref="G7:H7">
    <cfRule type="cellIs" dxfId="8" priority="12" stopIfTrue="1" operator="equal">
      <formula>#REF!</formula>
    </cfRule>
  </conditionalFormatting>
  <conditionalFormatting sqref="G30:H30">
    <cfRule type="cellIs" dxfId="7" priority="5" stopIfTrue="1" operator="equal">
      <formula>#REF!</formula>
    </cfRule>
  </conditionalFormatting>
  <conditionalFormatting sqref="G44:H44">
    <cfRule type="cellIs" dxfId="6" priority="3" stopIfTrue="1" operator="equal">
      <formula>#REF!</formula>
    </cfRule>
  </conditionalFormatting>
  <conditionalFormatting sqref="G64:H64">
    <cfRule type="cellIs" dxfId="5" priority="24" stopIfTrue="1" operator="equal">
      <formula>#REF!</formula>
    </cfRule>
  </conditionalFormatting>
  <conditionalFormatting sqref="G93:H93">
    <cfRule type="cellIs" dxfId="4" priority="16" stopIfTrue="1" operator="equal">
      <formula>#REF!</formula>
    </cfRule>
  </conditionalFormatting>
  <conditionalFormatting sqref="G114:H114">
    <cfRule type="cellIs" dxfId="3" priority="18" stopIfTrue="1" operator="equal">
      <formula>#REF!</formula>
    </cfRule>
  </conditionalFormatting>
  <conditionalFormatting sqref="G143:H143">
    <cfRule type="cellIs" dxfId="2" priority="21" stopIfTrue="1" operator="equal">
      <formula>#REF!</formula>
    </cfRule>
  </conditionalFormatting>
  <conditionalFormatting sqref="O1:P1">
    <cfRule type="cellIs" dxfId="1" priority="1" operator="equal">
      <formula>"Check"</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9">
    <tabColor theme="3" tint="-0.499984740745262"/>
    <pageSetUpPr fitToPage="1"/>
  </sheetPr>
  <dimension ref="A1:XFD190"/>
  <sheetViews>
    <sheetView showGridLines="0" workbookViewId="0">
      <selection activeCell="O40" sqref="O40"/>
    </sheetView>
  </sheetViews>
  <sheetFormatPr defaultColWidth="0" defaultRowHeight="10.5" customHeight="1" zeroHeight="1"/>
  <cols>
    <col min="1" max="1" width="2.44140625" style="73" customWidth="1"/>
    <col min="2" max="2" width="22.44140625" style="73" customWidth="1"/>
    <col min="3" max="3" width="9.6640625" style="73" customWidth="1"/>
    <col min="4" max="4" width="68" style="73" customWidth="1"/>
    <col min="5" max="5" width="2.44140625" style="73" customWidth="1"/>
    <col min="6" max="14" width="10.44140625" style="73" hidden="1" customWidth="1"/>
    <col min="15" max="15" width="9.44140625" style="73" hidden="1" customWidth="1"/>
    <col min="16" max="16" width="10" style="73" hidden="1" customWidth="1"/>
    <col min="17" max="17" width="9.33203125" style="73" hidden="1" customWidth="1"/>
    <col min="18" max="16384" width="0" style="73" hidden="1"/>
  </cols>
  <sheetData>
    <row r="1" spans="1:97" s="26" customFormat="1" ht="13.2">
      <c r="A1" s="36"/>
      <c r="B1" s="36" t="str">
        <f>'DCF - Assumptions (old)'!$F$8&amp;" | LBO Model - Assumptions Summary"</f>
        <v>Bumble INC | LBO Model - Assumptions Summary</v>
      </c>
      <c r="C1" s="1136"/>
      <c r="D1" s="1136"/>
      <c r="E1" s="1136"/>
      <c r="F1" s="1136"/>
      <c r="G1" s="1136"/>
      <c r="H1" s="1136"/>
      <c r="I1" s="1136"/>
      <c r="J1" s="1136"/>
      <c r="L1" s="1136"/>
      <c r="M1" s="1136"/>
      <c r="N1" s="1136"/>
      <c r="O1" s="1136"/>
      <c r="Q1" s="34" t="str">
        <f>IF(S5=S7,"OK","Check")</f>
        <v>OK</v>
      </c>
      <c r="R1" s="34" t="str">
        <f>IF(T5=T7,"OK","Check")</f>
        <v>OK</v>
      </c>
    </row>
    <row r="2" spans="1:97" s="3" customFormat="1" ht="2.25" customHeight="1">
      <c r="A2" s="115"/>
      <c r="P2" s="2"/>
      <c r="Q2" s="369"/>
      <c r="R2" s="369"/>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row>
    <row r="3" spans="1:97" s="28" customFormat="1" ht="3" customHeight="1">
      <c r="A3" s="29"/>
      <c r="P3" s="26"/>
      <c r="Q3" s="27"/>
      <c r="R3" s="27"/>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row>
    <row r="4" spans="1:97" s="162" customFormat="1" ht="11.25" customHeight="1">
      <c r="A4" s="115"/>
      <c r="B4" s="2"/>
      <c r="C4" s="2"/>
      <c r="D4" s="2"/>
      <c r="E4" s="2"/>
      <c r="F4" s="2"/>
      <c r="G4" s="2"/>
      <c r="H4" s="2"/>
      <c r="I4" s="2"/>
      <c r="J4" s="2"/>
      <c r="K4" s="2"/>
      <c r="L4" s="2"/>
      <c r="M4" s="2"/>
      <c r="N4" s="2"/>
      <c r="O4" s="2"/>
    </row>
    <row r="5" spans="1:97" ht="3" customHeight="1">
      <c r="A5" s="203"/>
      <c r="B5" s="3"/>
      <c r="C5" s="3"/>
      <c r="D5" s="3"/>
      <c r="E5" s="3"/>
      <c r="F5" s="3"/>
      <c r="G5" s="3"/>
      <c r="H5" s="3"/>
      <c r="I5" s="3"/>
      <c r="J5" s="3"/>
      <c r="K5" s="3"/>
      <c r="L5" s="3"/>
      <c r="M5" s="3"/>
      <c r="N5" s="3"/>
      <c r="O5" s="3"/>
    </row>
    <row r="6" spans="1:97" ht="14.4">
      <c r="A6"/>
      <c r="B6" s="807" t="s">
        <v>1889</v>
      </c>
      <c r="C6" s="808"/>
      <c r="D6" s="808"/>
      <c r="E6" s="205"/>
      <c r="F6" s="205"/>
      <c r="G6" s="205"/>
      <c r="H6" s="205"/>
      <c r="I6" s="205"/>
      <c r="J6" s="205"/>
      <c r="K6" s="205"/>
      <c r="L6" s="205"/>
      <c r="M6" s="205"/>
      <c r="N6" s="205"/>
      <c r="O6" s="205"/>
    </row>
    <row r="7" spans="1:97" ht="14.4">
      <c r="A7"/>
      <c r="B7" s="414" t="s">
        <v>1890</v>
      </c>
      <c r="C7" s="415" t="s">
        <v>1891</v>
      </c>
      <c r="D7" s="416" t="s">
        <v>1892</v>
      </c>
      <c r="E7" s="205"/>
      <c r="F7" s="205"/>
      <c r="G7" s="205"/>
      <c r="H7" s="205"/>
      <c r="I7" s="205"/>
      <c r="J7" s="205"/>
      <c r="K7" s="205"/>
      <c r="L7" s="205"/>
      <c r="M7" s="205"/>
      <c r="N7" s="205"/>
      <c r="O7" s="205"/>
    </row>
    <row r="8" spans="1:97" ht="23.85" customHeight="1">
      <c r="A8" s="367"/>
      <c r="B8" s="391" t="s">
        <v>1694</v>
      </c>
      <c r="C8" s="410">
        <f ca="1">'LBO - Outputs'!J43</f>
        <v>0</v>
      </c>
      <c r="D8" s="392"/>
      <c r="E8" s="224"/>
      <c r="F8" s="224"/>
      <c r="G8" s="3"/>
      <c r="H8" s="257"/>
      <c r="I8" s="224"/>
      <c r="J8" s="224"/>
      <c r="K8" s="224"/>
      <c r="L8" s="224"/>
      <c r="M8" s="224"/>
      <c r="N8" s="224"/>
      <c r="O8" s="224"/>
    </row>
    <row r="9" spans="1:97" ht="23.85" customHeight="1">
      <c r="A9" s="367"/>
      <c r="B9" s="393" t="s">
        <v>1893</v>
      </c>
      <c r="C9" s="411" t="str">
        <f ca="1">TEXT('LBO - Assumptions'!G75,"0.0%")&amp;" / "&amp;TEXT('LBO - Assumptions'!G76,"0.0%")</f>
        <v>0.0% / 0.0%</v>
      </c>
      <c r="D9" s="394"/>
      <c r="E9" s="6"/>
      <c r="F9" s="143"/>
      <c r="G9" s="3"/>
      <c r="H9" s="3"/>
      <c r="I9" s="3"/>
      <c r="J9" s="3"/>
      <c r="K9" s="3"/>
      <c r="L9" s="3"/>
      <c r="M9" s="6"/>
      <c r="N9" s="3"/>
      <c r="O9" s="3"/>
    </row>
    <row r="10" spans="1:97" ht="23.85" customHeight="1">
      <c r="A10" s="367"/>
      <c r="B10" s="393" t="s">
        <v>1894</v>
      </c>
      <c r="C10" s="411">
        <f ca="1">'LBO - Assumptions'!E33</f>
        <v>0</v>
      </c>
      <c r="D10" s="394"/>
      <c r="E10" s="6"/>
      <c r="F10" s="143"/>
      <c r="G10" s="3"/>
      <c r="H10" s="3"/>
      <c r="I10" s="3"/>
      <c r="J10" s="3"/>
      <c r="K10" s="3"/>
      <c r="L10" s="3"/>
      <c r="M10" s="6"/>
      <c r="N10" s="3"/>
      <c r="O10" s="3"/>
    </row>
    <row r="11" spans="1:97" ht="23.85" customHeight="1">
      <c r="A11" s="367"/>
      <c r="B11" s="395" t="s">
        <v>1895</v>
      </c>
      <c r="C11" s="412">
        <f ca="1">'LBO - Assumptions'!G115</f>
        <v>0</v>
      </c>
      <c r="D11" s="396"/>
      <c r="E11" s="6"/>
      <c r="F11" s="143"/>
      <c r="G11" s="3"/>
      <c r="H11" s="3"/>
      <c r="I11" s="3"/>
      <c r="J11" s="3"/>
      <c r="K11" s="3"/>
      <c r="L11" s="3"/>
      <c r="M11" s="6"/>
      <c r="N11" s="3"/>
      <c r="O11" s="3"/>
    </row>
    <row r="12" spans="1:97" ht="23.85" customHeight="1">
      <c r="A12" s="367"/>
      <c r="B12" s="393" t="s">
        <v>1896</v>
      </c>
      <c r="C12" s="411">
        <f ca="1">IFERROR('LBO - Financials'!F72,0)</f>
        <v>0</v>
      </c>
      <c r="D12" s="394"/>
      <c r="E12" s="6"/>
      <c r="F12" s="143"/>
      <c r="G12" s="3"/>
      <c r="H12" s="3"/>
      <c r="I12" s="3"/>
      <c r="J12" s="3"/>
      <c r="K12" s="3"/>
      <c r="L12" s="3"/>
      <c r="M12" s="6"/>
      <c r="N12" s="3"/>
      <c r="O12" s="3"/>
    </row>
    <row r="13" spans="1:97" ht="23.85" customHeight="1">
      <c r="A13" s="367"/>
      <c r="B13" s="397" t="s">
        <v>1897</v>
      </c>
      <c r="C13" s="413">
        <f ca="1">'LBO - Financials'!F82</f>
        <v>0</v>
      </c>
      <c r="D13" s="398"/>
      <c r="E13" s="224"/>
      <c r="F13" s="224"/>
      <c r="G13" s="3"/>
      <c r="H13" s="257"/>
      <c r="I13" s="224"/>
      <c r="J13" s="224"/>
      <c r="K13" s="224"/>
      <c r="L13" s="224"/>
      <c r="M13" s="224"/>
      <c r="N13" s="224"/>
      <c r="O13" s="224"/>
    </row>
    <row r="14" spans="1:97" ht="12">
      <c r="A14" s="367"/>
      <c r="B14" s="362"/>
      <c r="C14" s="366"/>
      <c r="D14" s="357"/>
      <c r="E14" s="6"/>
      <c r="F14" s="143"/>
      <c r="G14" s="3"/>
      <c r="H14" s="1"/>
      <c r="I14" s="3"/>
      <c r="J14" s="3"/>
      <c r="K14" s="3"/>
      <c r="L14" s="3"/>
      <c r="M14" s="368"/>
      <c r="N14" s="173"/>
      <c r="O14" s="143"/>
    </row>
    <row r="15" spans="1:97" ht="12" hidden="1">
      <c r="A15" s="367"/>
      <c r="B15" s="362"/>
      <c r="C15" s="366"/>
      <c r="D15" s="357"/>
      <c r="E15" s="6"/>
      <c r="F15" s="143"/>
      <c r="G15" s="3"/>
      <c r="H15" s="3"/>
      <c r="I15" s="3"/>
      <c r="J15" s="3"/>
      <c r="K15" s="3"/>
      <c r="L15" s="3"/>
      <c r="M15" s="6"/>
      <c r="N15" s="173"/>
      <c r="O15" s="143"/>
    </row>
    <row r="16" spans="1:97" ht="12" hidden="1">
      <c r="A16" s="367"/>
      <c r="B16" s="362"/>
      <c r="C16" s="366"/>
      <c r="D16" s="357"/>
      <c r="E16" s="22"/>
      <c r="F16" s="237"/>
      <c r="G16" s="3"/>
      <c r="H16" s="23"/>
      <c r="I16" s="23"/>
      <c r="J16" s="23"/>
      <c r="K16" s="23"/>
      <c r="L16" s="23"/>
      <c r="M16" s="22"/>
      <c r="N16" s="237"/>
      <c r="O16" s="143"/>
    </row>
    <row r="17" spans="1:24" ht="14.4" hidden="1">
      <c r="A17"/>
      <c r="B17" s="364"/>
      <c r="C17" s="364"/>
      <c r="D17" s="357"/>
      <c r="E17" s="3"/>
      <c r="F17" s="3"/>
      <c r="G17" s="3"/>
      <c r="H17" s="3"/>
      <c r="I17" s="3"/>
      <c r="J17" s="3"/>
      <c r="K17" s="3"/>
      <c r="L17" s="3"/>
      <c r="M17" s="6"/>
      <c r="N17" s="143"/>
      <c r="O17" s="143"/>
    </row>
    <row r="18" spans="1:24" ht="14.4" hidden="1">
      <c r="A18"/>
      <c r="B18" s="365"/>
      <c r="C18" s="365"/>
      <c r="D18" s="365"/>
      <c r="E18" s="257"/>
      <c r="F18" s="257"/>
      <c r="G18" s="257"/>
      <c r="H18" s="257"/>
      <c r="I18" s="257"/>
      <c r="J18" s="257"/>
      <c r="K18" s="257"/>
      <c r="L18" s="257"/>
      <c r="M18" s="257"/>
      <c r="N18" s="257"/>
      <c r="O18" s="257"/>
    </row>
    <row r="19" spans="1:24" ht="14.4" hidden="1">
      <c r="A19"/>
      <c r="B19" s="364"/>
      <c r="C19" s="357"/>
      <c r="D19" s="357"/>
      <c r="E19" s="3"/>
      <c r="F19" s="3"/>
      <c r="G19" s="3"/>
      <c r="H19" s="3"/>
      <c r="I19" s="6"/>
      <c r="J19" s="6"/>
      <c r="K19" s="6"/>
      <c r="L19" s="6"/>
      <c r="M19" s="6"/>
      <c r="N19" s="6"/>
      <c r="O19" s="6"/>
    </row>
    <row r="20" spans="1:24" ht="14.4" hidden="1">
      <c r="A20"/>
      <c r="B20" s="362"/>
      <c r="C20" s="363"/>
      <c r="D20" s="357"/>
      <c r="E20" s="3"/>
      <c r="F20" s="3"/>
      <c r="G20" s="3"/>
      <c r="H20" s="3"/>
      <c r="I20" s="6"/>
      <c r="J20" s="6"/>
      <c r="K20" s="6"/>
      <c r="L20" s="6"/>
      <c r="M20" s="6"/>
      <c r="N20" s="6"/>
      <c r="O20" s="6"/>
    </row>
    <row r="21" spans="1:24" ht="14.4" hidden="1">
      <c r="A21"/>
      <c r="B21" s="362"/>
      <c r="C21" s="360"/>
      <c r="D21" s="357"/>
      <c r="E21" s="3"/>
      <c r="F21" s="3"/>
      <c r="G21" s="3"/>
      <c r="H21" s="3"/>
      <c r="I21" s="6"/>
      <c r="J21" s="6"/>
      <c r="K21" s="6"/>
      <c r="L21" s="6"/>
      <c r="M21" s="6"/>
      <c r="N21" s="6"/>
      <c r="O21" s="6"/>
    </row>
    <row r="22" spans="1:24" ht="14.4" hidden="1">
      <c r="A22"/>
      <c r="B22" s="362"/>
      <c r="C22" s="361"/>
      <c r="D22" s="357"/>
      <c r="E22" s="3"/>
      <c r="F22" s="3"/>
      <c r="G22" s="3"/>
      <c r="H22" s="3"/>
      <c r="I22" s="6"/>
      <c r="J22" s="6"/>
      <c r="K22" s="6"/>
      <c r="L22" s="6"/>
      <c r="M22" s="6"/>
      <c r="N22" s="6"/>
      <c r="O22" s="6"/>
    </row>
    <row r="23" spans="1:24" ht="14.4" hidden="1">
      <c r="A23"/>
      <c r="B23" s="359"/>
      <c r="C23" s="360"/>
      <c r="D23" s="357"/>
      <c r="E23" s="23"/>
      <c r="F23" s="23"/>
      <c r="G23" s="23"/>
      <c r="H23" s="23"/>
      <c r="I23" s="22"/>
      <c r="J23" s="22"/>
      <c r="K23" s="22"/>
      <c r="L23" s="22"/>
      <c r="M23" s="22"/>
      <c r="N23" s="22"/>
      <c r="O23" s="22"/>
    </row>
    <row r="24" spans="1:24" ht="13.5" hidden="1" customHeight="1">
      <c r="A24"/>
      <c r="B24" s="359"/>
      <c r="C24" s="358"/>
      <c r="D24" s="357"/>
      <c r="E24" s="23"/>
      <c r="F24" s="23"/>
      <c r="G24" s="23"/>
      <c r="H24" s="23"/>
      <c r="I24" s="22"/>
      <c r="J24" s="22"/>
      <c r="K24" s="22"/>
      <c r="L24" s="22"/>
      <c r="M24" s="22"/>
      <c r="N24" s="22"/>
      <c r="O24" s="22"/>
    </row>
    <row r="25" spans="1:24" ht="14.4" hidden="1">
      <c r="A25"/>
      <c r="B25"/>
      <c r="C25"/>
      <c r="D25"/>
      <c r="E25" s="1"/>
      <c r="F25" s="23"/>
      <c r="G25" s="23"/>
      <c r="H25" s="23"/>
      <c r="I25" s="22"/>
      <c r="J25" s="216"/>
      <c r="K25" s="216"/>
      <c r="L25" s="216"/>
      <c r="M25" s="216"/>
      <c r="N25" s="216"/>
      <c r="O25" s="216"/>
    </row>
    <row r="26" spans="1:24" ht="14.4" hidden="1">
      <c r="A26"/>
      <c r="B26"/>
      <c r="C26"/>
      <c r="D26"/>
      <c r="E26" s="1"/>
      <c r="F26" s="23"/>
      <c r="G26" s="23"/>
      <c r="H26" s="23"/>
      <c r="I26" s="22"/>
      <c r="J26" s="216"/>
      <c r="K26" s="216"/>
      <c r="L26" s="216"/>
      <c r="M26" s="216"/>
      <c r="N26" s="216"/>
      <c r="O26" s="216"/>
    </row>
    <row r="27" spans="1:24" ht="10.199999999999999" hidden="1">
      <c r="A27" s="203"/>
      <c r="B27" s="1"/>
      <c r="C27" s="23"/>
      <c r="D27" s="23"/>
      <c r="E27" s="1"/>
      <c r="F27" s="23"/>
      <c r="G27" s="23"/>
      <c r="H27" s="23"/>
      <c r="I27" s="216"/>
      <c r="J27" s="216"/>
      <c r="K27" s="216"/>
      <c r="L27" s="216"/>
      <c r="M27" s="216"/>
      <c r="N27" s="216"/>
      <c r="O27" s="216"/>
    </row>
    <row r="28" spans="1:24" ht="10.199999999999999" hidden="1">
      <c r="A28" s="203"/>
      <c r="B28" s="1"/>
      <c r="C28" s="23"/>
      <c r="D28" s="23"/>
      <c r="E28" s="1"/>
      <c r="F28" s="23"/>
      <c r="G28" s="23"/>
      <c r="H28" s="23"/>
      <c r="I28" s="216"/>
      <c r="J28" s="216"/>
      <c r="K28" s="216"/>
      <c r="L28" s="216"/>
      <c r="M28" s="216"/>
      <c r="N28" s="216"/>
      <c r="O28" s="216"/>
    </row>
    <row r="29" spans="1:24" ht="10.199999999999999" hidden="1">
      <c r="A29" s="203"/>
      <c r="B29" s="23"/>
      <c r="C29" s="23"/>
      <c r="D29" s="23"/>
      <c r="E29" s="23"/>
      <c r="F29" s="23"/>
      <c r="G29" s="23"/>
      <c r="H29" s="23"/>
      <c r="I29" s="22"/>
      <c r="J29" s="215"/>
      <c r="K29" s="215"/>
      <c r="L29" s="215"/>
      <c r="M29" s="215"/>
      <c r="N29" s="215"/>
      <c r="O29" s="215"/>
    </row>
    <row r="30" spans="1:24" ht="11.25" hidden="1" customHeight="1">
      <c r="A30" s="203"/>
      <c r="B30" s="257"/>
      <c r="C30" s="257"/>
      <c r="D30" s="257"/>
      <c r="E30" s="257"/>
      <c r="F30" s="257"/>
      <c r="G30" s="257"/>
      <c r="H30" s="257"/>
      <c r="I30" s="257"/>
      <c r="J30" s="257"/>
      <c r="K30" s="257"/>
      <c r="L30" s="257"/>
      <c r="M30" s="257"/>
      <c r="N30" s="257"/>
      <c r="O30" s="257"/>
    </row>
    <row r="31" spans="1:24" ht="11.25" hidden="1" customHeight="1">
      <c r="A31" s="203"/>
      <c r="B31" s="3"/>
      <c r="C31" s="23"/>
      <c r="D31" s="23"/>
      <c r="E31" s="23"/>
      <c r="F31" s="23"/>
      <c r="G31" s="23"/>
      <c r="H31" s="3"/>
      <c r="I31" s="6"/>
      <c r="J31" s="6"/>
      <c r="K31" s="6"/>
      <c r="L31" s="6"/>
      <c r="M31" s="6"/>
      <c r="N31" s="6"/>
      <c r="O31" s="22"/>
      <c r="Q31"/>
      <c r="R31"/>
      <c r="S31"/>
      <c r="T31"/>
      <c r="U31"/>
      <c r="V31"/>
      <c r="W31"/>
      <c r="X31"/>
    </row>
    <row r="32" spans="1:24" ht="11.25" hidden="1" customHeight="1">
      <c r="A32" s="203"/>
      <c r="B32" s="3"/>
      <c r="C32" s="23"/>
      <c r="D32" s="23"/>
      <c r="E32" s="23"/>
      <c r="F32" s="23"/>
      <c r="G32" s="23"/>
      <c r="H32" s="3"/>
      <c r="I32" s="6"/>
      <c r="J32" s="6"/>
      <c r="K32" s="6"/>
      <c r="L32" s="6"/>
      <c r="M32" s="6"/>
      <c r="N32" s="6"/>
      <c r="O32" s="6"/>
      <c r="Q32"/>
      <c r="R32"/>
      <c r="S32"/>
      <c r="T32"/>
      <c r="U32"/>
      <c r="V32"/>
      <c r="W32"/>
      <c r="X32"/>
    </row>
    <row r="33" spans="1:24" ht="11.25" hidden="1" customHeight="1">
      <c r="A33" s="203"/>
      <c r="B33" s="3"/>
      <c r="C33" s="3"/>
      <c r="D33" s="3"/>
      <c r="E33" s="3"/>
      <c r="F33" s="3"/>
      <c r="G33" s="3"/>
      <c r="H33" s="3"/>
      <c r="I33" s="6"/>
      <c r="J33" s="6"/>
      <c r="K33" s="6"/>
      <c r="L33" s="6"/>
      <c r="M33" s="6"/>
      <c r="N33" s="6"/>
      <c r="O33" s="6"/>
      <c r="Q33"/>
      <c r="R33"/>
      <c r="S33"/>
      <c r="T33"/>
      <c r="U33"/>
      <c r="V33"/>
      <c r="W33"/>
      <c r="X33"/>
    </row>
    <row r="34" spans="1:24" ht="11.25" hidden="1" customHeight="1">
      <c r="A34" s="203"/>
      <c r="B34" s="3"/>
      <c r="C34" s="3"/>
      <c r="D34" s="3"/>
      <c r="E34" s="3"/>
      <c r="F34" s="3"/>
      <c r="G34" s="3"/>
      <c r="H34" s="3"/>
      <c r="I34" s="6"/>
      <c r="J34" s="6"/>
      <c r="K34" s="6"/>
      <c r="L34" s="6"/>
      <c r="M34" s="6"/>
      <c r="N34" s="6"/>
      <c r="O34" s="6"/>
      <c r="Q34"/>
      <c r="R34"/>
      <c r="S34"/>
      <c r="T34"/>
      <c r="U34"/>
      <c r="V34"/>
      <c r="W34"/>
      <c r="X34"/>
    </row>
    <row r="35" spans="1:24" ht="11.25" hidden="1" customHeight="1">
      <c r="A35" s="203"/>
      <c r="B35" s="3"/>
      <c r="C35" s="3"/>
      <c r="D35" s="3"/>
      <c r="E35" s="3"/>
      <c r="F35" s="3"/>
      <c r="G35" s="3"/>
      <c r="H35" s="3"/>
      <c r="I35" s="6"/>
      <c r="J35" s="6"/>
      <c r="K35" s="6"/>
      <c r="L35" s="6"/>
      <c r="M35" s="6"/>
      <c r="N35" s="6"/>
      <c r="O35" s="6"/>
      <c r="Q35"/>
      <c r="R35"/>
      <c r="S35"/>
      <c r="T35"/>
      <c r="U35"/>
      <c r="V35"/>
      <c r="W35"/>
      <c r="X35"/>
    </row>
    <row r="36" spans="1:24" ht="11.25" hidden="1" customHeight="1" collapsed="1">
      <c r="A36" s="203"/>
      <c r="B36" s="23"/>
      <c r="C36" s="214"/>
      <c r="D36" s="214"/>
      <c r="E36" s="214"/>
      <c r="F36" s="23"/>
      <c r="G36" s="23"/>
      <c r="H36" s="213"/>
      <c r="I36" s="22"/>
      <c r="J36" s="22"/>
      <c r="K36" s="22"/>
      <c r="L36" s="22"/>
      <c r="M36" s="22"/>
      <c r="N36" s="22"/>
      <c r="O36" s="22"/>
      <c r="Q36"/>
      <c r="R36"/>
      <c r="S36"/>
      <c r="T36"/>
      <c r="U36"/>
      <c r="V36"/>
      <c r="W36"/>
      <c r="X36"/>
    </row>
    <row r="37" spans="1:24" s="3" customFormat="1" ht="11.25" hidden="1" customHeight="1">
      <c r="A37" s="37"/>
      <c r="B37" s="23"/>
      <c r="C37" s="214"/>
      <c r="D37" s="214"/>
      <c r="E37" s="214"/>
      <c r="F37" s="23"/>
      <c r="G37" s="23"/>
      <c r="H37" s="213"/>
      <c r="I37" s="22"/>
      <c r="J37" s="22"/>
      <c r="K37" s="22"/>
      <c r="L37" s="22"/>
      <c r="M37" s="22"/>
      <c r="N37" s="22"/>
      <c r="O37" s="22"/>
      <c r="Q37"/>
      <c r="R37"/>
      <c r="S37"/>
      <c r="T37"/>
      <c r="U37"/>
      <c r="V37"/>
      <c r="W37"/>
      <c r="X37"/>
    </row>
    <row r="38" spans="1:24" ht="11.25" hidden="1" customHeight="1">
      <c r="A38" s="203"/>
      <c r="B38" s="206"/>
      <c r="C38" s="205"/>
      <c r="D38" s="205"/>
      <c r="E38" s="205"/>
      <c r="F38" s="205"/>
      <c r="G38" s="205"/>
      <c r="H38" s="205"/>
      <c r="I38" s="205"/>
      <c r="J38" s="205"/>
      <c r="K38" s="205"/>
      <c r="L38" s="205"/>
      <c r="M38" s="205"/>
      <c r="N38" s="205"/>
      <c r="O38" s="3"/>
      <c r="Q38"/>
      <c r="R38"/>
      <c r="S38"/>
      <c r="T38"/>
      <c r="U38"/>
      <c r="V38"/>
      <c r="W38"/>
      <c r="X38"/>
    </row>
    <row r="39" spans="1:24" ht="11.25" hidden="1" customHeight="1">
      <c r="A39" s="203"/>
      <c r="B39" s="23"/>
      <c r="C39" s="23"/>
      <c r="D39" s="23"/>
      <c r="E39" s="23"/>
      <c r="F39" s="23"/>
      <c r="G39" s="23"/>
      <c r="H39" s="22"/>
      <c r="I39" s="22"/>
      <c r="J39" s="22"/>
      <c r="K39" s="22"/>
      <c r="L39" s="22"/>
      <c r="M39" s="22"/>
      <c r="N39" s="22"/>
      <c r="O39" s="3"/>
      <c r="Q39"/>
      <c r="R39"/>
      <c r="S39"/>
      <c r="T39"/>
      <c r="U39"/>
      <c r="V39"/>
      <c r="W39"/>
      <c r="X39"/>
    </row>
    <row r="40" spans="1:24" s="2" customFormat="1" ht="16.5" hidden="1" customHeight="1">
      <c r="B40" s="19"/>
      <c r="C40" s="19"/>
      <c r="D40" s="19"/>
      <c r="E40" s="19"/>
      <c r="F40" s="19"/>
      <c r="G40" s="19"/>
      <c r="H40" s="19"/>
      <c r="I40" s="19"/>
      <c r="J40" s="21"/>
      <c r="K40" s="21"/>
      <c r="L40" s="21"/>
      <c r="M40" s="21"/>
      <c r="N40" s="21"/>
      <c r="Q40"/>
      <c r="R40"/>
      <c r="S40"/>
      <c r="T40"/>
      <c r="U40"/>
      <c r="V40"/>
      <c r="W40"/>
      <c r="X40"/>
    </row>
    <row r="41" spans="1:24" s="2" customFormat="1" ht="16.5" hidden="1" customHeight="1">
      <c r="B41" s="257"/>
      <c r="C41" s="224"/>
      <c r="D41" s="224"/>
      <c r="E41" s="224"/>
      <c r="F41" s="224"/>
      <c r="G41" s="224"/>
      <c r="H41" s="224"/>
      <c r="I41" s="345"/>
      <c r="J41" s="345"/>
      <c r="K41" s="345"/>
      <c r="L41" s="345"/>
      <c r="M41" s="345"/>
      <c r="N41" s="345"/>
      <c r="Q41"/>
      <c r="R41"/>
      <c r="S41"/>
      <c r="T41"/>
      <c r="U41"/>
      <c r="V41"/>
      <c r="W41"/>
      <c r="X41"/>
    </row>
    <row r="42" spans="1:24" s="2" customFormat="1" ht="16.5" hidden="1" customHeight="1">
      <c r="B42" s="3"/>
      <c r="C42" s="3"/>
      <c r="D42" s="3"/>
      <c r="E42" s="6"/>
      <c r="F42" s="6"/>
      <c r="G42" s="6"/>
      <c r="H42" s="6"/>
      <c r="I42" s="6"/>
      <c r="J42" s="6"/>
      <c r="K42" s="6"/>
      <c r="L42" s="6"/>
      <c r="M42" s="6"/>
      <c r="N42" s="6"/>
      <c r="Q42"/>
      <c r="R42"/>
      <c r="S42"/>
      <c r="T42"/>
      <c r="U42"/>
      <c r="V42"/>
      <c r="W42"/>
      <c r="X42"/>
    </row>
    <row r="43" spans="1:24" s="2" customFormat="1" ht="16.5" hidden="1" customHeight="1">
      <c r="B43" s="3"/>
      <c r="C43" s="3"/>
      <c r="D43" s="3"/>
      <c r="E43" s="6"/>
      <c r="F43" s="6"/>
      <c r="G43" s="6"/>
      <c r="H43" s="6"/>
      <c r="I43" s="6"/>
      <c r="J43" s="6"/>
      <c r="K43" s="6"/>
      <c r="L43" s="6"/>
      <c r="M43" s="6"/>
      <c r="N43" s="6"/>
    </row>
    <row r="44" spans="1:24" s="2" customFormat="1" ht="16.5" hidden="1" customHeight="1">
      <c r="B44" s="23"/>
      <c r="C44" s="23"/>
      <c r="D44" s="23"/>
      <c r="E44" s="22"/>
      <c r="F44" s="22"/>
      <c r="G44" s="22"/>
      <c r="H44" s="22"/>
      <c r="I44" s="22"/>
      <c r="J44" s="22"/>
      <c r="K44" s="22"/>
      <c r="L44" s="22"/>
      <c r="M44" s="22"/>
      <c r="N44" s="22"/>
    </row>
    <row r="45" spans="1:24" s="2" customFormat="1" ht="16.5" hidden="1" customHeight="1">
      <c r="B45" s="1"/>
      <c r="C45" s="356"/>
      <c r="D45" s="356"/>
      <c r="E45" s="355"/>
      <c r="F45" s="355"/>
      <c r="G45" s="355"/>
      <c r="H45" s="355"/>
      <c r="I45" s="355"/>
      <c r="J45" s="355"/>
      <c r="K45" s="355"/>
      <c r="L45" s="355"/>
      <c r="M45" s="355"/>
      <c r="N45" s="355"/>
    </row>
    <row r="46" spans="1:24" s="2" customFormat="1" ht="16.5" hidden="1" customHeight="1">
      <c r="B46" s="3"/>
      <c r="C46" s="3"/>
      <c r="D46" s="3"/>
      <c r="E46" s="6"/>
      <c r="F46" s="6"/>
      <c r="G46" s="6"/>
      <c r="H46" s="6"/>
      <c r="I46" s="6"/>
      <c r="J46" s="6"/>
      <c r="K46" s="6"/>
      <c r="L46" s="6"/>
      <c r="M46" s="6"/>
      <c r="N46" s="6"/>
    </row>
    <row r="47" spans="1:24" s="2" customFormat="1" ht="16.5" hidden="1" customHeight="1">
      <c r="B47" s="3"/>
      <c r="C47" s="3"/>
      <c r="D47" s="3"/>
      <c r="E47" s="6"/>
      <c r="F47" s="6"/>
      <c r="G47" s="6"/>
      <c r="H47" s="6"/>
      <c r="I47" s="6"/>
      <c r="J47" s="6"/>
      <c r="K47" s="6"/>
      <c r="L47" s="6"/>
      <c r="M47" s="6"/>
      <c r="N47" s="6"/>
    </row>
    <row r="48" spans="1:24" s="2" customFormat="1" ht="16.5" hidden="1" customHeight="1">
      <c r="B48" s="3"/>
      <c r="C48" s="3"/>
      <c r="D48" s="3"/>
      <c r="E48" s="6"/>
      <c r="F48" s="6"/>
      <c r="G48" s="6"/>
      <c r="H48" s="6"/>
      <c r="I48" s="6"/>
      <c r="J48" s="6"/>
      <c r="K48" s="6"/>
      <c r="L48" s="6"/>
      <c r="M48" s="6"/>
      <c r="N48" s="6"/>
    </row>
    <row r="49" spans="2:14" s="2" customFormat="1" ht="16.5" hidden="1" customHeight="1">
      <c r="B49" s="23"/>
      <c r="C49" s="23"/>
      <c r="D49" s="23"/>
      <c r="E49" s="22"/>
      <c r="F49" s="22"/>
      <c r="G49" s="22"/>
      <c r="H49" s="22"/>
      <c r="I49" s="22"/>
      <c r="J49" s="22"/>
      <c r="K49" s="22"/>
      <c r="L49" s="22"/>
      <c r="M49" s="22"/>
      <c r="N49" s="22"/>
    </row>
    <row r="50" spans="2:14" s="2" customFormat="1" ht="16.5" hidden="1" customHeight="1">
      <c r="B50" s="3"/>
      <c r="C50" s="3"/>
      <c r="D50" s="3"/>
      <c r="E50" s="6"/>
      <c r="F50" s="6"/>
      <c r="G50" s="6"/>
      <c r="H50" s="6"/>
      <c r="I50" s="6"/>
      <c r="J50" s="6"/>
      <c r="K50" s="6"/>
      <c r="L50" s="6"/>
      <c r="M50" s="6"/>
      <c r="N50" s="6"/>
    </row>
    <row r="51" spans="2:14" s="2" customFormat="1" ht="16.5" hidden="1" customHeight="1">
      <c r="B51" s="23"/>
      <c r="C51" s="22"/>
      <c r="D51" s="22"/>
      <c r="E51" s="22"/>
      <c r="F51" s="22"/>
      <c r="G51" s="22"/>
      <c r="H51" s="22"/>
      <c r="I51" s="22"/>
      <c r="J51" s="22"/>
      <c r="K51" s="22"/>
      <c r="L51" s="22"/>
      <c r="M51" s="22"/>
      <c r="N51" s="22"/>
    </row>
    <row r="52" spans="2:14" s="2" customFormat="1" ht="16.5" hidden="1" customHeight="1">
      <c r="B52" s="1"/>
      <c r="C52" s="356"/>
      <c r="D52" s="356"/>
      <c r="E52" s="355"/>
      <c r="F52" s="355"/>
      <c r="G52" s="355"/>
      <c r="H52" s="355"/>
      <c r="I52" s="355"/>
      <c r="J52" s="355"/>
      <c r="K52" s="355"/>
      <c r="L52" s="355"/>
      <c r="M52" s="355"/>
      <c r="N52" s="355"/>
    </row>
    <row r="53" spans="2:14" s="2" customFormat="1" ht="16.5" hidden="1" customHeight="1">
      <c r="B53" s="1"/>
      <c r="C53" s="356"/>
      <c r="D53" s="356"/>
      <c r="E53" s="355"/>
      <c r="F53" s="355"/>
      <c r="G53" s="355"/>
      <c r="H53" s="355"/>
      <c r="I53" s="355"/>
      <c r="J53" s="355"/>
      <c r="K53" s="355"/>
      <c r="L53" s="355"/>
      <c r="M53" s="355"/>
      <c r="N53" s="355"/>
    </row>
    <row r="54" spans="2:14" s="2" customFormat="1" ht="13.2" hidden="1">
      <c r="B54" s="1"/>
      <c r="C54" s="350"/>
      <c r="D54" s="350"/>
      <c r="E54" s="354"/>
      <c r="F54" s="354"/>
      <c r="G54" s="354"/>
      <c r="H54" s="354"/>
      <c r="I54" s="354"/>
      <c r="J54" s="354"/>
      <c r="K54" s="354"/>
      <c r="L54" s="354"/>
      <c r="M54" s="354"/>
      <c r="N54" s="354"/>
    </row>
    <row r="55" spans="2:14" s="2" customFormat="1" ht="13.2" hidden="1">
      <c r="B55" s="3"/>
      <c r="C55" s="3"/>
      <c r="D55" s="3"/>
      <c r="E55" s="6"/>
      <c r="F55" s="6"/>
      <c r="G55" s="6"/>
      <c r="H55" s="6"/>
      <c r="I55" s="6"/>
      <c r="J55" s="6"/>
      <c r="K55" s="6"/>
      <c r="L55" s="6"/>
      <c r="M55" s="6"/>
      <c r="N55" s="6"/>
    </row>
    <row r="56" spans="2:14" s="2" customFormat="1" ht="13.2" hidden="1">
      <c r="B56" s="3"/>
      <c r="C56" s="3"/>
      <c r="D56" s="3"/>
      <c r="E56" s="6"/>
      <c r="F56" s="6"/>
      <c r="G56" s="6"/>
      <c r="H56" s="6"/>
      <c r="I56" s="6"/>
      <c r="J56" s="6"/>
      <c r="K56" s="6"/>
      <c r="L56" s="6"/>
      <c r="M56" s="6"/>
      <c r="N56" s="6"/>
    </row>
    <row r="57" spans="2:14" s="2" customFormat="1" ht="13.2" hidden="1" collapsed="1">
      <c r="B57" s="3"/>
      <c r="C57" s="3"/>
      <c r="D57" s="3"/>
      <c r="E57" s="6"/>
      <c r="F57" s="6"/>
      <c r="G57" s="6"/>
      <c r="H57" s="6"/>
      <c r="I57" s="6"/>
      <c r="J57" s="6"/>
      <c r="K57" s="6"/>
      <c r="L57" s="6"/>
      <c r="M57" s="6"/>
      <c r="N57" s="6"/>
    </row>
    <row r="58" spans="2:14" s="2" customFormat="1" ht="11.25" hidden="1" customHeight="1">
      <c r="B58" s="3"/>
      <c r="C58" s="3"/>
      <c r="D58" s="3"/>
      <c r="E58" s="6"/>
      <c r="F58" s="6"/>
      <c r="G58" s="6"/>
      <c r="H58" s="6"/>
      <c r="I58" s="6"/>
      <c r="J58" s="6"/>
      <c r="K58" s="6"/>
      <c r="L58" s="6"/>
      <c r="M58" s="6"/>
      <c r="N58" s="6"/>
    </row>
    <row r="59" spans="2:14" s="2" customFormat="1" ht="11.25" hidden="1" customHeight="1">
      <c r="B59" s="1"/>
      <c r="C59" s="3"/>
      <c r="D59" s="3"/>
      <c r="E59" s="353"/>
      <c r="F59" s="353"/>
      <c r="G59" s="353"/>
      <c r="H59" s="353"/>
      <c r="I59" s="353"/>
      <c r="J59" s="353"/>
      <c r="K59" s="353"/>
      <c r="L59" s="353"/>
      <c r="M59" s="353"/>
      <c r="N59" s="353"/>
    </row>
    <row r="60" spans="2:14" s="2" customFormat="1" ht="4.5" hidden="1" customHeight="1">
      <c r="B60" s="3"/>
      <c r="C60" s="3"/>
      <c r="D60" s="3"/>
      <c r="E60" s="6"/>
      <c r="F60" s="6"/>
      <c r="G60" s="6"/>
      <c r="H60" s="6"/>
      <c r="I60" s="6"/>
      <c r="J60" s="6"/>
      <c r="K60" s="6"/>
      <c r="L60" s="6"/>
      <c r="M60" s="6"/>
      <c r="N60" s="6"/>
    </row>
    <row r="61" spans="2:14" s="2" customFormat="1" ht="11.25" hidden="1" customHeight="1">
      <c r="B61" s="3"/>
      <c r="C61" s="3"/>
      <c r="D61" s="3"/>
      <c r="E61" s="6"/>
      <c r="F61" s="6"/>
      <c r="G61" s="6"/>
      <c r="H61" s="6"/>
      <c r="I61" s="6"/>
      <c r="J61" s="6"/>
      <c r="K61" s="6"/>
      <c r="L61" s="6"/>
      <c r="M61" s="6"/>
      <c r="N61" s="6"/>
    </row>
    <row r="62" spans="2:14" s="2" customFormat="1" ht="11.25" hidden="1" customHeight="1">
      <c r="B62" s="1"/>
      <c r="C62" s="3"/>
      <c r="D62" s="3"/>
      <c r="E62" s="353"/>
      <c r="F62" s="353"/>
      <c r="G62" s="353"/>
      <c r="H62" s="353"/>
      <c r="I62" s="353"/>
      <c r="J62" s="353"/>
      <c r="K62" s="353"/>
      <c r="L62" s="353"/>
      <c r="M62" s="353"/>
      <c r="N62" s="353"/>
    </row>
    <row r="63" spans="2:14" s="2" customFormat="1" ht="4.5" hidden="1" customHeight="1">
      <c r="B63" s="1"/>
      <c r="C63" s="3"/>
      <c r="D63" s="3"/>
      <c r="E63" s="352"/>
      <c r="F63" s="352"/>
      <c r="G63" s="352"/>
      <c r="H63" s="352"/>
      <c r="I63" s="352"/>
      <c r="J63" s="352"/>
      <c r="K63" s="352"/>
      <c r="L63" s="352"/>
      <c r="M63" s="352"/>
      <c r="N63" s="352"/>
    </row>
    <row r="64" spans="2:14" s="2" customFormat="1" ht="11.25" hidden="1" customHeight="1">
      <c r="B64" s="3"/>
      <c r="C64" s="3"/>
      <c r="D64" s="3"/>
      <c r="E64" s="6"/>
      <c r="F64" s="6"/>
      <c r="G64" s="6"/>
      <c r="H64" s="6"/>
      <c r="I64" s="6"/>
      <c r="J64" s="6"/>
      <c r="K64" s="6"/>
      <c r="L64" s="6"/>
      <c r="M64" s="6"/>
      <c r="N64" s="6"/>
    </row>
    <row r="65" spans="1:17" s="2" customFormat="1" ht="11.25" hidden="1" customHeight="1">
      <c r="B65" s="3"/>
      <c r="C65" s="3"/>
      <c r="D65" s="3"/>
      <c r="E65" s="6"/>
      <c r="F65" s="6"/>
      <c r="G65" s="6"/>
      <c r="H65" s="6"/>
      <c r="I65" s="6"/>
      <c r="J65" s="6"/>
      <c r="K65" s="6"/>
      <c r="L65" s="6"/>
      <c r="M65" s="6"/>
      <c r="N65" s="6"/>
    </row>
    <row r="66" spans="1:17" s="2" customFormat="1" ht="11.25" hidden="1" customHeight="1">
      <c r="B66" s="3"/>
      <c r="C66" s="3"/>
      <c r="D66" s="3"/>
      <c r="E66" s="6"/>
      <c r="F66" s="6"/>
      <c r="G66" s="6"/>
      <c r="H66" s="6"/>
      <c r="I66" s="6"/>
      <c r="J66" s="6"/>
      <c r="K66" s="6"/>
      <c r="L66" s="6"/>
      <c r="M66" s="6"/>
      <c r="N66" s="6"/>
    </row>
    <row r="67" spans="1:17" ht="11.25" hidden="1" customHeight="1">
      <c r="A67" s="203"/>
      <c r="B67" s="23"/>
      <c r="C67" s="22"/>
      <c r="D67" s="22"/>
      <c r="E67" s="22"/>
      <c r="F67" s="22"/>
      <c r="G67" s="22"/>
      <c r="H67" s="22"/>
      <c r="I67" s="22"/>
      <c r="J67" s="22"/>
      <c r="K67" s="22"/>
      <c r="L67" s="22"/>
      <c r="M67" s="22"/>
      <c r="N67" s="22"/>
      <c r="O67" s="3"/>
    </row>
    <row r="68" spans="1:17" ht="11.25" hidden="1" customHeight="1">
      <c r="A68" s="203"/>
      <c r="B68" s="3"/>
      <c r="C68" s="6"/>
      <c r="D68" s="6"/>
      <c r="E68" s="6"/>
      <c r="F68" s="6"/>
      <c r="G68" s="6"/>
      <c r="H68" s="6"/>
      <c r="I68" s="6"/>
      <c r="J68" s="6"/>
      <c r="K68" s="6"/>
      <c r="L68" s="6"/>
      <c r="M68" s="6"/>
      <c r="N68" s="6"/>
      <c r="O68" s="3"/>
    </row>
    <row r="69" spans="1:17" ht="11.25" hidden="1" customHeight="1">
      <c r="A69" s="203"/>
      <c r="B69" s="3"/>
      <c r="C69" s="6"/>
      <c r="D69" s="6"/>
      <c r="E69" s="6"/>
      <c r="F69" s="6"/>
      <c r="G69" s="6"/>
      <c r="H69" s="6"/>
      <c r="I69" s="6"/>
      <c r="J69" s="6"/>
      <c r="K69" s="6"/>
      <c r="L69" s="6"/>
      <c r="M69" s="6"/>
      <c r="N69" s="6"/>
      <c r="O69" s="3"/>
    </row>
    <row r="70" spans="1:17" ht="11.25" hidden="1" customHeight="1">
      <c r="A70" s="203"/>
      <c r="B70" s="3"/>
      <c r="C70" s="6"/>
      <c r="D70" s="6"/>
      <c r="E70" s="6"/>
      <c r="F70" s="6"/>
      <c r="G70" s="6"/>
      <c r="H70" s="6"/>
      <c r="I70" s="6"/>
      <c r="J70" s="6"/>
      <c r="K70" s="6"/>
      <c r="L70" s="6"/>
      <c r="M70" s="6"/>
      <c r="N70" s="6"/>
      <c r="O70" s="3"/>
    </row>
    <row r="71" spans="1:17" ht="11.25" hidden="1" customHeight="1">
      <c r="A71" s="203"/>
      <c r="B71" s="3"/>
      <c r="C71" s="6"/>
      <c r="D71" s="6"/>
      <c r="E71" s="6"/>
      <c r="F71" s="6"/>
      <c r="G71" s="6"/>
      <c r="H71" s="6"/>
      <c r="I71" s="6"/>
      <c r="J71" s="6"/>
      <c r="K71" s="6"/>
      <c r="L71" s="6"/>
      <c r="M71" s="6"/>
      <c r="N71" s="6"/>
      <c r="O71" s="3"/>
    </row>
    <row r="72" spans="1:17" ht="11.25" hidden="1" customHeight="1">
      <c r="A72" s="203"/>
      <c r="B72" s="23"/>
      <c r="C72" s="22"/>
      <c r="D72" s="22"/>
      <c r="E72" s="22"/>
      <c r="F72" s="22"/>
      <c r="G72" s="22"/>
      <c r="H72" s="22"/>
      <c r="I72" s="22"/>
      <c r="J72" s="22"/>
      <c r="K72" s="22"/>
      <c r="L72" s="22"/>
      <c r="M72" s="22"/>
      <c r="N72" s="22"/>
      <c r="O72" s="3"/>
      <c r="Q72" s="18"/>
    </row>
    <row r="73" spans="1:17" ht="11.25" hidden="1" customHeight="1">
      <c r="A73" s="203"/>
      <c r="B73" s="1"/>
      <c r="C73" s="350"/>
      <c r="D73" s="350"/>
      <c r="E73" s="351"/>
      <c r="F73" s="351"/>
      <c r="G73" s="351"/>
      <c r="H73" s="351"/>
      <c r="I73" s="351"/>
      <c r="J73" s="351"/>
      <c r="K73" s="351"/>
      <c r="L73" s="351"/>
      <c r="M73" s="351"/>
      <c r="N73" s="351"/>
      <c r="O73" s="3"/>
    </row>
    <row r="74" spans="1:17" ht="11.25" hidden="1" customHeight="1">
      <c r="A74" s="203"/>
      <c r="B74" s="1"/>
      <c r="C74" s="350"/>
      <c r="D74" s="350"/>
      <c r="E74" s="351"/>
      <c r="F74" s="351"/>
      <c r="G74" s="351"/>
      <c r="H74" s="351"/>
      <c r="I74" s="351"/>
      <c r="J74" s="351"/>
      <c r="K74" s="351"/>
      <c r="L74" s="351"/>
      <c r="M74" s="351"/>
      <c r="N74" s="351"/>
      <c r="O74" s="3"/>
    </row>
    <row r="75" spans="1:17" ht="11.25" hidden="1" customHeight="1">
      <c r="A75" s="203"/>
      <c r="B75" s="1"/>
      <c r="C75" s="350"/>
      <c r="D75" s="350"/>
      <c r="E75" s="349"/>
      <c r="F75" s="349"/>
      <c r="G75" s="349"/>
      <c r="H75" s="349"/>
      <c r="I75" s="349"/>
      <c r="J75" s="349"/>
      <c r="K75" s="349"/>
      <c r="L75" s="349"/>
      <c r="M75" s="349"/>
      <c r="N75" s="349"/>
      <c r="O75" s="3"/>
    </row>
    <row r="76" spans="1:17" ht="10.199999999999999" hidden="1">
      <c r="A76" s="203"/>
      <c r="B76" s="1"/>
      <c r="C76" s="350"/>
      <c r="D76" s="350"/>
      <c r="E76" s="349"/>
      <c r="F76" s="349"/>
      <c r="G76" s="349"/>
      <c r="H76" s="349"/>
      <c r="I76" s="349"/>
      <c r="J76" s="349"/>
      <c r="K76" s="349"/>
      <c r="L76" s="349"/>
      <c r="M76" s="349"/>
      <c r="N76" s="349"/>
      <c r="O76" s="3"/>
    </row>
    <row r="77" spans="1:17" ht="4.5" hidden="1" customHeight="1">
      <c r="A77" s="203"/>
      <c r="B77" s="348"/>
      <c r="C77" s="3"/>
      <c r="D77" s="3"/>
      <c r="E77" s="3"/>
      <c r="F77" s="3"/>
      <c r="G77" s="3"/>
      <c r="H77" s="3"/>
      <c r="I77" s="3"/>
      <c r="J77" s="3"/>
      <c r="K77" s="3"/>
      <c r="L77" s="3"/>
      <c r="M77" s="3"/>
      <c r="N77" s="3"/>
      <c r="O77" s="3"/>
    </row>
    <row r="78" spans="1:17" ht="10.199999999999999" hidden="1">
      <c r="A78" s="203"/>
      <c r="B78" s="3"/>
      <c r="C78" s="6"/>
      <c r="D78" s="6"/>
      <c r="E78" s="6"/>
      <c r="F78" s="6"/>
      <c r="G78" s="6"/>
      <c r="H78" s="6"/>
      <c r="I78" s="6"/>
      <c r="J78" s="6"/>
      <c r="K78" s="6"/>
      <c r="L78" s="6"/>
      <c r="M78" s="6"/>
      <c r="N78" s="6"/>
      <c r="O78" s="3"/>
    </row>
    <row r="79" spans="1:17" ht="10.199999999999999" hidden="1">
      <c r="A79" s="203"/>
      <c r="B79" s="3"/>
      <c r="C79" s="6"/>
      <c r="D79" s="6"/>
      <c r="E79" s="6"/>
      <c r="F79" s="6"/>
      <c r="G79" s="6"/>
      <c r="H79" s="6"/>
      <c r="I79" s="6"/>
      <c r="J79" s="6"/>
      <c r="K79" s="6"/>
      <c r="L79" s="6"/>
      <c r="M79" s="6"/>
      <c r="N79" s="6"/>
      <c r="O79" s="3"/>
    </row>
    <row r="80" spans="1:17" ht="10.199999999999999" hidden="1">
      <c r="A80" s="203"/>
      <c r="B80" s="3"/>
      <c r="C80" s="6"/>
      <c r="D80" s="6"/>
      <c r="E80" s="6"/>
      <c r="F80" s="6"/>
      <c r="G80" s="6"/>
      <c r="H80" s="6"/>
      <c r="I80" s="6"/>
      <c r="J80" s="6"/>
      <c r="K80" s="6"/>
      <c r="L80" s="6"/>
      <c r="M80" s="6"/>
      <c r="N80" s="6"/>
      <c r="O80" s="3"/>
    </row>
    <row r="81" spans="1:15" ht="10.199999999999999" hidden="1">
      <c r="A81" s="203"/>
      <c r="B81" s="3"/>
      <c r="C81" s="6"/>
      <c r="D81" s="6"/>
      <c r="E81" s="6"/>
      <c r="F81" s="6"/>
      <c r="G81" s="6"/>
      <c r="H81" s="6"/>
      <c r="I81" s="6"/>
      <c r="J81" s="6"/>
      <c r="K81" s="6"/>
      <c r="L81" s="6"/>
      <c r="M81" s="6"/>
      <c r="N81" s="6"/>
      <c r="O81" s="3"/>
    </row>
    <row r="82" spans="1:15" s="161" customFormat="1" ht="10.199999999999999" hidden="1">
      <c r="A82" s="203"/>
      <c r="B82" s="23"/>
      <c r="C82" s="22"/>
      <c r="D82" s="22"/>
      <c r="E82" s="22"/>
      <c r="F82" s="22"/>
      <c r="G82" s="22"/>
      <c r="H82" s="22"/>
      <c r="I82" s="22"/>
      <c r="J82" s="22"/>
      <c r="K82" s="22"/>
      <c r="L82" s="22"/>
      <c r="M82" s="22"/>
      <c r="N82" s="22"/>
      <c r="O82" s="23"/>
    </row>
    <row r="83" spans="1:15" ht="10.199999999999999" hidden="1">
      <c r="A83" s="203"/>
      <c r="B83" s="3"/>
      <c r="C83" s="6"/>
      <c r="D83" s="6"/>
      <c r="E83" s="6"/>
      <c r="F83" s="6"/>
      <c r="G83" s="6"/>
      <c r="H83" s="6"/>
      <c r="I83" s="6"/>
      <c r="J83" s="6"/>
      <c r="K83" s="6"/>
      <c r="L83" s="6"/>
      <c r="M83" s="6"/>
      <c r="N83" s="6"/>
      <c r="O83" s="3"/>
    </row>
    <row r="84" spans="1:15" ht="10.199999999999999" hidden="1">
      <c r="A84" s="203"/>
      <c r="B84" s="3"/>
      <c r="C84" s="6"/>
      <c r="D84" s="6"/>
      <c r="E84" s="6"/>
      <c r="F84" s="6"/>
      <c r="G84" s="6"/>
      <c r="H84" s="6"/>
      <c r="I84" s="6"/>
      <c r="J84" s="6"/>
      <c r="K84" s="6"/>
      <c r="L84" s="6"/>
      <c r="M84" s="6"/>
      <c r="N84" s="6"/>
      <c r="O84" s="3"/>
    </row>
    <row r="85" spans="1:15" ht="10.199999999999999" hidden="1">
      <c r="A85" s="203"/>
      <c r="B85" s="23"/>
      <c r="C85" s="22"/>
      <c r="D85" s="22"/>
      <c r="E85" s="22"/>
      <c r="F85" s="22"/>
      <c r="G85" s="22"/>
      <c r="H85" s="22"/>
      <c r="I85" s="22"/>
      <c r="J85" s="22"/>
      <c r="K85" s="22"/>
      <c r="L85" s="22"/>
      <c r="M85" s="22"/>
      <c r="N85" s="22"/>
      <c r="O85" s="3"/>
    </row>
    <row r="86" spans="1:15" ht="10.199999999999999" hidden="1">
      <c r="A86" s="203"/>
      <c r="B86" s="348"/>
      <c r="C86" s="3"/>
      <c r="D86" s="3"/>
      <c r="E86" s="3"/>
      <c r="F86" s="3"/>
      <c r="G86" s="3"/>
      <c r="H86" s="3"/>
      <c r="I86" s="3"/>
      <c r="J86" s="3"/>
      <c r="K86" s="3"/>
      <c r="L86" s="3"/>
      <c r="M86" s="3"/>
      <c r="N86" s="3"/>
      <c r="O86" s="3"/>
    </row>
    <row r="87" spans="1:15" ht="10.199999999999999" hidden="1">
      <c r="A87" s="203"/>
      <c r="B87" s="3"/>
      <c r="C87" s="6"/>
      <c r="D87" s="6"/>
      <c r="E87" s="6"/>
      <c r="F87" s="6"/>
      <c r="G87" s="3"/>
      <c r="H87" s="6"/>
      <c r="I87" s="6"/>
      <c r="J87" s="6"/>
      <c r="K87" s="6"/>
      <c r="L87" s="6"/>
      <c r="M87" s="6"/>
      <c r="N87" s="6"/>
      <c r="O87" s="3"/>
    </row>
    <row r="88" spans="1:15" ht="10.199999999999999" hidden="1">
      <c r="A88" s="203"/>
      <c r="B88" s="3"/>
      <c r="C88" s="6"/>
      <c r="D88" s="6"/>
      <c r="E88" s="6"/>
      <c r="F88" s="6"/>
      <c r="G88" s="3"/>
      <c r="H88" s="6"/>
      <c r="I88" s="6"/>
      <c r="J88" s="6"/>
      <c r="K88" s="6"/>
      <c r="L88" s="6"/>
      <c r="M88" s="6"/>
      <c r="N88" s="6"/>
      <c r="O88" s="3"/>
    </row>
    <row r="89" spans="1:15" ht="10.199999999999999" hidden="1">
      <c r="A89" s="203"/>
      <c r="B89" s="3"/>
      <c r="C89" s="6"/>
      <c r="D89" s="6"/>
      <c r="E89" s="6"/>
      <c r="F89" s="6"/>
      <c r="G89" s="3"/>
      <c r="H89" s="6"/>
      <c r="I89" s="6"/>
      <c r="J89" s="6"/>
      <c r="K89" s="6"/>
      <c r="L89" s="6"/>
      <c r="M89" s="6"/>
      <c r="N89" s="6"/>
      <c r="O89" s="3"/>
    </row>
    <row r="90" spans="1:15" ht="10.199999999999999" hidden="1">
      <c r="A90" s="203"/>
      <c r="B90" s="3"/>
      <c r="C90" s="6"/>
      <c r="D90" s="6"/>
      <c r="E90" s="6"/>
      <c r="F90" s="6"/>
      <c r="G90" s="3"/>
      <c r="H90" s="6"/>
      <c r="I90" s="6"/>
      <c r="J90" s="6"/>
      <c r="K90" s="6"/>
      <c r="L90" s="6"/>
      <c r="M90" s="6"/>
      <c r="N90" s="6"/>
      <c r="O90" s="3"/>
    </row>
    <row r="91" spans="1:15" ht="10.199999999999999" hidden="1">
      <c r="A91" s="203"/>
      <c r="B91" s="3"/>
      <c r="C91" s="6"/>
      <c r="D91" s="6"/>
      <c r="E91" s="6"/>
      <c r="F91" s="6"/>
      <c r="G91" s="3"/>
      <c r="H91" s="6"/>
      <c r="I91" s="6"/>
      <c r="J91" s="6"/>
      <c r="K91" s="6"/>
      <c r="L91" s="6"/>
      <c r="M91" s="6"/>
      <c r="N91" s="6"/>
      <c r="O91" s="3"/>
    </row>
    <row r="92" spans="1:15" ht="10.199999999999999" hidden="1">
      <c r="A92" s="203"/>
      <c r="B92" s="3"/>
      <c r="C92" s="6"/>
      <c r="D92" s="6"/>
      <c r="E92" s="6"/>
      <c r="F92" s="6"/>
      <c r="G92" s="3"/>
      <c r="H92" s="6"/>
      <c r="I92" s="6"/>
      <c r="J92" s="6"/>
      <c r="K92" s="6"/>
      <c r="L92" s="6"/>
      <c r="M92" s="6"/>
      <c r="N92" s="6"/>
      <c r="O92" s="3"/>
    </row>
    <row r="93" spans="1:15" ht="10.199999999999999" hidden="1">
      <c r="A93" s="203"/>
      <c r="B93" s="3"/>
      <c r="C93" s="6"/>
      <c r="D93" s="6"/>
      <c r="E93" s="6"/>
      <c r="F93" s="6"/>
      <c r="G93" s="3"/>
      <c r="H93" s="6"/>
      <c r="I93" s="6"/>
      <c r="J93" s="6"/>
      <c r="K93" s="6"/>
      <c r="L93" s="6"/>
      <c r="M93" s="6"/>
      <c r="N93" s="6"/>
      <c r="O93" s="3"/>
    </row>
    <row r="94" spans="1:15" ht="10.199999999999999" hidden="1">
      <c r="A94" s="203"/>
      <c r="B94" s="3"/>
      <c r="C94" s="6"/>
      <c r="D94" s="6"/>
      <c r="E94" s="6"/>
      <c r="F94" s="6"/>
      <c r="G94" s="6"/>
      <c r="H94" s="6"/>
      <c r="I94" s="6"/>
      <c r="J94" s="6"/>
      <c r="K94" s="6"/>
      <c r="L94" s="6"/>
      <c r="M94" s="6"/>
      <c r="N94" s="6"/>
      <c r="O94" s="3"/>
    </row>
    <row r="95" spans="1:15" ht="10.199999999999999" hidden="1">
      <c r="A95" s="203"/>
      <c r="B95" s="23"/>
      <c r="C95" s="22"/>
      <c r="D95" s="22"/>
      <c r="E95" s="22"/>
      <c r="F95" s="22"/>
      <c r="G95" s="22"/>
      <c r="H95" s="22"/>
      <c r="I95" s="22"/>
      <c r="J95" s="22"/>
      <c r="K95" s="22"/>
      <c r="L95" s="22"/>
      <c r="M95" s="22"/>
      <c r="N95" s="22"/>
      <c r="O95" s="3"/>
    </row>
    <row r="96" spans="1:15" ht="10.199999999999999" hidden="1">
      <c r="A96" s="203"/>
      <c r="B96" s="348"/>
      <c r="C96" s="3"/>
      <c r="D96" s="3"/>
      <c r="E96" s="3"/>
      <c r="F96" s="3"/>
      <c r="G96" s="3"/>
      <c r="H96" s="3"/>
      <c r="I96" s="3"/>
      <c r="J96" s="3"/>
      <c r="K96" s="3"/>
      <c r="L96" s="3"/>
      <c r="M96" s="3"/>
      <c r="N96" s="3"/>
      <c r="O96" s="3"/>
    </row>
    <row r="97" spans="1:15" ht="10.199999999999999" hidden="1">
      <c r="A97" s="203"/>
      <c r="B97" s="3"/>
      <c r="C97" s="22"/>
      <c r="D97" s="22"/>
      <c r="E97" s="22"/>
      <c r="F97" s="22"/>
      <c r="G97" s="6"/>
      <c r="H97" s="6"/>
      <c r="I97" s="6"/>
      <c r="J97" s="22"/>
      <c r="K97" s="22"/>
      <c r="L97" s="22"/>
      <c r="M97" s="22"/>
      <c r="N97" s="22"/>
      <c r="O97" s="3"/>
    </row>
    <row r="98" spans="1:15" ht="10.199999999999999" hidden="1">
      <c r="A98" s="203"/>
      <c r="B98" s="3"/>
      <c r="C98" s="22"/>
      <c r="D98" s="22"/>
      <c r="E98" s="22"/>
      <c r="F98" s="22"/>
      <c r="G98" s="6"/>
      <c r="H98" s="6"/>
      <c r="I98" s="6"/>
      <c r="J98" s="6"/>
      <c r="K98" s="6"/>
      <c r="L98" s="6"/>
      <c r="M98" s="6"/>
      <c r="N98" s="6"/>
      <c r="O98" s="3"/>
    </row>
    <row r="99" spans="1:15" ht="10.199999999999999" hidden="1">
      <c r="A99" s="203"/>
      <c r="B99" s="3"/>
      <c r="C99" s="22"/>
      <c r="D99" s="22"/>
      <c r="E99" s="22"/>
      <c r="F99" s="22"/>
      <c r="G99" s="22"/>
      <c r="H99" s="6"/>
      <c r="I99" s="6"/>
      <c r="J99" s="6"/>
      <c r="K99" s="6"/>
      <c r="L99" s="6"/>
      <c r="M99" s="6"/>
      <c r="N99" s="6"/>
      <c r="O99" s="3"/>
    </row>
    <row r="100" spans="1:15" ht="10.199999999999999" hidden="1">
      <c r="A100" s="203"/>
      <c r="B100" s="3"/>
      <c r="C100" s="22"/>
      <c r="D100" s="22"/>
      <c r="E100" s="22"/>
      <c r="F100" s="22"/>
      <c r="G100" s="22"/>
      <c r="H100" s="6"/>
      <c r="I100" s="6"/>
      <c r="J100" s="6"/>
      <c r="K100" s="6"/>
      <c r="L100" s="6"/>
      <c r="M100" s="6"/>
      <c r="N100" s="6"/>
      <c r="O100" s="3"/>
    </row>
    <row r="101" spans="1:15" ht="10.199999999999999" hidden="1">
      <c r="A101" s="203"/>
      <c r="B101" s="3"/>
      <c r="C101" s="22"/>
      <c r="D101" s="22"/>
      <c r="E101" s="22"/>
      <c r="F101" s="22"/>
      <c r="G101" s="22"/>
      <c r="H101" s="6"/>
      <c r="I101" s="6"/>
      <c r="J101" s="6"/>
      <c r="K101" s="6"/>
      <c r="L101" s="6"/>
      <c r="M101" s="6"/>
      <c r="N101" s="6"/>
      <c r="O101" s="3"/>
    </row>
    <row r="102" spans="1:15" ht="10.199999999999999" hidden="1">
      <c r="A102" s="203"/>
      <c r="B102" s="23"/>
      <c r="C102" s="347"/>
      <c r="D102" s="22"/>
      <c r="E102" s="22"/>
      <c r="F102" s="22"/>
      <c r="G102" s="22"/>
      <c r="H102" s="22"/>
      <c r="I102" s="22"/>
      <c r="J102" s="22"/>
      <c r="K102" s="22"/>
      <c r="L102" s="22"/>
      <c r="M102" s="22"/>
      <c r="N102" s="22"/>
      <c r="O102" s="3"/>
    </row>
    <row r="103" spans="1:15" ht="4.5" hidden="1" customHeight="1">
      <c r="A103" s="203"/>
      <c r="B103" s="23"/>
      <c r="C103" s="23"/>
      <c r="D103" s="23"/>
      <c r="E103" s="23"/>
      <c r="F103" s="23"/>
      <c r="G103" s="23"/>
      <c r="H103" s="22"/>
      <c r="I103" s="22"/>
      <c r="J103" s="22"/>
      <c r="K103" s="22"/>
      <c r="L103" s="22"/>
      <c r="M103" s="22"/>
      <c r="N103" s="22"/>
      <c r="O103" s="3"/>
    </row>
    <row r="104" spans="1:15" s="208" customFormat="1" ht="10.199999999999999" hidden="1">
      <c r="A104" s="209"/>
      <c r="B104" s="346"/>
      <c r="C104" s="346"/>
      <c r="D104" s="346"/>
      <c r="E104" s="346"/>
      <c r="F104" s="346"/>
      <c r="G104" s="346"/>
      <c r="H104" s="346"/>
      <c r="I104" s="346"/>
      <c r="J104" s="346"/>
      <c r="K104" s="346"/>
      <c r="L104" s="346"/>
      <c r="M104" s="346"/>
      <c r="N104" s="346"/>
      <c r="O104" s="346"/>
    </row>
    <row r="105" spans="1:15" ht="13.2" hidden="1">
      <c r="A105" s="203"/>
      <c r="B105" s="206"/>
      <c r="C105" s="205"/>
      <c r="D105" s="205"/>
      <c r="E105" s="205"/>
      <c r="F105" s="205"/>
      <c r="G105" s="205"/>
      <c r="H105" s="205"/>
      <c r="I105" s="205"/>
      <c r="J105" s="205"/>
      <c r="K105" s="205"/>
      <c r="L105" s="205"/>
      <c r="M105" s="205"/>
      <c r="N105" s="205"/>
      <c r="O105" s="3"/>
    </row>
    <row r="106" spans="1:15" ht="15" hidden="1" customHeight="1">
      <c r="A106" s="203"/>
      <c r="B106" s="23"/>
      <c r="C106" s="3"/>
      <c r="D106" s="3"/>
      <c r="E106" s="3"/>
      <c r="F106" s="3"/>
      <c r="G106" s="3"/>
      <c r="H106" s="3"/>
      <c r="I106" s="3"/>
      <c r="J106" s="21"/>
      <c r="K106" s="21"/>
      <c r="L106" s="21"/>
      <c r="M106" s="21"/>
      <c r="N106" s="21"/>
      <c r="O106" s="3"/>
    </row>
    <row r="107" spans="1:15" s="2" customFormat="1" ht="13.2" hidden="1">
      <c r="B107" s="257"/>
      <c r="C107" s="224"/>
      <c r="D107" s="224"/>
      <c r="E107" s="224"/>
      <c r="F107" s="224"/>
      <c r="G107" s="224"/>
      <c r="H107" s="224"/>
      <c r="I107" s="345"/>
      <c r="J107" s="345"/>
      <c r="K107" s="345"/>
      <c r="L107" s="345"/>
      <c r="M107" s="345"/>
      <c r="N107" s="345"/>
    </row>
    <row r="108" spans="1:15" s="3" customFormat="1" ht="13.2" hidden="1">
      <c r="A108" s="37"/>
      <c r="B108" s="206"/>
      <c r="C108" s="205"/>
      <c r="D108" s="205"/>
      <c r="E108" s="205"/>
      <c r="F108" s="205"/>
      <c r="G108" s="205"/>
      <c r="H108" s="205"/>
      <c r="I108" s="205"/>
      <c r="J108" s="205"/>
      <c r="K108" s="205"/>
      <c r="L108" s="205"/>
      <c r="M108" s="205"/>
      <c r="N108" s="205"/>
    </row>
    <row r="109" spans="1:15" ht="10.199999999999999" hidden="1">
      <c r="B109" s="23"/>
      <c r="C109" s="3"/>
      <c r="D109" s="3"/>
      <c r="E109" s="3"/>
      <c r="F109" s="3"/>
      <c r="G109" s="3"/>
      <c r="H109" s="3"/>
      <c r="I109" s="3"/>
      <c r="J109" s="3"/>
      <c r="K109" s="3"/>
      <c r="L109" s="3"/>
      <c r="M109" s="3"/>
      <c r="N109" s="3"/>
      <c r="O109" s="3"/>
    </row>
    <row r="110" spans="1:15" ht="10.199999999999999" hidden="1">
      <c r="B110" s="3"/>
      <c r="C110" s="3"/>
      <c r="D110" s="3"/>
      <c r="E110" s="3"/>
      <c r="F110" s="3"/>
      <c r="G110" s="3"/>
      <c r="H110" s="3"/>
      <c r="I110" s="6"/>
      <c r="J110" s="6"/>
      <c r="K110" s="6"/>
      <c r="L110" s="6"/>
      <c r="M110" s="6"/>
      <c r="N110" s="6"/>
      <c r="O110" s="3"/>
    </row>
    <row r="111" spans="1:15" ht="10.199999999999999" hidden="1">
      <c r="B111" s="3"/>
      <c r="C111" s="3"/>
      <c r="D111" s="3"/>
      <c r="E111" s="3"/>
      <c r="F111" s="3"/>
      <c r="G111" s="3"/>
      <c r="H111" s="3"/>
      <c r="I111" s="3"/>
      <c r="J111" s="6"/>
      <c r="K111" s="6"/>
      <c r="L111" s="6"/>
      <c r="M111" s="6"/>
      <c r="N111" s="6"/>
      <c r="O111" s="3"/>
    </row>
    <row r="112" spans="1:15" ht="10.199999999999999" hidden="1">
      <c r="B112" s="3"/>
      <c r="C112" s="3"/>
      <c r="D112" s="3"/>
      <c r="E112" s="3"/>
      <c r="F112" s="3"/>
      <c r="G112" s="3"/>
      <c r="H112" s="3"/>
      <c r="I112" s="3"/>
      <c r="J112" s="6"/>
      <c r="K112" s="6"/>
      <c r="L112" s="6"/>
      <c r="M112" s="6"/>
      <c r="N112" s="6"/>
      <c r="O112" s="3"/>
    </row>
    <row r="113" spans="2:15" ht="10.199999999999999" hidden="1">
      <c r="B113" s="3"/>
      <c r="C113" s="3"/>
      <c r="D113" s="3"/>
      <c r="E113" s="3"/>
      <c r="F113" s="3"/>
      <c r="G113" s="3"/>
      <c r="H113" s="3"/>
      <c r="I113" s="3"/>
      <c r="J113" s="6"/>
      <c r="K113" s="6"/>
      <c r="L113" s="6"/>
      <c r="M113" s="6"/>
      <c r="N113" s="6"/>
      <c r="O113" s="3"/>
    </row>
    <row r="114" spans="2:15" ht="10.199999999999999" hidden="1">
      <c r="B114" s="3"/>
      <c r="C114" s="3"/>
      <c r="D114" s="3"/>
      <c r="E114" s="3"/>
      <c r="F114" s="3"/>
      <c r="G114" s="3"/>
      <c r="H114" s="3"/>
      <c r="I114" s="3"/>
      <c r="J114" s="6"/>
      <c r="K114" s="6"/>
      <c r="L114" s="6"/>
      <c r="M114" s="6"/>
      <c r="N114" s="6"/>
      <c r="O114" s="3"/>
    </row>
    <row r="115" spans="2:15" ht="10.199999999999999" hidden="1">
      <c r="B115" s="3"/>
      <c r="C115" s="3"/>
      <c r="D115" s="3"/>
      <c r="E115" s="3"/>
      <c r="F115" s="3"/>
      <c r="G115" s="3"/>
      <c r="H115" s="3"/>
      <c r="I115" s="3"/>
      <c r="J115" s="3"/>
      <c r="K115" s="3"/>
      <c r="L115" s="3"/>
      <c r="M115" s="3"/>
      <c r="N115" s="3"/>
      <c r="O115" s="3"/>
    </row>
    <row r="116" spans="2:15" ht="10.199999999999999" hidden="1">
      <c r="B116" s="23"/>
      <c r="C116" s="3"/>
      <c r="D116" s="3"/>
      <c r="E116" s="3"/>
      <c r="F116" s="3"/>
      <c r="G116" s="3"/>
      <c r="H116" s="3"/>
      <c r="I116" s="3"/>
      <c r="J116" s="3"/>
      <c r="K116" s="3"/>
      <c r="L116" s="3"/>
      <c r="M116" s="3"/>
      <c r="N116" s="3"/>
      <c r="O116" s="3"/>
    </row>
    <row r="117" spans="2:15" ht="10.199999999999999" hidden="1">
      <c r="B117" s="3"/>
      <c r="C117" s="3"/>
      <c r="D117" s="3"/>
      <c r="E117" s="3"/>
      <c r="F117" s="3"/>
      <c r="G117" s="3"/>
      <c r="H117" s="3"/>
      <c r="I117" s="3"/>
      <c r="J117" s="6"/>
      <c r="K117" s="6"/>
      <c r="L117" s="6"/>
      <c r="M117" s="6"/>
      <c r="N117" s="6"/>
      <c r="O117" s="3"/>
    </row>
    <row r="118" spans="2:15" ht="10.199999999999999" hidden="1">
      <c r="B118" s="3"/>
      <c r="C118" s="3"/>
      <c r="D118" s="3"/>
      <c r="E118" s="3"/>
      <c r="F118" s="3"/>
      <c r="G118" s="3"/>
      <c r="H118" s="3"/>
      <c r="I118" s="3"/>
      <c r="J118" s="6"/>
      <c r="K118" s="6"/>
      <c r="L118" s="6"/>
      <c r="M118" s="6"/>
      <c r="N118" s="6"/>
      <c r="O118" s="3"/>
    </row>
    <row r="119" spans="2:15" ht="10.199999999999999" hidden="1">
      <c r="B119" s="3"/>
      <c r="C119" s="3"/>
      <c r="D119" s="3"/>
      <c r="E119" s="3"/>
      <c r="F119" s="3"/>
      <c r="G119" s="3"/>
      <c r="H119" s="3"/>
      <c r="I119" s="3"/>
      <c r="J119" s="6"/>
      <c r="K119" s="6"/>
      <c r="L119" s="6"/>
      <c r="M119" s="6"/>
      <c r="N119" s="6"/>
      <c r="O119" s="3"/>
    </row>
    <row r="120" spans="2:15" ht="10.199999999999999" hidden="1">
      <c r="B120" s="3"/>
      <c r="C120" s="3"/>
      <c r="D120" s="3"/>
      <c r="E120" s="3"/>
      <c r="F120" s="3"/>
      <c r="G120" s="3"/>
      <c r="H120" s="3"/>
      <c r="I120" s="3"/>
      <c r="J120" s="6"/>
      <c r="K120" s="6"/>
      <c r="L120" s="6"/>
      <c r="M120" s="6"/>
      <c r="N120" s="6"/>
      <c r="O120" s="3"/>
    </row>
    <row r="121" spans="2:15" ht="10.199999999999999" hidden="1">
      <c r="B121" s="3"/>
      <c r="C121" s="3"/>
      <c r="D121" s="3"/>
      <c r="E121" s="3"/>
      <c r="F121" s="3"/>
      <c r="G121" s="3"/>
      <c r="H121" s="3"/>
      <c r="I121" s="3"/>
      <c r="J121" s="6"/>
      <c r="K121" s="6"/>
      <c r="L121" s="6"/>
      <c r="M121" s="6"/>
      <c r="N121" s="6"/>
      <c r="O121" s="3"/>
    </row>
    <row r="122" spans="2:15" ht="10.199999999999999" hidden="1">
      <c r="B122" s="3"/>
      <c r="C122" s="3"/>
      <c r="D122" s="3"/>
      <c r="E122" s="3"/>
      <c r="F122" s="3"/>
      <c r="G122" s="3"/>
      <c r="H122" s="3"/>
      <c r="I122" s="3"/>
      <c r="J122" s="3"/>
      <c r="K122" s="3"/>
      <c r="L122" s="3"/>
      <c r="M122" s="3"/>
      <c r="N122" s="3"/>
      <c r="O122" s="3"/>
    </row>
    <row r="123" spans="2:15" ht="10.199999999999999" hidden="1">
      <c r="B123" s="23"/>
      <c r="C123" s="3"/>
      <c r="D123" s="3"/>
      <c r="E123" s="3"/>
      <c r="F123" s="3"/>
      <c r="G123" s="3"/>
      <c r="H123" s="3"/>
      <c r="I123" s="3"/>
      <c r="J123" s="3"/>
      <c r="K123" s="3"/>
      <c r="L123" s="3"/>
      <c r="M123" s="3"/>
      <c r="N123" s="3"/>
      <c r="O123" s="3"/>
    </row>
    <row r="124" spans="2:15" ht="10.199999999999999" hidden="1">
      <c r="B124" s="3"/>
      <c r="C124" s="3"/>
      <c r="D124" s="3"/>
      <c r="E124" s="3"/>
      <c r="F124" s="3"/>
      <c r="G124" s="3"/>
      <c r="H124" s="3"/>
      <c r="I124" s="3"/>
      <c r="J124" s="6"/>
      <c r="K124" s="6"/>
      <c r="L124" s="6"/>
      <c r="M124" s="6"/>
      <c r="N124" s="6"/>
      <c r="O124" s="3"/>
    </row>
    <row r="125" spans="2:15" ht="10.199999999999999" hidden="1">
      <c r="B125" s="3"/>
      <c r="C125" s="3"/>
      <c r="D125" s="3"/>
      <c r="E125" s="3"/>
      <c r="F125" s="3"/>
      <c r="G125" s="3"/>
      <c r="H125" s="3"/>
      <c r="I125" s="3"/>
      <c r="J125" s="6"/>
      <c r="K125" s="6"/>
      <c r="L125" s="6"/>
      <c r="M125" s="6"/>
      <c r="N125" s="6"/>
      <c r="O125" s="3"/>
    </row>
    <row r="126" spans="2:15" ht="10.199999999999999" hidden="1">
      <c r="B126" s="3"/>
      <c r="C126" s="3"/>
      <c r="D126" s="3"/>
      <c r="E126" s="3"/>
      <c r="F126" s="3"/>
      <c r="G126" s="3"/>
      <c r="H126" s="3"/>
      <c r="I126" s="3"/>
      <c r="J126" s="6"/>
      <c r="K126" s="6"/>
      <c r="L126" s="6"/>
      <c r="M126" s="6"/>
      <c r="N126" s="6"/>
      <c r="O126" s="3"/>
    </row>
    <row r="127" spans="2:15" ht="10.199999999999999" hidden="1">
      <c r="B127" s="3"/>
      <c r="C127" s="3"/>
      <c r="D127" s="3"/>
      <c r="E127" s="3"/>
      <c r="F127" s="3"/>
      <c r="G127" s="3"/>
      <c r="H127" s="3"/>
      <c r="I127" s="3"/>
      <c r="J127" s="6"/>
      <c r="K127" s="6"/>
      <c r="L127" s="6"/>
      <c r="M127" s="6"/>
      <c r="N127" s="6"/>
      <c r="O127" s="3"/>
    </row>
    <row r="128" spans="2:15" ht="10.199999999999999" hidden="1">
      <c r="B128" s="3"/>
      <c r="C128" s="3"/>
      <c r="D128" s="3"/>
      <c r="E128" s="3"/>
      <c r="F128" s="3"/>
      <c r="G128" s="3"/>
      <c r="H128" s="3"/>
      <c r="I128" s="3"/>
      <c r="J128" s="6"/>
      <c r="K128" s="6"/>
      <c r="L128" s="6"/>
      <c r="M128" s="6"/>
      <c r="N128" s="6"/>
      <c r="O128" s="3"/>
    </row>
    <row r="129" spans="1:24 16384:16384" ht="10.199999999999999" hidden="1">
      <c r="B129" s="3"/>
      <c r="C129" s="3"/>
      <c r="D129" s="3"/>
      <c r="E129" s="3"/>
      <c r="F129" s="3"/>
      <c r="G129" s="3"/>
      <c r="H129" s="3"/>
      <c r="I129" s="3"/>
      <c r="J129" s="3"/>
      <c r="K129" s="3"/>
      <c r="L129" s="3"/>
      <c r="M129" s="3"/>
      <c r="N129" s="3"/>
      <c r="O129" s="3"/>
    </row>
    <row r="130" spans="1:24 16384:16384" ht="10.199999999999999" hidden="1">
      <c r="B130" s="23"/>
      <c r="C130" s="3"/>
      <c r="D130" s="3"/>
      <c r="E130" s="3"/>
      <c r="F130" s="3"/>
      <c r="G130" s="3"/>
      <c r="H130" s="3"/>
      <c r="I130" s="3"/>
      <c r="J130" s="3"/>
      <c r="K130" s="3"/>
      <c r="L130" s="3"/>
      <c r="M130" s="3"/>
      <c r="N130" s="3"/>
      <c r="O130" s="3"/>
    </row>
    <row r="131" spans="1:24 16384:16384" ht="10.199999999999999" hidden="1">
      <c r="B131" s="3"/>
      <c r="C131" s="3"/>
      <c r="D131" s="3"/>
      <c r="E131" s="3"/>
      <c r="F131" s="3"/>
      <c r="G131" s="3"/>
      <c r="H131" s="3"/>
      <c r="I131" s="6"/>
      <c r="J131" s="6"/>
      <c r="K131" s="6"/>
      <c r="L131" s="6"/>
      <c r="M131" s="6"/>
      <c r="N131" s="6"/>
      <c r="O131" s="3"/>
    </row>
    <row r="132" spans="1:24 16384:16384" ht="10.199999999999999" hidden="1">
      <c r="B132" s="3"/>
      <c r="C132" s="3"/>
      <c r="D132" s="3"/>
      <c r="E132" s="3"/>
      <c r="F132" s="3"/>
      <c r="G132" s="3"/>
      <c r="H132" s="3"/>
      <c r="I132" s="6"/>
      <c r="J132" s="6"/>
      <c r="K132" s="6"/>
      <c r="L132" s="6"/>
      <c r="M132" s="6"/>
      <c r="N132" s="6"/>
      <c r="O132" s="3"/>
    </row>
    <row r="133" spans="1:24 16384:16384" ht="10.199999999999999" hidden="1">
      <c r="B133" s="3"/>
      <c r="C133" s="3"/>
      <c r="D133" s="3"/>
      <c r="E133" s="3"/>
      <c r="F133" s="3"/>
      <c r="G133" s="3"/>
      <c r="H133" s="3"/>
      <c r="I133" s="6"/>
      <c r="J133" s="6"/>
      <c r="K133" s="6"/>
      <c r="L133" s="6"/>
      <c r="M133" s="6"/>
      <c r="N133" s="6"/>
      <c r="O133" s="3"/>
    </row>
    <row r="134" spans="1:24 16384:16384" ht="10.199999999999999" hidden="1">
      <c r="B134" s="3"/>
      <c r="C134" s="3"/>
      <c r="D134" s="3"/>
      <c r="E134" s="3"/>
      <c r="F134" s="3"/>
      <c r="G134" s="3"/>
      <c r="H134" s="3"/>
      <c r="I134" s="6"/>
      <c r="J134" s="6"/>
      <c r="K134" s="6"/>
      <c r="L134" s="6"/>
      <c r="M134" s="6"/>
      <c r="N134" s="6"/>
      <c r="O134" s="3"/>
    </row>
    <row r="135" spans="1:24 16384:16384" ht="10.199999999999999" hidden="1">
      <c r="B135" s="3"/>
      <c r="C135" s="3"/>
      <c r="D135" s="3"/>
      <c r="E135" s="3"/>
      <c r="F135" s="3"/>
      <c r="G135" s="3"/>
      <c r="H135" s="3"/>
      <c r="I135" s="3"/>
      <c r="J135" s="6"/>
      <c r="K135" s="6"/>
      <c r="L135" s="6"/>
      <c r="M135" s="6"/>
      <c r="N135" s="6"/>
      <c r="O135" s="3"/>
    </row>
    <row r="136" spans="1:24 16384:16384" ht="10.199999999999999" hidden="1">
      <c r="A136" s="203"/>
      <c r="B136" s="3"/>
      <c r="C136" s="3"/>
      <c r="D136" s="3"/>
      <c r="E136" s="3"/>
      <c r="F136" s="3"/>
      <c r="G136" s="3"/>
      <c r="H136" s="3"/>
      <c r="I136" s="3"/>
      <c r="J136" s="3"/>
      <c r="K136" s="3"/>
      <c r="L136" s="3"/>
      <c r="M136" s="3"/>
      <c r="N136" s="3"/>
      <c r="O136" s="3"/>
    </row>
    <row r="137" spans="1:24 16384:16384" ht="10.199999999999999" hidden="1">
      <c r="A137" s="203"/>
      <c r="B137" s="3"/>
      <c r="C137" s="3"/>
      <c r="D137" s="3"/>
      <c r="E137" s="3"/>
      <c r="F137" s="3"/>
      <c r="G137" s="3"/>
      <c r="H137" s="3"/>
      <c r="I137" s="3"/>
      <c r="J137" s="3"/>
      <c r="K137" s="3"/>
      <c r="L137" s="3"/>
      <c r="M137" s="3"/>
      <c r="N137" s="3"/>
      <c r="O137" s="3"/>
    </row>
    <row r="138" spans="1:24 16384:16384" ht="10.199999999999999" hidden="1">
      <c r="A138" s="203"/>
      <c r="B138" s="23"/>
      <c r="C138" s="3"/>
      <c r="D138" s="3"/>
      <c r="E138" s="3"/>
      <c r="F138" s="3"/>
      <c r="G138" s="3"/>
      <c r="H138" s="3"/>
      <c r="I138" s="3"/>
      <c r="J138" s="3"/>
      <c r="K138" s="3"/>
      <c r="L138" s="3"/>
      <c r="M138" s="3"/>
      <c r="N138" s="3"/>
      <c r="O138" s="3"/>
    </row>
    <row r="139" spans="1:24 16384:16384" ht="10.199999999999999" hidden="1">
      <c r="A139" s="203"/>
      <c r="B139" s="3"/>
      <c r="C139" s="3"/>
      <c r="D139" s="3"/>
      <c r="E139" s="344"/>
      <c r="F139" s="3"/>
      <c r="G139" s="3"/>
      <c r="H139" s="3"/>
      <c r="I139" s="3"/>
      <c r="J139" s="3"/>
      <c r="K139" s="3"/>
      <c r="L139" s="3"/>
      <c r="M139" s="3"/>
      <c r="N139" s="3"/>
      <c r="O139" s="3"/>
    </row>
    <row r="140" spans="1:24 16384:16384" ht="11.25" hidden="1" customHeight="1">
      <c r="A140" s="203"/>
      <c r="B140" s="23"/>
      <c r="C140" s="214"/>
      <c r="D140" s="214"/>
      <c r="E140" s="213"/>
      <c r="F140" s="23"/>
      <c r="G140" s="23"/>
      <c r="H140" s="22"/>
      <c r="I140" s="22"/>
      <c r="J140" s="22"/>
      <c r="K140" s="22"/>
      <c r="L140" s="22"/>
      <c r="M140" s="22"/>
      <c r="N140" s="22"/>
      <c r="O140" s="3"/>
      <c r="Q140"/>
      <c r="R140"/>
      <c r="S140"/>
      <c r="T140"/>
      <c r="U140"/>
      <c r="V140"/>
      <c r="W140"/>
      <c r="X140"/>
    </row>
    <row r="141" spans="1:24 16384:16384" ht="11.25" hidden="1" customHeight="1">
      <c r="A141" s="37"/>
      <c r="B141" s="257"/>
      <c r="C141" s="257"/>
      <c r="D141" s="257"/>
      <c r="E141" s="257"/>
      <c r="F141" s="257"/>
      <c r="G141" s="257"/>
      <c r="H141" s="257"/>
      <c r="I141" s="257"/>
      <c r="J141" s="257"/>
      <c r="K141" s="257"/>
      <c r="L141" s="257"/>
      <c r="M141" s="257"/>
      <c r="N141" s="257"/>
      <c r="O141" s="257"/>
      <c r="Q141"/>
      <c r="R141"/>
      <c r="S141"/>
      <c r="T141"/>
      <c r="U141"/>
      <c r="V141"/>
      <c r="W141"/>
      <c r="X141"/>
    </row>
    <row r="142" spans="1:24 16384:16384" ht="11.25" hidden="1" customHeight="1">
      <c r="A142" s="203"/>
      <c r="B142" s="23"/>
      <c r="C142" s="334"/>
      <c r="D142" s="334"/>
      <c r="E142" s="294"/>
      <c r="F142" s="316"/>
      <c r="G142" s="316"/>
      <c r="H142" s="334"/>
      <c r="I142" s="334"/>
      <c r="J142" s="334"/>
      <c r="K142" s="343"/>
      <c r="L142" s="343"/>
      <c r="M142" s="343"/>
      <c r="N142" s="343"/>
      <c r="O142" s="343"/>
      <c r="Q142"/>
      <c r="R142"/>
      <c r="S142"/>
      <c r="T142"/>
      <c r="U142"/>
      <c r="V142"/>
      <c r="W142"/>
      <c r="X142"/>
    </row>
    <row r="143" spans="1:24 16384:16384" ht="11.25" hidden="1" customHeight="1">
      <c r="A143" s="203"/>
      <c r="B143" s="23"/>
      <c r="C143" s="334"/>
      <c r="D143" s="334"/>
      <c r="E143" s="334"/>
      <c r="F143" s="316"/>
      <c r="G143" s="316"/>
      <c r="H143" s="334"/>
      <c r="I143" s="334"/>
      <c r="J143" s="334"/>
      <c r="K143" s="318"/>
      <c r="L143" s="318"/>
      <c r="M143" s="318"/>
      <c r="N143" s="318"/>
      <c r="O143" s="318"/>
      <c r="Q143"/>
      <c r="R143"/>
      <c r="S143"/>
      <c r="T143"/>
      <c r="U143"/>
      <c r="V143"/>
      <c r="W143"/>
      <c r="X143"/>
    </row>
    <row r="144" spans="1:24 16384:16384" ht="11.25" hidden="1" customHeight="1">
      <c r="A144" s="203"/>
      <c r="B144" s="3"/>
      <c r="C144" s="333"/>
      <c r="D144" s="327"/>
      <c r="E144" s="331"/>
      <c r="F144" s="328"/>
      <c r="G144" s="328"/>
      <c r="H144" s="328"/>
      <c r="I144" s="328"/>
      <c r="J144" s="331"/>
      <c r="K144" s="342"/>
      <c r="L144" s="342"/>
      <c r="M144" s="342"/>
      <c r="N144" s="327"/>
      <c r="O144" s="339"/>
      <c r="Q144"/>
      <c r="R144"/>
      <c r="S144"/>
      <c r="T144"/>
      <c r="U144"/>
      <c r="V144"/>
      <c r="W144"/>
      <c r="X144"/>
      <c r="XFD144" s="293"/>
    </row>
    <row r="145" spans="1:24" ht="11.25" hidden="1" customHeight="1">
      <c r="A145" s="203"/>
      <c r="B145" s="3"/>
      <c r="C145" s="333"/>
      <c r="D145" s="327"/>
      <c r="E145" s="331"/>
      <c r="F145" s="328"/>
      <c r="G145" s="328"/>
      <c r="H145" s="328"/>
      <c r="I145" s="327"/>
      <c r="J145" s="331"/>
      <c r="K145" s="342"/>
      <c r="L145" s="342"/>
      <c r="M145" s="342"/>
      <c r="N145" s="327"/>
      <c r="O145" s="339"/>
      <c r="Q145"/>
      <c r="R145"/>
      <c r="S145"/>
      <c r="T145"/>
      <c r="U145"/>
      <c r="V145"/>
      <c r="W145"/>
      <c r="X145"/>
    </row>
    <row r="146" spans="1:24" ht="11.25" hidden="1" customHeight="1">
      <c r="A146" s="203"/>
      <c r="B146" s="3"/>
      <c r="C146" s="325"/>
      <c r="D146" s="294"/>
      <c r="E146" s="341"/>
      <c r="F146" s="328"/>
      <c r="G146" s="328"/>
      <c r="H146" s="328"/>
      <c r="I146" s="327"/>
      <c r="J146" s="326"/>
      <c r="K146" s="339"/>
      <c r="L146" s="339"/>
      <c r="M146" s="339"/>
      <c r="N146" s="339"/>
      <c r="O146" s="339"/>
      <c r="Q146"/>
      <c r="R146"/>
      <c r="S146"/>
      <c r="T146"/>
      <c r="U146"/>
      <c r="V146"/>
      <c r="W146"/>
      <c r="X146"/>
    </row>
    <row r="147" spans="1:24" ht="11.25" hidden="1" customHeight="1">
      <c r="A147" s="203"/>
      <c r="B147" s="3"/>
      <c r="C147" s="13"/>
      <c r="D147" s="294"/>
      <c r="E147" s="341"/>
      <c r="F147" s="340"/>
      <c r="G147" s="3"/>
      <c r="H147" s="324"/>
      <c r="I147" s="3"/>
      <c r="J147" s="326"/>
      <c r="K147" s="339"/>
      <c r="L147" s="294"/>
      <c r="M147" s="339"/>
      <c r="N147" s="339"/>
      <c r="O147" s="339"/>
      <c r="Q147"/>
      <c r="R147"/>
      <c r="S147"/>
      <c r="T147"/>
      <c r="U147"/>
      <c r="V147"/>
      <c r="W147"/>
      <c r="X147"/>
    </row>
    <row r="148" spans="1:24" ht="11.25" hidden="1" customHeight="1">
      <c r="A148" s="203"/>
      <c r="B148" s="23"/>
      <c r="C148" s="322"/>
      <c r="D148" s="338"/>
      <c r="E148" s="314"/>
      <c r="F148" s="315"/>
      <c r="G148" s="315"/>
      <c r="H148" s="315"/>
      <c r="I148" s="315"/>
      <c r="J148" s="314"/>
      <c r="K148" s="337"/>
      <c r="L148" s="337"/>
      <c r="M148" s="337"/>
      <c r="N148" s="337"/>
      <c r="O148" s="337"/>
      <c r="Q148"/>
      <c r="R148"/>
      <c r="S148"/>
      <c r="T148"/>
      <c r="U148"/>
      <c r="V148"/>
      <c r="W148"/>
      <c r="X148"/>
    </row>
    <row r="149" spans="1:24" ht="11.25" hidden="1" customHeight="1">
      <c r="A149" s="203"/>
      <c r="B149" s="23"/>
      <c r="C149" s="214"/>
      <c r="D149" s="214"/>
      <c r="E149" s="214"/>
      <c r="F149" s="316"/>
      <c r="G149" s="318"/>
      <c r="H149" s="314"/>
      <c r="I149" s="317"/>
      <c r="J149" s="317"/>
      <c r="K149" s="314"/>
      <c r="L149" s="316"/>
      <c r="M149" s="316"/>
      <c r="N149" s="315"/>
      <c r="O149" s="314"/>
      <c r="Q149"/>
      <c r="R149"/>
      <c r="S149"/>
      <c r="T149"/>
      <c r="U149"/>
      <c r="V149"/>
      <c r="W149"/>
      <c r="X149"/>
    </row>
    <row r="150" spans="1:24" ht="11.25" hidden="1" customHeight="1">
      <c r="A150" s="203"/>
      <c r="B150" s="257"/>
      <c r="C150" s="257"/>
      <c r="D150" s="257"/>
      <c r="E150" s="257"/>
      <c r="F150" s="257"/>
      <c r="G150" s="257"/>
      <c r="H150" s="257"/>
      <c r="I150" s="257"/>
      <c r="J150" s="257"/>
      <c r="K150" s="257"/>
      <c r="L150" s="257"/>
      <c r="M150" s="257"/>
      <c r="N150" s="257"/>
      <c r="O150" s="257"/>
      <c r="Q150"/>
      <c r="R150"/>
      <c r="S150"/>
      <c r="T150"/>
      <c r="U150"/>
      <c r="V150"/>
      <c r="W150"/>
      <c r="X150"/>
    </row>
    <row r="151" spans="1:24" ht="11.25" hidden="1" customHeight="1">
      <c r="A151" s="203"/>
      <c r="B151" s="23"/>
      <c r="C151" s="294"/>
      <c r="D151" s="334"/>
      <c r="E151" s="336"/>
      <c r="F151" s="335"/>
      <c r="G151" s="3"/>
      <c r="H151" s="314"/>
      <c r="I151" s="3"/>
      <c r="J151" s="3"/>
      <c r="K151" s="3"/>
      <c r="L151" s="3"/>
      <c r="M151" s="3"/>
      <c r="N151" s="3"/>
      <c r="O151" s="3"/>
      <c r="Q151"/>
      <c r="R151"/>
      <c r="S151"/>
      <c r="T151"/>
      <c r="U151"/>
      <c r="V151"/>
      <c r="W151"/>
      <c r="X151"/>
    </row>
    <row r="152" spans="1:24" ht="11.25" hidden="1" customHeight="1">
      <c r="A152" s="203"/>
      <c r="B152" s="23"/>
      <c r="C152" s="334"/>
      <c r="D152" s="334"/>
      <c r="E152" s="316"/>
      <c r="F152" s="315"/>
      <c r="G152" s="315"/>
      <c r="H152" s="314"/>
      <c r="I152" s="23"/>
      <c r="J152" s="23"/>
      <c r="K152" s="23"/>
      <c r="L152" s="23"/>
      <c r="M152" s="23"/>
      <c r="N152" s="23"/>
      <c r="O152" s="3"/>
      <c r="Q152"/>
      <c r="R152"/>
      <c r="S152"/>
      <c r="T152"/>
      <c r="U152"/>
      <c r="V152"/>
      <c r="W152"/>
      <c r="X152"/>
    </row>
    <row r="153" spans="1:24" ht="11.25" hidden="1" customHeight="1">
      <c r="A153" s="203"/>
      <c r="B153" s="3"/>
      <c r="C153" s="333"/>
      <c r="D153" s="332"/>
      <c r="E153" s="328"/>
      <c r="F153" s="328"/>
      <c r="G153" s="327"/>
      <c r="H153" s="331"/>
      <c r="I153" s="330"/>
      <c r="J153" s="330"/>
      <c r="K153" s="329"/>
      <c r="L153" s="3"/>
      <c r="M153" s="3"/>
      <c r="N153" s="3"/>
      <c r="O153" s="3"/>
      <c r="Q153"/>
      <c r="R153"/>
      <c r="S153"/>
      <c r="T153"/>
      <c r="U153"/>
      <c r="V153"/>
      <c r="W153"/>
      <c r="X153"/>
    </row>
    <row r="154" spans="1:24" ht="11.25" hidden="1" customHeight="1">
      <c r="A154" s="203"/>
      <c r="B154" s="3"/>
      <c r="C154" s="333"/>
      <c r="D154" s="332"/>
      <c r="E154" s="328"/>
      <c r="F154" s="328"/>
      <c r="G154" s="327"/>
      <c r="H154" s="331"/>
      <c r="I154" s="330"/>
      <c r="J154" s="330"/>
      <c r="K154" s="330"/>
      <c r="L154" s="3"/>
      <c r="M154" s="3"/>
      <c r="N154" s="3"/>
      <c r="O154" s="3"/>
      <c r="Q154"/>
      <c r="R154"/>
      <c r="S154"/>
      <c r="T154"/>
      <c r="U154"/>
      <c r="V154"/>
      <c r="W154"/>
      <c r="X154"/>
    </row>
    <row r="155" spans="1:24" ht="11.25" hidden="1" customHeight="1">
      <c r="A155" s="203"/>
      <c r="B155" s="3"/>
      <c r="C155" s="333"/>
      <c r="D155" s="332"/>
      <c r="E155" s="328"/>
      <c r="F155" s="328"/>
      <c r="G155" s="327"/>
      <c r="H155" s="331"/>
      <c r="I155" s="330"/>
      <c r="J155" s="330"/>
      <c r="K155" s="329"/>
      <c r="L155" s="3"/>
      <c r="M155" s="3"/>
      <c r="N155" s="3"/>
      <c r="O155" s="3"/>
      <c r="Q155"/>
      <c r="R155"/>
      <c r="S155"/>
      <c r="T155"/>
      <c r="U155"/>
      <c r="V155"/>
      <c r="W155"/>
      <c r="X155"/>
    </row>
    <row r="156" spans="1:24" ht="11.25" hidden="1" customHeight="1">
      <c r="A156" s="203"/>
      <c r="B156" s="3"/>
      <c r="C156" s="325"/>
      <c r="D156" s="323"/>
      <c r="E156" s="328"/>
      <c r="F156" s="328"/>
      <c r="G156" s="327"/>
      <c r="H156" s="326"/>
      <c r="I156" s="3"/>
      <c r="J156" s="3"/>
      <c r="K156" s="3"/>
      <c r="L156" s="3"/>
      <c r="M156" s="3"/>
      <c r="N156" s="3"/>
      <c r="O156" s="3"/>
      <c r="Q156"/>
      <c r="R156"/>
      <c r="S156"/>
      <c r="T156"/>
      <c r="U156"/>
      <c r="V156"/>
      <c r="W156"/>
      <c r="X156"/>
    </row>
    <row r="157" spans="1:24" ht="11.25" hidden="1" customHeight="1">
      <c r="A157" s="203"/>
      <c r="B157" s="3"/>
      <c r="C157" s="3"/>
      <c r="D157" s="325"/>
      <c r="E157" s="323"/>
      <c r="F157" s="324"/>
      <c r="G157" s="324"/>
      <c r="H157" s="324"/>
      <c r="I157" s="323"/>
      <c r="J157" s="3"/>
      <c r="K157" s="3"/>
      <c r="L157" s="3"/>
      <c r="M157" s="3"/>
      <c r="N157" s="3"/>
      <c r="O157" s="3"/>
      <c r="Q157"/>
      <c r="R157"/>
      <c r="S157"/>
      <c r="T157"/>
      <c r="U157"/>
      <c r="V157"/>
      <c r="W157"/>
      <c r="X157"/>
    </row>
    <row r="158" spans="1:24" ht="11.25" hidden="1" customHeight="1">
      <c r="A158" s="203"/>
      <c r="B158" s="23"/>
      <c r="C158" s="322"/>
      <c r="D158" s="316"/>
      <c r="E158" s="321"/>
      <c r="F158" s="315"/>
      <c r="G158" s="315"/>
      <c r="H158" s="320"/>
      <c r="I158" s="314"/>
      <c r="J158" s="319"/>
      <c r="K158" s="319"/>
      <c r="L158" s="319"/>
      <c r="M158" s="314"/>
      <c r="N158" s="314"/>
      <c r="O158" s="314"/>
      <c r="Q158"/>
      <c r="R158"/>
      <c r="S158"/>
      <c r="T158"/>
      <c r="U158"/>
      <c r="V158"/>
      <c r="W158"/>
      <c r="X158"/>
    </row>
    <row r="159" spans="1:24" ht="11.25" hidden="1" customHeight="1">
      <c r="A159" s="203"/>
      <c r="B159" s="23"/>
      <c r="C159" s="214"/>
      <c r="D159" s="214"/>
      <c r="E159" s="316"/>
      <c r="F159" s="318"/>
      <c r="G159" s="314"/>
      <c r="H159" s="317"/>
      <c r="I159" s="317"/>
      <c r="J159" s="314"/>
      <c r="K159" s="316"/>
      <c r="L159" s="316"/>
      <c r="M159" s="315"/>
      <c r="N159" s="314"/>
      <c r="O159" s="3"/>
      <c r="Q159"/>
      <c r="R159"/>
      <c r="S159"/>
      <c r="T159"/>
      <c r="U159"/>
      <c r="V159"/>
      <c r="W159"/>
      <c r="X159"/>
    </row>
    <row r="160" spans="1:24" ht="10.199999999999999" hidden="1" collapsed="1">
      <c r="B160" s="3"/>
      <c r="C160" s="3"/>
      <c r="D160" s="3"/>
      <c r="E160" s="3"/>
      <c r="F160" s="3"/>
      <c r="G160" s="3"/>
      <c r="H160" s="3"/>
      <c r="I160" s="3"/>
      <c r="J160" s="3"/>
      <c r="K160" s="3"/>
      <c r="L160" s="3"/>
      <c r="M160" s="3"/>
      <c r="N160" s="3"/>
      <c r="O160" s="3"/>
    </row>
    <row r="161" spans="2:15" ht="10.199999999999999" hidden="1">
      <c r="B161" s="3"/>
      <c r="C161" s="3"/>
      <c r="D161" s="3"/>
      <c r="E161" s="3"/>
      <c r="F161" s="3"/>
      <c r="G161" s="3"/>
      <c r="H161" s="3"/>
      <c r="I161" s="3"/>
      <c r="J161" s="3"/>
      <c r="K161" s="3"/>
      <c r="L161" s="3"/>
      <c r="M161" s="3"/>
      <c r="N161" s="3"/>
      <c r="O161" s="3"/>
    </row>
    <row r="162" spans="2:15" ht="10.199999999999999" hidden="1">
      <c r="B162" s="3"/>
      <c r="C162" s="3"/>
      <c r="D162" s="3"/>
      <c r="E162" s="3"/>
      <c r="F162" s="3"/>
      <c r="G162" s="3"/>
      <c r="H162" s="3"/>
      <c r="I162" s="3"/>
      <c r="J162" s="3"/>
      <c r="K162" s="3"/>
      <c r="L162" s="3"/>
      <c r="M162" s="3"/>
      <c r="N162" s="3"/>
      <c r="O162" s="3"/>
    </row>
    <row r="163" spans="2:15" ht="10.199999999999999" hidden="1">
      <c r="B163" s="3"/>
      <c r="C163" s="3"/>
      <c r="D163" s="3"/>
      <c r="E163" s="3"/>
      <c r="F163" s="3"/>
      <c r="G163" s="3"/>
      <c r="H163" s="3"/>
      <c r="I163" s="3"/>
      <c r="J163" s="3"/>
      <c r="K163" s="3"/>
      <c r="L163" s="3"/>
      <c r="M163" s="3"/>
      <c r="N163" s="3"/>
      <c r="O163" s="3"/>
    </row>
    <row r="164" spans="2:15" ht="10.199999999999999" hidden="1">
      <c r="B164" s="3"/>
      <c r="C164" s="3"/>
      <c r="D164" s="3"/>
      <c r="E164" s="3"/>
      <c r="F164" s="3"/>
      <c r="G164" s="3"/>
      <c r="H164" s="3"/>
      <c r="I164" s="3"/>
      <c r="J164" s="3"/>
      <c r="K164" s="3"/>
      <c r="L164" s="3"/>
      <c r="M164" s="3"/>
      <c r="N164" s="3"/>
      <c r="O164" s="3"/>
    </row>
    <row r="165" spans="2:15" ht="10.199999999999999" hidden="1">
      <c r="B165" s="3"/>
      <c r="C165" s="3"/>
      <c r="D165" s="3"/>
      <c r="E165" s="3"/>
      <c r="F165" s="3"/>
      <c r="G165" s="3"/>
      <c r="H165" s="3"/>
      <c r="I165" s="3"/>
      <c r="J165" s="3"/>
      <c r="K165" s="3"/>
      <c r="L165" s="3"/>
      <c r="M165" s="3"/>
      <c r="N165" s="3"/>
      <c r="O165" s="3"/>
    </row>
    <row r="166" spans="2:15" ht="10.199999999999999" hidden="1">
      <c r="B166" s="3"/>
      <c r="C166" s="3"/>
      <c r="D166" s="3"/>
      <c r="E166" s="3"/>
      <c r="F166" s="3"/>
      <c r="G166" s="3"/>
      <c r="H166" s="3"/>
      <c r="I166" s="3"/>
      <c r="J166" s="3"/>
      <c r="K166" s="3"/>
      <c r="L166" s="3"/>
      <c r="M166" s="3"/>
      <c r="N166" s="3"/>
      <c r="O166" s="3"/>
    </row>
    <row r="167" spans="2:15" ht="10.199999999999999" hidden="1">
      <c r="B167" s="3"/>
      <c r="C167" s="3"/>
      <c r="D167" s="3"/>
      <c r="E167" s="3"/>
      <c r="F167" s="3"/>
      <c r="G167" s="3"/>
      <c r="H167" s="3"/>
      <c r="I167" s="3"/>
      <c r="J167" s="3"/>
      <c r="K167" s="3"/>
      <c r="L167" s="3"/>
      <c r="M167" s="3"/>
      <c r="N167" s="3"/>
      <c r="O167" s="3"/>
    </row>
    <row r="168" spans="2:15" ht="10.199999999999999" hidden="1">
      <c r="B168" s="3"/>
      <c r="C168" s="3"/>
      <c r="D168" s="3"/>
      <c r="E168" s="3"/>
      <c r="F168" s="3"/>
      <c r="G168" s="3"/>
      <c r="H168" s="3"/>
      <c r="I168" s="3"/>
      <c r="J168" s="3"/>
      <c r="K168" s="3"/>
      <c r="L168" s="3"/>
      <c r="M168" s="3"/>
      <c r="N168" s="3"/>
      <c r="O168" s="3"/>
    </row>
    <row r="169" spans="2:15" ht="10.199999999999999" hidden="1">
      <c r="B169" s="3"/>
      <c r="C169" s="3"/>
      <c r="D169" s="3"/>
      <c r="E169" s="3"/>
      <c r="F169" s="3"/>
      <c r="G169" s="3"/>
      <c r="H169" s="3"/>
      <c r="I169" s="3"/>
      <c r="J169" s="3"/>
      <c r="K169" s="3"/>
      <c r="L169" s="3"/>
      <c r="M169" s="3"/>
      <c r="N169" s="3"/>
      <c r="O169" s="3"/>
    </row>
    <row r="170" spans="2:15" ht="10.199999999999999" hidden="1">
      <c r="B170" s="3"/>
      <c r="C170" s="3"/>
      <c r="D170" s="3"/>
      <c r="E170" s="3"/>
      <c r="F170" s="3"/>
      <c r="G170" s="3"/>
      <c r="H170" s="3"/>
      <c r="I170" s="3"/>
      <c r="J170" s="3"/>
      <c r="K170" s="3"/>
      <c r="L170" s="3"/>
      <c r="M170" s="3"/>
      <c r="N170" s="3"/>
      <c r="O170" s="3"/>
    </row>
    <row r="171" spans="2:15" ht="10.199999999999999" hidden="1">
      <c r="B171" s="3"/>
      <c r="C171" s="3"/>
      <c r="D171" s="3"/>
      <c r="E171" s="3"/>
      <c r="F171" s="3"/>
      <c r="G171" s="3"/>
      <c r="H171" s="3"/>
      <c r="I171" s="3"/>
      <c r="J171" s="3"/>
      <c r="K171" s="3"/>
      <c r="L171" s="3"/>
      <c r="M171" s="3"/>
      <c r="N171" s="3"/>
      <c r="O171" s="3"/>
    </row>
    <row r="172" spans="2:15" ht="10.199999999999999" hidden="1">
      <c r="B172" s="3"/>
      <c r="C172" s="3"/>
      <c r="D172" s="3"/>
      <c r="E172" s="3"/>
      <c r="F172" s="3"/>
      <c r="G172" s="3"/>
      <c r="H172" s="3"/>
      <c r="I172" s="3"/>
      <c r="J172" s="3"/>
      <c r="K172" s="3"/>
      <c r="L172" s="3"/>
      <c r="M172" s="3"/>
      <c r="N172" s="3"/>
      <c r="O172" s="3"/>
    </row>
    <row r="173" spans="2:15" ht="10.199999999999999" hidden="1"/>
    <row r="174" spans="2:15" ht="10.199999999999999" hidden="1"/>
    <row r="175" spans="2:15" ht="10.199999999999999" hidden="1"/>
    <row r="176" spans="2:15" ht="10.199999999999999" hidden="1"/>
    <row r="177" ht="10.199999999999999" hidden="1"/>
    <row r="178" ht="10.199999999999999" hidden="1"/>
    <row r="179" ht="10.199999999999999" hidden="1"/>
    <row r="180" ht="10.199999999999999" hidden="1"/>
    <row r="181" ht="10.199999999999999" hidden="1"/>
    <row r="182" ht="10.199999999999999" hidden="1"/>
    <row r="183" ht="10.199999999999999" hidden="1"/>
    <row r="184" ht="10.199999999999999" hidden="1"/>
    <row r="185" ht="10.199999999999999" hidden="1"/>
    <row r="186" ht="10.199999999999999" hidden="1"/>
    <row r="187" ht="10.199999999999999" hidden="1"/>
    <row r="188" ht="10.199999999999999" hidden="1"/>
    <row r="189" ht="10.199999999999999" hidden="1"/>
    <row r="190" ht="10.199999999999999" hidden="1"/>
  </sheetData>
  <conditionalFormatting sqref="Q1:R1">
    <cfRule type="cellIs" dxfId="0" priority="1" operator="equal">
      <formula>"Check"</formula>
    </cfRule>
  </conditionalFormatting>
  <pageMargins left="0.70866141732283472" right="0.70866141732283472" top="0.74803149606299213" bottom="0.74803149606299213" header="0.31496062992125984" footer="0.3149606299212598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64AAD31D96F14E9E50C17B1F702264" ma:contentTypeVersion="13" ma:contentTypeDescription="Create a new document." ma:contentTypeScope="" ma:versionID="d8106b3b930c95988bfb5d7c12996a27">
  <xsd:schema xmlns:xsd="http://www.w3.org/2001/XMLSchema" xmlns:xs="http://www.w3.org/2001/XMLSchema" xmlns:p="http://schemas.microsoft.com/office/2006/metadata/properties" xmlns:ns3="052e2be1-aa1b-4c26-8da2-581ae3c19337" xmlns:ns4="2ab0ea5c-e90c-4fe0-9f45-3831bb29b8e0" targetNamespace="http://schemas.microsoft.com/office/2006/metadata/properties" ma:root="true" ma:fieldsID="eb69f92d437781b8920467a25176f535" ns3:_="" ns4:_="">
    <xsd:import namespace="052e2be1-aa1b-4c26-8da2-581ae3c19337"/>
    <xsd:import namespace="2ab0ea5c-e90c-4fe0-9f45-3831bb29b8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_activity"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2e2be1-aa1b-4c26-8da2-581ae3c1933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b0ea5c-e90c-4fe0-9f45-3831bb29b8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Location" ma:index="20"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ab0ea5c-e90c-4fe0-9f45-3831bb29b8e0" xsi:nil="true"/>
  </documentManagement>
</p:properties>
</file>

<file path=customXml/itemProps1.xml><?xml version="1.0" encoding="utf-8"?>
<ds:datastoreItem xmlns:ds="http://schemas.openxmlformats.org/officeDocument/2006/customXml" ds:itemID="{E10DC767-D77D-47BF-9A62-1DB42772EF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2e2be1-aa1b-4c26-8da2-581ae3c19337"/>
    <ds:schemaRef ds:uri="2ab0ea5c-e90c-4fe0-9f45-3831bb29b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D44E00-154A-4B69-9A4C-35D5BB108EC3}">
  <ds:schemaRefs>
    <ds:schemaRef ds:uri="http://schemas.microsoft.com/sharepoint/v3/contenttype/forms"/>
  </ds:schemaRefs>
</ds:datastoreItem>
</file>

<file path=customXml/itemProps3.xml><?xml version="1.0" encoding="utf-8"?>
<ds:datastoreItem xmlns:ds="http://schemas.openxmlformats.org/officeDocument/2006/customXml" ds:itemID="{F64412A2-EC90-49B5-9E81-083F681AA40E}">
  <ds:schemaRefs>
    <ds:schemaRef ds:uri="http://schemas.microsoft.com/office/2006/metadata/properties"/>
    <ds:schemaRef ds:uri="http://schemas.microsoft.com/office/infopath/2007/PartnerControls"/>
    <ds:schemaRef ds:uri="2ab0ea5c-e90c-4fe0-9f45-3831bb29b8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Balance Sheet - As Reported</vt:lpstr>
      <vt:lpstr>Balance Sheet - Standardized</vt:lpstr>
      <vt:lpstr>Cash Flow - As Reported</vt:lpstr>
      <vt:lpstr>Cash Flow - Standardized</vt:lpstr>
      <vt:lpstr>Income - As Reported</vt:lpstr>
      <vt:lpstr>Cover Sheet</vt:lpstr>
      <vt:lpstr>DCF - Financials (old)</vt:lpstr>
      <vt:lpstr>DCF - Assumptions (old)</vt:lpstr>
      <vt:lpstr>DCF - Outputs</vt:lpstr>
      <vt:lpstr>DCF - Assumptions</vt:lpstr>
      <vt:lpstr>DCF - Financials</vt:lpstr>
      <vt:lpstr>DCF - Capital Structure</vt:lpstr>
      <vt:lpstr>DCF - Valuation</vt:lpstr>
      <vt:lpstr>DCF - Assumptions Document</vt:lpstr>
      <vt:lpstr>Comps - Selection</vt:lpstr>
      <vt:lpstr>Comps - Outputs</vt:lpstr>
      <vt:lpstr>Comps - Dataset</vt:lpstr>
      <vt:lpstr>Precedents - Selection</vt:lpstr>
      <vt:lpstr>Precedents - Dataset</vt:lpstr>
      <vt:lpstr>LBO - Outputs</vt:lpstr>
      <vt:lpstr>LBO - Assumptions</vt:lpstr>
      <vt:lpstr>LBO - Financials</vt:lpstr>
      <vt:lpstr>LBO - Assumptions Document</vt:lpstr>
      <vt:lpstr>'Cover 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NIBC</dc:creator>
  <cp:keywords/>
  <dc:description/>
  <cp:lastModifiedBy>Keshav Bansal</cp:lastModifiedBy>
  <cp:revision/>
  <dcterms:created xsi:type="dcterms:W3CDTF">2018-11-30T19:25:49Z</dcterms:created>
  <dcterms:modified xsi:type="dcterms:W3CDTF">2024-12-20T06:15:05Z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0x0101008664AAD31D96F14E9E50C17B1F702264</vt:lpwstr>
  </property>
</Properties>
</file>