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0">
      <text>
        <t xml:space="preserve">Must Buy Stock For Long term.
Ex-Dividend date 17-Feb-2021
	-Amit Kumar Singh</t>
      </text>
    </comment>
    <comment authorId="0" ref="A6">
      <text>
        <t xml:space="preserve">Not Recommended Due to Small Capital Size
	-Amit Kumar Singh</t>
      </text>
    </comment>
    <comment authorId="0" ref="A7">
      <text>
        <t xml:space="preserve">Not Recommended, Due to AGR Dues
	-Amit Kumar Singh</t>
      </text>
    </comment>
  </commentList>
</comments>
</file>

<file path=xl/sharedStrings.xml><?xml version="1.0" encoding="utf-8"?>
<sst xmlns="http://schemas.openxmlformats.org/spreadsheetml/2006/main" count="44" uniqueCount="44">
  <si>
    <t>TICKER</t>
  </si>
  <si>
    <t>LTP</t>
  </si>
  <si>
    <t>OPEN</t>
  </si>
  <si>
    <t>HIGH</t>
  </si>
  <si>
    <t>LOW</t>
  </si>
  <si>
    <t>Previous Day CLOSE</t>
  </si>
  <si>
    <t>52-Week High</t>
  </si>
  <si>
    <t>52-Week Low</t>
  </si>
  <si>
    <t>VOLUME</t>
  </si>
  <si>
    <t>Margin Window</t>
  </si>
  <si>
    <t>SBIN</t>
  </si>
  <si>
    <t>NATIONALUM</t>
  </si>
  <si>
    <t>BALRAMCHIN</t>
  </si>
  <si>
    <t>DHAMPURSUG</t>
  </si>
  <si>
    <t>BAJAJHIND</t>
  </si>
  <si>
    <t>IDEA</t>
  </si>
  <si>
    <t>HINDALCO</t>
  </si>
  <si>
    <t>AXISBANK</t>
  </si>
  <si>
    <t>PVR</t>
  </si>
  <si>
    <t>INOXLEISUR</t>
  </si>
  <si>
    <t>ONGC</t>
  </si>
  <si>
    <t>INDIGO</t>
  </si>
  <si>
    <t>COALINDIA</t>
  </si>
  <si>
    <t>IRB</t>
  </si>
  <si>
    <t>NCC</t>
  </si>
  <si>
    <t>PNB</t>
  </si>
  <si>
    <t>SAIL</t>
  </si>
  <si>
    <t>COLPAL</t>
  </si>
  <si>
    <t>BHEL</t>
  </si>
  <si>
    <t>MRPL</t>
  </si>
  <si>
    <t>L&amp;TFH</t>
  </si>
  <si>
    <t>Reliance</t>
  </si>
  <si>
    <t>CANBK</t>
  </si>
  <si>
    <t>UJJIVANSFB</t>
  </si>
  <si>
    <t>Raymond</t>
  </si>
  <si>
    <t>TATAMOTORS</t>
  </si>
  <si>
    <t>MOTHERSON</t>
  </si>
  <si>
    <t>YESBANK</t>
  </si>
  <si>
    <t>IRFC</t>
  </si>
  <si>
    <t>SBICARD</t>
  </si>
  <si>
    <t>RVNL</t>
  </si>
  <si>
    <t>Admin : Amit Kumar Singh</t>
  </si>
  <si>
    <t>Email Id : singhamit8467@gmail.com</t>
  </si>
  <si>
    <t>Contact : +91-9711746537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</si>
</sst>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/>
    <font>
      <b/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Fill="1" applyFont="1"/>
    <xf borderId="0" fillId="0" fontId="2" numFmtId="10" xfId="0" applyFont="1" applyNumberFormat="1"/>
    <xf borderId="2" fillId="0" fontId="1" numFmtId="0" xfId="0" applyAlignment="1" applyBorder="1" applyFont="1">
      <alignment readingOrder="0"/>
    </xf>
    <xf borderId="3" fillId="0" fontId="4" numFmtId="0" xfId="0" applyBorder="1" applyFont="1"/>
    <xf borderId="1" fillId="0" fontId="2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5" fillId="0" fontId="4" numFmtId="0" xfId="0" applyBorder="1" applyFont="1"/>
    <xf borderId="6" fillId="0" fontId="4" numFmtId="0" xfId="0" applyBorder="1" applyFont="1"/>
    <xf borderId="4" fillId="0" fontId="1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6" max="6" width="17.75"/>
    <col customWidth="1" min="8" max="8" width="11.5"/>
    <col customWidth="1" min="10" max="10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3">
        <f>IFERROR(__xludf.DUMMYFUNCTION("GOOGLEFINANCE(""NSE:"" &amp;A2, ""price"")"),550.9)</f>
        <v>550.9</v>
      </c>
      <c r="C2" s="4">
        <f>IFERROR(__xludf.DUMMYFUNCTION("GOOGLEFINANCE(""NSE:"" &amp;A2, ""priceopen"")"),564.8)</f>
        <v>564.8</v>
      </c>
      <c r="D2" s="4">
        <f>IFERROR(__xludf.DUMMYFUNCTION("GOOGLEFINANCE(""NSE:"" &amp;A2, ""high"")"),568.0)</f>
        <v>568</v>
      </c>
      <c r="E2" s="4">
        <f>IFERROR(__xludf.DUMMYFUNCTION("GOOGLEFINANCE(""NSE:"" &amp;A2, ""low"")"),549.5)</f>
        <v>549.5</v>
      </c>
      <c r="F2" s="4">
        <f>IFERROR(__xludf.DUMMYFUNCTION("GOOGLEFINANCE(""NSE:"" &amp;A2, ""closeyest"")"),567.3)</f>
        <v>567.3</v>
      </c>
      <c r="G2" s="4">
        <f>IFERROR(__xludf.DUMMYFUNCTION("GOOGLEFINANCE(""NSE:"" &amp;A2, ""high52"")"),578.5)</f>
        <v>578.5</v>
      </c>
      <c r="H2" s="4">
        <f>IFERROR(__xludf.DUMMYFUNCTION("GOOGLEFINANCE(""NSE:"" &amp;A2, ""low52"")"),425.0)</f>
        <v>425</v>
      </c>
      <c r="I2" s="4">
        <f>IFERROR(__xludf.DUMMYFUNCTION("GOOGLEFINANCE(""NSE:"" &amp;A2, ""volume"")"),1.2563239E7)</f>
        <v>12563239</v>
      </c>
      <c r="J2" s="5">
        <f t="shared" ref="J2:J32" si="1">(G2-B2)/B2</f>
        <v>0.05009983663</v>
      </c>
    </row>
    <row r="3">
      <c r="A3" s="2" t="s">
        <v>11</v>
      </c>
      <c r="B3" s="3">
        <f>IFERROR(__xludf.DUMMYFUNCTION("GOOGLEFINANCE(""NSE:"" &amp;A3, ""price"")"),72.9)</f>
        <v>72.9</v>
      </c>
      <c r="C3" s="4">
        <f>IFERROR(__xludf.DUMMYFUNCTION("GOOGLEFINANCE(""NSE:"" &amp;A3, ""priceopen"")"),75.0)</f>
        <v>75</v>
      </c>
      <c r="D3" s="4">
        <f>IFERROR(__xludf.DUMMYFUNCTION("GOOGLEFINANCE(""NSE:"" &amp;A3, ""high"")"),75.45)</f>
        <v>75.45</v>
      </c>
      <c r="E3" s="4">
        <f>IFERROR(__xludf.DUMMYFUNCTION("GOOGLEFINANCE(""NSE:"" &amp;A3, ""low"")"),72.65)</f>
        <v>72.65</v>
      </c>
      <c r="F3" s="4">
        <f>IFERROR(__xludf.DUMMYFUNCTION("GOOGLEFINANCE(""NSE:"" &amp;A3, ""closeyest"")"),74.95)</f>
        <v>74.95</v>
      </c>
      <c r="G3" s="4">
        <f>IFERROR(__xludf.DUMMYFUNCTION("GOOGLEFINANCE(""NSE:"" &amp;A3, ""high52"")"),132.7)</f>
        <v>132.7</v>
      </c>
      <c r="H3" s="4">
        <f>IFERROR(__xludf.DUMMYFUNCTION("GOOGLEFINANCE(""NSE:"" &amp;A3, ""low52"")"),66.95)</f>
        <v>66.95</v>
      </c>
      <c r="I3" s="4">
        <f>IFERROR(__xludf.DUMMYFUNCTION("GOOGLEFINANCE(""NSE:"" &amp;A3, ""volume"")"),8819359.0)</f>
        <v>8819359</v>
      </c>
      <c r="J3" s="5">
        <f t="shared" si="1"/>
        <v>0.8203017833</v>
      </c>
    </row>
    <row r="4">
      <c r="A4" s="2" t="s">
        <v>12</v>
      </c>
      <c r="B4" s="3">
        <f>IFERROR(__xludf.DUMMYFUNCTION("GOOGLEFINANCE(""NSE:"" &amp;A4, ""price"")"),360.0)</f>
        <v>360</v>
      </c>
      <c r="C4" s="4">
        <f>IFERROR(__xludf.DUMMYFUNCTION("GOOGLEFINANCE(""NSE:"" &amp;A4, ""priceopen"")"),374.0)</f>
        <v>374</v>
      </c>
      <c r="D4" s="4">
        <f>IFERROR(__xludf.DUMMYFUNCTION("GOOGLEFINANCE(""NSE:"" &amp;A4, ""high"")"),374.0)</f>
        <v>374</v>
      </c>
      <c r="E4" s="4">
        <f>IFERROR(__xludf.DUMMYFUNCTION("GOOGLEFINANCE(""NSE:"" &amp;A4, ""low"")"),358.45)</f>
        <v>358.45</v>
      </c>
      <c r="F4" s="4">
        <f>IFERROR(__xludf.DUMMYFUNCTION("GOOGLEFINANCE(""NSE:"" &amp;A4, ""closeyest"")"),372.1)</f>
        <v>372.1</v>
      </c>
      <c r="G4" s="4">
        <f>IFERROR(__xludf.DUMMYFUNCTION("GOOGLEFINANCE(""NSE:"" &amp;A4, ""high52"")"),525.9)</f>
        <v>525.9</v>
      </c>
      <c r="H4" s="4">
        <f>IFERROR(__xludf.DUMMYFUNCTION("GOOGLEFINANCE(""NSE:"" &amp;A4, ""low52"")"),297.6)</f>
        <v>297.6</v>
      </c>
      <c r="I4" s="4">
        <f>IFERROR(__xludf.DUMMYFUNCTION("GOOGLEFINANCE(""NSE:"" &amp;A4, ""volume"")"),1329234.0)</f>
        <v>1329234</v>
      </c>
      <c r="J4" s="5">
        <f t="shared" si="1"/>
        <v>0.4608333333</v>
      </c>
    </row>
    <row r="5">
      <c r="A5" s="2" t="s">
        <v>13</v>
      </c>
      <c r="B5" s="3">
        <f>IFERROR(__xludf.DUMMYFUNCTION("GOOGLEFINANCE(""NSE:"" &amp;A5, ""price"")"),224.1)</f>
        <v>224.1</v>
      </c>
      <c r="C5" s="4">
        <f>IFERROR(__xludf.DUMMYFUNCTION("GOOGLEFINANCE(""NSE:"" &amp;A5, ""priceopen"")"),230.65)</f>
        <v>230.65</v>
      </c>
      <c r="D5" s="4">
        <f>IFERROR(__xludf.DUMMYFUNCTION("GOOGLEFINANCE(""NSE:"" &amp;A5, ""high"")"),230.8)</f>
        <v>230.8</v>
      </c>
      <c r="E5" s="4">
        <f>IFERROR(__xludf.DUMMYFUNCTION("GOOGLEFINANCE(""NSE:"" &amp;A5, ""low"")"),221.2)</f>
        <v>221.2</v>
      </c>
      <c r="F5" s="4">
        <f>IFERROR(__xludf.DUMMYFUNCTION("GOOGLEFINANCE(""NSE:"" &amp;A5, ""closeyest"")"),229.75)</f>
        <v>229.75</v>
      </c>
      <c r="G5" s="4">
        <f>IFERROR(__xludf.DUMMYFUNCTION("GOOGLEFINANCE(""NSE:"" &amp;A5, ""high52"")"),584.5)</f>
        <v>584.5</v>
      </c>
      <c r="H5" s="4">
        <f>IFERROR(__xludf.DUMMYFUNCTION("GOOGLEFINANCE(""NSE:"" &amp;A5, ""low52"")"),198.3)</f>
        <v>198.3</v>
      </c>
      <c r="I5" s="4">
        <f>IFERROR(__xludf.DUMMYFUNCTION("GOOGLEFINANCE(""NSE:"" &amp;A5, ""volume"")"),203409.0)</f>
        <v>203409</v>
      </c>
      <c r="J5" s="5">
        <f t="shared" si="1"/>
        <v>1.60821062</v>
      </c>
    </row>
    <row r="6">
      <c r="A6" s="2" t="s">
        <v>14</v>
      </c>
      <c r="B6" s="3">
        <f>IFERROR(__xludf.DUMMYFUNCTION("GOOGLEFINANCE(""NSE:"" &amp;A6, ""price"")"),11.0)</f>
        <v>11</v>
      </c>
      <c r="C6" s="4">
        <f>IFERROR(__xludf.DUMMYFUNCTION("GOOGLEFINANCE(""NSE:"" &amp;A6, ""priceopen"")"),11.2)</f>
        <v>11.2</v>
      </c>
      <c r="D6" s="4">
        <f>IFERROR(__xludf.DUMMYFUNCTION("GOOGLEFINANCE(""NSE:"" &amp;A6, ""high"")"),11.3)</f>
        <v>11.3</v>
      </c>
      <c r="E6" s="4">
        <f>IFERROR(__xludf.DUMMYFUNCTION("GOOGLEFINANCE(""NSE:"" &amp;A6, ""low"")"),10.9)</f>
        <v>10.9</v>
      </c>
      <c r="F6" s="4">
        <f>IFERROR(__xludf.DUMMYFUNCTION("GOOGLEFINANCE(""NSE:"" &amp;A6, ""closeyest"")"),11.15)</f>
        <v>11.15</v>
      </c>
      <c r="G6" s="4">
        <f>IFERROR(__xludf.DUMMYFUNCTION("GOOGLEFINANCE(""NSE:"" &amp;A6, ""high52"")"),22.35)</f>
        <v>22.35</v>
      </c>
      <c r="H6" s="4">
        <f>IFERROR(__xludf.DUMMYFUNCTION("GOOGLEFINANCE(""NSE:"" &amp;A6, ""low52"")"),8.35)</f>
        <v>8.35</v>
      </c>
      <c r="I6" s="4">
        <f>IFERROR(__xludf.DUMMYFUNCTION("GOOGLEFINANCE(""NSE:"" &amp;A6, ""volume"")"),5303489.0)</f>
        <v>5303489</v>
      </c>
      <c r="J6" s="5">
        <f t="shared" si="1"/>
        <v>1.031818182</v>
      </c>
    </row>
    <row r="7">
      <c r="A7" s="2" t="s">
        <v>15</v>
      </c>
      <c r="B7" s="3">
        <f>IFERROR(__xludf.DUMMYFUNCTION("GOOGLEFINANCE(""NSE:"" &amp;A7, ""price"")"),8.9)</f>
        <v>8.9</v>
      </c>
      <c r="C7" s="4">
        <f>IFERROR(__xludf.DUMMYFUNCTION("GOOGLEFINANCE(""NSE:"" &amp;A7, ""priceopen"")"),9.15)</f>
        <v>9.15</v>
      </c>
      <c r="D7" s="4">
        <f>IFERROR(__xludf.DUMMYFUNCTION("GOOGLEFINANCE(""NSE:"" &amp;A7, ""high"")"),9.2)</f>
        <v>9.2</v>
      </c>
      <c r="E7" s="4">
        <f>IFERROR(__xludf.DUMMYFUNCTION("GOOGLEFINANCE(""NSE:"" &amp;A7, ""low"")"),8.9)</f>
        <v>8.9</v>
      </c>
      <c r="F7" s="4">
        <f>IFERROR(__xludf.DUMMYFUNCTION("GOOGLEFINANCE(""NSE:"" &amp;A7, ""closeyest"")"),9.1)</f>
        <v>9.1</v>
      </c>
      <c r="G7" s="4">
        <f>IFERROR(__xludf.DUMMYFUNCTION("GOOGLEFINANCE(""NSE:"" &amp;A7, ""high52"")"),16.8)</f>
        <v>16.8</v>
      </c>
      <c r="H7" s="4">
        <f>IFERROR(__xludf.DUMMYFUNCTION("GOOGLEFINANCE(""NSE:"" &amp;A7, ""low52"")"),7.75)</f>
        <v>7.75</v>
      </c>
      <c r="I7" s="4">
        <f>IFERROR(__xludf.DUMMYFUNCTION("GOOGLEFINANCE(""NSE:"" &amp;A7, ""volume"")"),8.1348132E7)</f>
        <v>81348132</v>
      </c>
      <c r="J7" s="5">
        <f t="shared" si="1"/>
        <v>0.8876404494</v>
      </c>
    </row>
    <row r="8">
      <c r="A8" s="2" t="s">
        <v>16</v>
      </c>
      <c r="B8" s="3">
        <f>IFERROR(__xludf.DUMMYFUNCTION("GOOGLEFINANCE(""NSE:"" &amp;A8, ""price"")"),395.5)</f>
        <v>395.5</v>
      </c>
      <c r="C8" s="4">
        <f>IFERROR(__xludf.DUMMYFUNCTION("GOOGLEFINANCE(""NSE:"" &amp;A8, ""priceopen"")"),410.7)</f>
        <v>410.7</v>
      </c>
      <c r="D8" s="4">
        <f>IFERROR(__xludf.DUMMYFUNCTION("GOOGLEFINANCE(""NSE:"" &amp;A8, ""high"")"),412.7)</f>
        <v>412.7</v>
      </c>
      <c r="E8" s="4">
        <f>IFERROR(__xludf.DUMMYFUNCTION("GOOGLEFINANCE(""NSE:"" &amp;A8, ""low"")"),394.45)</f>
        <v>394.45</v>
      </c>
      <c r="F8" s="4">
        <f>IFERROR(__xludf.DUMMYFUNCTION("GOOGLEFINANCE(""NSE:"" &amp;A8, ""closeyest"")"),412.1)</f>
        <v>412.1</v>
      </c>
      <c r="G8" s="4">
        <f>IFERROR(__xludf.DUMMYFUNCTION("GOOGLEFINANCE(""NSE:"" &amp;A8, ""high52"")"),636.0)</f>
        <v>636</v>
      </c>
      <c r="H8" s="4">
        <f>IFERROR(__xludf.DUMMYFUNCTION("GOOGLEFINANCE(""NSE:"" &amp;A8, ""low52"")"),308.95)</f>
        <v>308.95</v>
      </c>
      <c r="I8" s="4">
        <f>IFERROR(__xludf.DUMMYFUNCTION("GOOGLEFINANCE(""NSE:"" &amp;A8, ""volume"")"),9228856.0)</f>
        <v>9228856</v>
      </c>
      <c r="J8" s="5">
        <f t="shared" si="1"/>
        <v>0.608091024</v>
      </c>
    </row>
    <row r="9">
      <c r="A9" s="2" t="s">
        <v>17</v>
      </c>
      <c r="B9" s="3">
        <f>IFERROR(__xludf.DUMMYFUNCTION("GOOGLEFINANCE(""NSE:"" &amp;A9, ""price"")"),768.5)</f>
        <v>768.5</v>
      </c>
      <c r="C9" s="4">
        <f>IFERROR(__xludf.DUMMYFUNCTION("GOOGLEFINANCE(""NSE:"" &amp;A9, ""priceopen"")"),789.0)</f>
        <v>789</v>
      </c>
      <c r="D9" s="4">
        <f>IFERROR(__xludf.DUMMYFUNCTION("GOOGLEFINANCE(""NSE:"" &amp;A9, ""high"")"),789.0)</f>
        <v>789</v>
      </c>
      <c r="E9" s="4">
        <f>IFERROR(__xludf.DUMMYFUNCTION("GOOGLEFINANCE(""NSE:"" &amp;A9, ""low"")"),764.25)</f>
        <v>764.25</v>
      </c>
      <c r="F9" s="4">
        <f>IFERROR(__xludf.DUMMYFUNCTION("GOOGLEFINANCE(""NSE:"" &amp;A9, ""closeyest"")"),789.2)</f>
        <v>789.2</v>
      </c>
      <c r="G9" s="4">
        <f>IFERROR(__xludf.DUMMYFUNCTION("GOOGLEFINANCE(""NSE:"" &amp;A9, ""high52"")"),866.9)</f>
        <v>866.9</v>
      </c>
      <c r="H9" s="4">
        <f>IFERROR(__xludf.DUMMYFUNCTION("GOOGLEFINANCE(""NSE:"" &amp;A9, ""low52"")"),618.25)</f>
        <v>618.25</v>
      </c>
      <c r="I9" s="4">
        <f>IFERROR(__xludf.DUMMYFUNCTION("GOOGLEFINANCE(""NSE:"" &amp;A9, ""volume"")"),1.0278805E7)</f>
        <v>10278805</v>
      </c>
      <c r="J9" s="5">
        <f t="shared" si="1"/>
        <v>0.1280416396</v>
      </c>
    </row>
    <row r="10">
      <c r="A10" s="2" t="s">
        <v>18</v>
      </c>
      <c r="B10" s="3">
        <f>IFERROR(__xludf.DUMMYFUNCTION("GOOGLEFINANCE(""NSE:"" &amp;A10, ""price"")"),1731.1)</f>
        <v>1731.1</v>
      </c>
      <c r="C10" s="4">
        <f>IFERROR(__xludf.DUMMYFUNCTION("GOOGLEFINANCE(""NSE:"" &amp;A10, ""priceopen"")"),1775.0)</f>
        <v>1775</v>
      </c>
      <c r="D10" s="4">
        <f>IFERROR(__xludf.DUMMYFUNCTION("GOOGLEFINANCE(""NSE:"" &amp;A10, ""high"")"),1778.7)</f>
        <v>1778.7</v>
      </c>
      <c r="E10" s="4">
        <f>IFERROR(__xludf.DUMMYFUNCTION("GOOGLEFINANCE(""NSE:"" &amp;A10, ""low"")"),1714.4)</f>
        <v>1714.4</v>
      </c>
      <c r="F10" s="4">
        <f>IFERROR(__xludf.DUMMYFUNCTION("GOOGLEFINANCE(""NSE:"" &amp;A10, ""closeyest"")"),1769.4)</f>
        <v>1769.4</v>
      </c>
      <c r="G10" s="4">
        <f>IFERROR(__xludf.DUMMYFUNCTION("GOOGLEFINANCE(""NSE:"" &amp;A10, ""high52"")"),2214.85)</f>
        <v>2214.85</v>
      </c>
      <c r="H10" s="4">
        <f>IFERROR(__xludf.DUMMYFUNCTION("GOOGLEFINANCE(""NSE:"" &amp;A10, ""low52"")"),1224.05)</f>
        <v>1224.05</v>
      </c>
      <c r="I10" s="4">
        <f>IFERROR(__xludf.DUMMYFUNCTION("GOOGLEFINANCE(""NSE:"" &amp;A10, ""volume"")"),1203787.0)</f>
        <v>1203787</v>
      </c>
      <c r="J10" s="5">
        <f t="shared" si="1"/>
        <v>0.2794465947</v>
      </c>
    </row>
    <row r="11">
      <c r="A11" s="2" t="s">
        <v>19</v>
      </c>
      <c r="B11" s="3">
        <f>IFERROR(__xludf.DUMMYFUNCTION("GOOGLEFINANCE(""NSE:"" &amp;A11, ""price"")"),494.05)</f>
        <v>494.05</v>
      </c>
      <c r="C11" s="4">
        <f>IFERROR(__xludf.DUMMYFUNCTION("GOOGLEFINANCE(""NSE:"" &amp;A11, ""priceopen"")"),507.5)</f>
        <v>507.5</v>
      </c>
      <c r="D11" s="4">
        <f>IFERROR(__xludf.DUMMYFUNCTION("GOOGLEFINANCE(""NSE:"" &amp;A11, ""high"")"),510.25)</f>
        <v>510.25</v>
      </c>
      <c r="E11" s="4">
        <f>IFERROR(__xludf.DUMMYFUNCTION("GOOGLEFINANCE(""NSE:"" &amp;A11, ""low"")"),492.0)</f>
        <v>492</v>
      </c>
      <c r="F11" s="4">
        <f>IFERROR(__xludf.DUMMYFUNCTION("GOOGLEFINANCE(""NSE:"" &amp;A11, ""closeyest"")"),506.6)</f>
        <v>506.6</v>
      </c>
      <c r="G11" s="4">
        <f>IFERROR(__xludf.DUMMYFUNCTION("GOOGLEFINANCE(""NSE:"" &amp;A11, ""high52"")"),619.35)</f>
        <v>619.35</v>
      </c>
      <c r="H11" s="4">
        <f>IFERROR(__xludf.DUMMYFUNCTION("GOOGLEFINANCE(""NSE:"" &amp;A11, ""low52"")"),337.2)</f>
        <v>337.2</v>
      </c>
      <c r="I11" s="4">
        <f>IFERROR(__xludf.DUMMYFUNCTION("GOOGLEFINANCE(""NSE:"" &amp;A11, ""volume"")"),183588.0)</f>
        <v>183588</v>
      </c>
      <c r="J11" s="5">
        <f t="shared" si="1"/>
        <v>0.2536180549</v>
      </c>
    </row>
    <row r="12">
      <c r="A12" s="2" t="s">
        <v>20</v>
      </c>
      <c r="B12" s="3">
        <f>IFERROR(__xludf.DUMMYFUNCTION("GOOGLEFINANCE(""NSE:"" &amp;A12, ""price"")"),128.35)</f>
        <v>128.35</v>
      </c>
      <c r="C12" s="4">
        <f>IFERROR(__xludf.DUMMYFUNCTION("GOOGLEFINANCE(""NSE:"" &amp;A12, ""priceopen"")"),128.25)</f>
        <v>128.25</v>
      </c>
      <c r="D12" s="4">
        <f>IFERROR(__xludf.DUMMYFUNCTION("GOOGLEFINANCE(""NSE:"" &amp;A12, ""high"")"),129.1)</f>
        <v>129.1</v>
      </c>
      <c r="E12" s="4">
        <f>IFERROR(__xludf.DUMMYFUNCTION("GOOGLEFINANCE(""NSE:"" &amp;A12, ""low"")"),127.5)</f>
        <v>127.5</v>
      </c>
      <c r="F12" s="4">
        <f>IFERROR(__xludf.DUMMYFUNCTION("GOOGLEFINANCE(""NSE:"" &amp;A12, ""closeyest"")"),128.65)</f>
        <v>128.65</v>
      </c>
      <c r="G12" s="4">
        <f>IFERROR(__xludf.DUMMYFUNCTION("GOOGLEFINANCE(""NSE:"" &amp;A12, ""high52"")"),194.95)</f>
        <v>194.95</v>
      </c>
      <c r="H12" s="4">
        <f>IFERROR(__xludf.DUMMYFUNCTION("GOOGLEFINANCE(""NSE:"" &amp;A12, ""low52"")"),119.85)</f>
        <v>119.85</v>
      </c>
      <c r="I12" s="4">
        <f>IFERROR(__xludf.DUMMYFUNCTION("GOOGLEFINANCE(""NSE:"" &amp;A12, ""volume"")"),1.0407849E7)</f>
        <v>10407849</v>
      </c>
      <c r="J12" s="5">
        <f t="shared" si="1"/>
        <v>0.5188936502</v>
      </c>
    </row>
    <row r="13">
      <c r="A13" s="2" t="s">
        <v>21</v>
      </c>
      <c r="B13" s="3">
        <f>IFERROR(__xludf.DUMMYFUNCTION("GOOGLEFINANCE(""NSE:"" &amp;A13, ""price"")"),1837.9)</f>
        <v>1837.9</v>
      </c>
      <c r="C13" s="4">
        <f>IFERROR(__xludf.DUMMYFUNCTION("GOOGLEFINANCE(""NSE:"" &amp;A13, ""priceopen"")"),1877.0)</f>
        <v>1877</v>
      </c>
      <c r="D13" s="4">
        <f>IFERROR(__xludf.DUMMYFUNCTION("GOOGLEFINANCE(""NSE:"" &amp;A13, ""high"")"),1894.55)</f>
        <v>1894.55</v>
      </c>
      <c r="E13" s="4">
        <f>IFERROR(__xludf.DUMMYFUNCTION("GOOGLEFINANCE(""NSE:"" &amp;A13, ""low"")"),1830.0)</f>
        <v>1830</v>
      </c>
      <c r="F13" s="4">
        <f>IFERROR(__xludf.DUMMYFUNCTION("GOOGLEFINANCE(""NSE:"" &amp;A13, ""closeyest"")"),1876.8)</f>
        <v>1876.8</v>
      </c>
      <c r="G13" s="4">
        <f>IFERROR(__xludf.DUMMYFUNCTION("GOOGLEFINANCE(""NSE:"" &amp;A13, ""high52"")"),2380.0)</f>
        <v>2380</v>
      </c>
      <c r="H13" s="4">
        <f>IFERROR(__xludf.DUMMYFUNCTION("GOOGLEFINANCE(""NSE:"" &amp;A13, ""low52"")"),1511.75)</f>
        <v>1511.75</v>
      </c>
      <c r="I13" s="4">
        <f>IFERROR(__xludf.DUMMYFUNCTION("GOOGLEFINANCE(""NSE:"" &amp;A13, ""volume"")"),493102.0)</f>
        <v>493102</v>
      </c>
      <c r="J13" s="5">
        <f t="shared" si="1"/>
        <v>0.2949562</v>
      </c>
    </row>
    <row r="14">
      <c r="A14" s="2" t="s">
        <v>22</v>
      </c>
      <c r="B14" s="3">
        <f>IFERROR(__xludf.DUMMYFUNCTION("GOOGLEFINANCE(""NSE:"" &amp;A14, ""price"")"),223.2)</f>
        <v>223.2</v>
      </c>
      <c r="C14" s="4">
        <f>IFERROR(__xludf.DUMMYFUNCTION("GOOGLEFINANCE(""NSE:"" &amp;A14, ""priceopen"")"),225.0)</f>
        <v>225</v>
      </c>
      <c r="D14" s="4">
        <f>IFERROR(__xludf.DUMMYFUNCTION("GOOGLEFINANCE(""NSE:"" &amp;A14, ""high"")"),226.95)</f>
        <v>226.95</v>
      </c>
      <c r="E14" s="4">
        <f>IFERROR(__xludf.DUMMYFUNCTION("GOOGLEFINANCE(""NSE:"" &amp;A14, ""low"")"),221.0)</f>
        <v>221</v>
      </c>
      <c r="F14" s="4">
        <f>IFERROR(__xludf.DUMMYFUNCTION("GOOGLEFINANCE(""NSE:"" &amp;A14, ""closeyest"")"),227.05)</f>
        <v>227.05</v>
      </c>
      <c r="G14" s="4">
        <f>IFERROR(__xludf.DUMMYFUNCTION("GOOGLEFINANCE(""NSE:"" &amp;A14, ""high52"")"),240.5)</f>
        <v>240.5</v>
      </c>
      <c r="H14" s="4">
        <f>IFERROR(__xludf.DUMMYFUNCTION("GOOGLEFINANCE(""NSE:"" &amp;A14, ""low52"")"),139.15)</f>
        <v>139.15</v>
      </c>
      <c r="I14" s="4">
        <f>IFERROR(__xludf.DUMMYFUNCTION("GOOGLEFINANCE(""NSE:"" &amp;A14, ""volume"")"),5495315.0)</f>
        <v>5495315</v>
      </c>
      <c r="J14" s="5">
        <f t="shared" si="1"/>
        <v>0.07750896057</v>
      </c>
    </row>
    <row r="15">
      <c r="A15" s="2" t="s">
        <v>23</v>
      </c>
      <c r="B15" s="3">
        <f>IFERROR(__xludf.DUMMYFUNCTION("GOOGLEFINANCE(""NSE:"" &amp;A15, ""price"")"),216.55)</f>
        <v>216.55</v>
      </c>
      <c r="C15" s="4">
        <f>IFERROR(__xludf.DUMMYFUNCTION("GOOGLEFINANCE(""NSE:"" &amp;A15, ""priceopen"")"),222.9)</f>
        <v>222.9</v>
      </c>
      <c r="D15" s="4">
        <f>IFERROR(__xludf.DUMMYFUNCTION("GOOGLEFINANCE(""NSE:"" &amp;A15, ""high"")"),224.0)</f>
        <v>224</v>
      </c>
      <c r="E15" s="4">
        <f>IFERROR(__xludf.DUMMYFUNCTION("GOOGLEFINANCE(""NSE:"" &amp;A15, ""low"")"),216.5)</f>
        <v>216.5</v>
      </c>
      <c r="F15" s="4">
        <f>IFERROR(__xludf.DUMMYFUNCTION("GOOGLEFINANCE(""NSE:"" &amp;A15, ""closeyest"")"),223.9)</f>
        <v>223.9</v>
      </c>
      <c r="G15" s="4">
        <f>IFERROR(__xludf.DUMMYFUNCTION("GOOGLEFINANCE(""NSE:"" &amp;A15, ""high52"")"),345.85)</f>
        <v>345.85</v>
      </c>
      <c r="H15" s="4">
        <f>IFERROR(__xludf.DUMMYFUNCTION("GOOGLEFINANCE(""NSE:"" &amp;A15, ""low52"")"),170.55)</f>
        <v>170.55</v>
      </c>
      <c r="I15" s="4">
        <f>IFERROR(__xludf.DUMMYFUNCTION("GOOGLEFINANCE(""NSE:"" &amp;A15, ""volume"")"),464486.0)</f>
        <v>464486</v>
      </c>
      <c r="J15" s="5">
        <f t="shared" si="1"/>
        <v>0.5970907412</v>
      </c>
    </row>
    <row r="16">
      <c r="A16" s="2" t="s">
        <v>24</v>
      </c>
      <c r="B16" s="3">
        <f>IFERROR(__xludf.DUMMYFUNCTION("GOOGLEFINANCE(""NSE:"" &amp;A16, ""price"")"),70.85)</f>
        <v>70.85</v>
      </c>
      <c r="C16" s="4">
        <f>IFERROR(__xludf.DUMMYFUNCTION("GOOGLEFINANCE(""NSE:"" &amp;A16, ""priceopen"")"),73.15)</f>
        <v>73.15</v>
      </c>
      <c r="D16" s="4">
        <f>IFERROR(__xludf.DUMMYFUNCTION("GOOGLEFINANCE(""NSE:"" &amp;A16, ""high"")"),73.15)</f>
        <v>73.15</v>
      </c>
      <c r="E16" s="4">
        <f>IFERROR(__xludf.DUMMYFUNCTION("GOOGLEFINANCE(""NSE:"" &amp;A16, ""low"")"),70.6)</f>
        <v>70.6</v>
      </c>
      <c r="F16" s="4">
        <f>IFERROR(__xludf.DUMMYFUNCTION("GOOGLEFINANCE(""NSE:"" &amp;A16, ""closeyest"")"),73.15)</f>
        <v>73.15</v>
      </c>
      <c r="G16" s="4">
        <f>IFERROR(__xludf.DUMMYFUNCTION("GOOGLEFINANCE(""NSE:"" &amp;A16, ""high52"")"),85.5)</f>
        <v>85.5</v>
      </c>
      <c r="H16" s="4">
        <f>IFERROR(__xludf.DUMMYFUNCTION("GOOGLEFINANCE(""NSE:"" &amp;A16, ""low52"")"),52.2)</f>
        <v>52.2</v>
      </c>
      <c r="I16" s="4">
        <f>IFERROR(__xludf.DUMMYFUNCTION("GOOGLEFINANCE(""NSE:"" &amp;A16, ""volume"")"),2056279.0)</f>
        <v>2056279</v>
      </c>
      <c r="J16" s="5">
        <f t="shared" si="1"/>
        <v>0.2067748765</v>
      </c>
    </row>
    <row r="17">
      <c r="A17" s="2" t="s">
        <v>25</v>
      </c>
      <c r="B17" s="3">
        <f>IFERROR(__xludf.DUMMYFUNCTION("GOOGLEFINANCE(""NSE:"" &amp;A17, ""price"")"),38.1)</f>
        <v>38.1</v>
      </c>
      <c r="C17" s="4">
        <f>IFERROR(__xludf.DUMMYFUNCTION("GOOGLEFINANCE(""NSE:"" &amp;A17, ""priceopen"")"),40.45)</f>
        <v>40.45</v>
      </c>
      <c r="D17" s="4">
        <f>IFERROR(__xludf.DUMMYFUNCTION("GOOGLEFINANCE(""NSE:"" &amp;A17, ""high"")"),40.6)</f>
        <v>40.6</v>
      </c>
      <c r="E17" s="4">
        <f>IFERROR(__xludf.DUMMYFUNCTION("GOOGLEFINANCE(""NSE:"" &amp;A17, ""low"")"),38.0)</f>
        <v>38</v>
      </c>
      <c r="F17" s="4">
        <f>IFERROR(__xludf.DUMMYFUNCTION("GOOGLEFINANCE(""NSE:"" &amp;A17, ""closeyest"")"),40.5)</f>
        <v>40.5</v>
      </c>
      <c r="G17" s="4">
        <f>IFERROR(__xludf.DUMMYFUNCTION("GOOGLEFINANCE(""NSE:"" &amp;A17, ""high52"")"),48.2)</f>
        <v>48.2</v>
      </c>
      <c r="H17" s="4">
        <f>IFERROR(__xludf.DUMMYFUNCTION("GOOGLEFINANCE(""NSE:"" &amp;A17, ""low52"")"),28.05)</f>
        <v>28.05</v>
      </c>
      <c r="I17" s="4">
        <f>IFERROR(__xludf.DUMMYFUNCTION("GOOGLEFINANCE(""NSE:"" &amp;A17, ""volume"")"),6.9527571E7)</f>
        <v>69527571</v>
      </c>
      <c r="J17" s="5">
        <f t="shared" si="1"/>
        <v>0.2650918635</v>
      </c>
    </row>
    <row r="18">
      <c r="A18" s="2" t="s">
        <v>26</v>
      </c>
      <c r="B18" s="3">
        <f>IFERROR(__xludf.DUMMYFUNCTION("GOOGLEFINANCE(""NSE:"" &amp;A18, ""price"")"),77.9)</f>
        <v>77.9</v>
      </c>
      <c r="C18" s="4">
        <f>IFERROR(__xludf.DUMMYFUNCTION("GOOGLEFINANCE(""NSE:"" &amp;A18, ""priceopen"")"),80.0)</f>
        <v>80</v>
      </c>
      <c r="D18" s="4">
        <f>IFERROR(__xludf.DUMMYFUNCTION("GOOGLEFINANCE(""NSE:"" &amp;A18, ""high"")"),81.1)</f>
        <v>81.1</v>
      </c>
      <c r="E18" s="4">
        <f>IFERROR(__xludf.DUMMYFUNCTION("GOOGLEFINANCE(""NSE:"" &amp;A18, ""low"")"),77.8)</f>
        <v>77.8</v>
      </c>
      <c r="F18" s="4">
        <f>IFERROR(__xludf.DUMMYFUNCTION("GOOGLEFINANCE(""NSE:"" &amp;A18, ""closeyest"")"),80.4)</f>
        <v>80.4</v>
      </c>
      <c r="G18" s="4">
        <f>IFERROR(__xludf.DUMMYFUNCTION("GOOGLEFINANCE(""NSE:"" &amp;A18, ""high52"")"),131.8)</f>
        <v>131.8</v>
      </c>
      <c r="H18" s="4">
        <f>IFERROR(__xludf.DUMMYFUNCTION("GOOGLEFINANCE(""NSE:"" &amp;A18, ""low52"")"),63.6)</f>
        <v>63.6</v>
      </c>
      <c r="I18" s="4">
        <f>IFERROR(__xludf.DUMMYFUNCTION("GOOGLEFINANCE(""NSE:"" &amp;A18, ""volume"")"),1.1815823E7)</f>
        <v>11815823</v>
      </c>
      <c r="J18" s="5">
        <f t="shared" si="1"/>
        <v>0.6919127086</v>
      </c>
    </row>
    <row r="19">
      <c r="A19" s="2" t="s">
        <v>27</v>
      </c>
      <c r="B19" s="3">
        <f>IFERROR(__xludf.DUMMYFUNCTION("GOOGLEFINANCE(""NSE:"" &amp;A19, ""price"")"),1572.0)</f>
        <v>1572</v>
      </c>
      <c r="C19" s="4">
        <f>IFERROR(__xludf.DUMMYFUNCTION("GOOGLEFINANCE(""NSE:"" &amp;A19, ""priceopen"")"),1599.0)</f>
        <v>1599</v>
      </c>
      <c r="D19" s="4">
        <f>IFERROR(__xludf.DUMMYFUNCTION("GOOGLEFINANCE(""NSE:"" &amp;A19, ""high"")"),1599.0)</f>
        <v>1599</v>
      </c>
      <c r="E19" s="4">
        <f>IFERROR(__xludf.DUMMYFUNCTION("GOOGLEFINANCE(""NSE:"" &amp;A19, ""low"")"),1564.3)</f>
        <v>1564.3</v>
      </c>
      <c r="F19" s="4">
        <f>IFERROR(__xludf.DUMMYFUNCTION("GOOGLEFINANCE(""NSE:"" &amp;A19, ""closeyest"")"),1595.15)</f>
        <v>1595.15</v>
      </c>
      <c r="G19" s="4">
        <f>IFERROR(__xludf.DUMMYFUNCTION("GOOGLEFINANCE(""NSE:"" &amp;A19, ""high52"")"),1730.0)</f>
        <v>1730</v>
      </c>
      <c r="H19" s="4">
        <f>IFERROR(__xludf.DUMMYFUNCTION("GOOGLEFINANCE(""NSE:"" &amp;A19, ""low52"")"),1375.6)</f>
        <v>1375.6</v>
      </c>
      <c r="I19" s="4">
        <f>IFERROR(__xludf.DUMMYFUNCTION("GOOGLEFINANCE(""NSE:"" &amp;A19, ""volume"")"),212676.0)</f>
        <v>212676</v>
      </c>
      <c r="J19" s="5">
        <f t="shared" si="1"/>
        <v>0.1005089059</v>
      </c>
    </row>
    <row r="20">
      <c r="A20" s="2" t="s">
        <v>28</v>
      </c>
      <c r="B20" s="3">
        <f>IFERROR(__xludf.DUMMYFUNCTION("GOOGLEFINANCE(""NSE:"" &amp;A20, ""price"")"),57.85)</f>
        <v>57.85</v>
      </c>
      <c r="C20" s="4">
        <f>IFERROR(__xludf.DUMMYFUNCTION("GOOGLEFINANCE(""NSE:"" &amp;A20, ""priceopen"")"),59.65)</f>
        <v>59.65</v>
      </c>
      <c r="D20" s="4">
        <f>IFERROR(__xludf.DUMMYFUNCTION("GOOGLEFINANCE(""NSE:"" &amp;A20, ""high"")"),60.15)</f>
        <v>60.15</v>
      </c>
      <c r="E20" s="4">
        <f>IFERROR(__xludf.DUMMYFUNCTION("GOOGLEFINANCE(""NSE:"" &amp;A20, ""low"")"),57.65)</f>
        <v>57.65</v>
      </c>
      <c r="F20" s="4">
        <f>IFERROR(__xludf.DUMMYFUNCTION("GOOGLEFINANCE(""NSE:"" &amp;A20, ""closeyest"")"),59.4)</f>
        <v>59.4</v>
      </c>
      <c r="G20" s="4">
        <f>IFERROR(__xludf.DUMMYFUNCTION("GOOGLEFINANCE(""NSE:"" &amp;A20, ""high52"")"),80.35)</f>
        <v>80.35</v>
      </c>
      <c r="H20" s="4">
        <f>IFERROR(__xludf.DUMMYFUNCTION("GOOGLEFINANCE(""NSE:"" &amp;A20, ""low52"")"),41.4)</f>
        <v>41.4</v>
      </c>
      <c r="I20" s="4">
        <f>IFERROR(__xludf.DUMMYFUNCTION("GOOGLEFINANCE(""NSE:"" &amp;A20, ""volume"")"),2.0665995E7)</f>
        <v>20665995</v>
      </c>
      <c r="J20" s="5">
        <f t="shared" si="1"/>
        <v>0.3889369058</v>
      </c>
    </row>
    <row r="21">
      <c r="A21" s="2" t="s">
        <v>29</v>
      </c>
      <c r="B21" s="3">
        <f>IFERROR(__xludf.DUMMYFUNCTION("GOOGLEFINANCE(""NSE:"" &amp;A21, ""price"")"),63.3)</f>
        <v>63.3</v>
      </c>
      <c r="C21" s="4">
        <f>IFERROR(__xludf.DUMMYFUNCTION("GOOGLEFINANCE(""NSE:"" &amp;A21, ""priceopen"")"),65.55)</f>
        <v>65.55</v>
      </c>
      <c r="D21" s="4">
        <f>IFERROR(__xludf.DUMMYFUNCTION("GOOGLEFINANCE(""NSE:"" &amp;A21, ""high"")"),65.65)</f>
        <v>65.65</v>
      </c>
      <c r="E21" s="4">
        <f>IFERROR(__xludf.DUMMYFUNCTION("GOOGLEFINANCE(""NSE:"" &amp;A21, ""low"")"),63.1)</f>
        <v>63.1</v>
      </c>
      <c r="F21" s="4">
        <f>IFERROR(__xludf.DUMMYFUNCTION("GOOGLEFINANCE(""NSE:"" &amp;A21, ""closeyest"")"),65.15)</f>
        <v>65.15</v>
      </c>
      <c r="G21" s="4">
        <f>IFERROR(__xludf.DUMMYFUNCTION("GOOGLEFINANCE(""NSE:"" &amp;A21, ""high52"")"),127.65)</f>
        <v>127.65</v>
      </c>
      <c r="H21" s="4">
        <f>IFERROR(__xludf.DUMMYFUNCTION("GOOGLEFINANCE(""NSE:"" &amp;A21, ""low52"")"),37.05)</f>
        <v>37.05</v>
      </c>
      <c r="I21" s="4">
        <f>IFERROR(__xludf.DUMMYFUNCTION("GOOGLEFINANCE(""NSE:"" &amp;A21, ""volume"")"),1879865.0)</f>
        <v>1879865</v>
      </c>
      <c r="J21" s="5">
        <f t="shared" si="1"/>
        <v>1.016587678</v>
      </c>
    </row>
    <row r="22">
      <c r="A22" s="2" t="s">
        <v>30</v>
      </c>
      <c r="B22" s="3">
        <f>IFERROR(__xludf.DUMMYFUNCTION("GOOGLEFINANCE(""NSE:"" &amp;A22, ""price"")"),75.95)</f>
        <v>75.95</v>
      </c>
      <c r="C22" s="4">
        <f>IFERROR(__xludf.DUMMYFUNCTION("GOOGLEFINANCE(""NSE:"" &amp;A22, ""priceopen"")"),79.3)</f>
        <v>79.3</v>
      </c>
      <c r="D22" s="4">
        <f>IFERROR(__xludf.DUMMYFUNCTION("GOOGLEFINANCE(""NSE:"" &amp;A22, ""high"")"),79.5)</f>
        <v>79.5</v>
      </c>
      <c r="E22" s="4">
        <f>IFERROR(__xludf.DUMMYFUNCTION("GOOGLEFINANCE(""NSE:"" &amp;A22, ""low"")"),75.6)</f>
        <v>75.6</v>
      </c>
      <c r="F22" s="4">
        <f>IFERROR(__xludf.DUMMYFUNCTION("GOOGLEFINANCE(""NSE:"" &amp;A22, ""closeyest"")"),79.4)</f>
        <v>79.4</v>
      </c>
      <c r="G22" s="4">
        <f>IFERROR(__xludf.DUMMYFUNCTION("GOOGLEFINANCE(""NSE:"" &amp;A22, ""high52"")"),95.95)</f>
        <v>95.95</v>
      </c>
      <c r="H22" s="4">
        <f>IFERROR(__xludf.DUMMYFUNCTION("GOOGLEFINANCE(""NSE:"" &amp;A22, ""low52"")"),58.5)</f>
        <v>58.5</v>
      </c>
      <c r="I22" s="4">
        <f>IFERROR(__xludf.DUMMYFUNCTION("GOOGLEFINANCE(""NSE:"" &amp;A22, ""volume"")"),8284181.0)</f>
        <v>8284181</v>
      </c>
      <c r="J22" s="5">
        <f t="shared" si="1"/>
        <v>0.2633311389</v>
      </c>
    </row>
    <row r="23">
      <c r="A23" s="2" t="s">
        <v>31</v>
      </c>
      <c r="B23" s="3">
        <f>IFERROR(__xludf.DUMMYFUNCTION("GOOGLEFINANCE(""NSE:"" &amp;A23, ""price"")"),2438.8)</f>
        <v>2438.8</v>
      </c>
      <c r="C23" s="4">
        <f>IFERROR(__xludf.DUMMYFUNCTION("GOOGLEFINANCE(""NSE:"" &amp;A23, ""priceopen"")"),2485.0)</f>
        <v>2485</v>
      </c>
      <c r="D23" s="4">
        <f>IFERROR(__xludf.DUMMYFUNCTION("GOOGLEFINANCE(""NSE:"" &amp;A23, ""high"")"),2495.95)</f>
        <v>2495.95</v>
      </c>
      <c r="E23" s="4">
        <f>IFERROR(__xludf.DUMMYFUNCTION("GOOGLEFINANCE(""NSE:"" &amp;A23, ""low"")"),2436.1)</f>
        <v>2436.1</v>
      </c>
      <c r="F23" s="4">
        <f>IFERROR(__xludf.DUMMYFUNCTION("GOOGLEFINANCE(""NSE:"" &amp;A23, ""closeyest"")"),2486.1)</f>
        <v>2486.1</v>
      </c>
      <c r="G23" s="4">
        <f>IFERROR(__xludf.DUMMYFUNCTION("GOOGLEFINANCE(""NSE:"" &amp;A23, ""high52"")"),2856.15)</f>
        <v>2856.15</v>
      </c>
      <c r="H23" s="4">
        <f>IFERROR(__xludf.DUMMYFUNCTION("GOOGLEFINANCE(""NSE:"" &amp;A23, ""low52"")"),2180.0)</f>
        <v>2180</v>
      </c>
      <c r="I23" s="4">
        <f>IFERROR(__xludf.DUMMYFUNCTION("GOOGLEFINANCE(""NSE:"" &amp;A23, ""volume"")"),4397194.0)</f>
        <v>4397194</v>
      </c>
      <c r="J23" s="5">
        <f t="shared" si="1"/>
        <v>0.1711292439</v>
      </c>
    </row>
    <row r="24">
      <c r="A24" s="2" t="s">
        <v>32</v>
      </c>
      <c r="B24" s="3">
        <f>IFERROR(__xludf.DUMMYFUNCTION("GOOGLEFINANCE(""NSE:"" &amp;A24, ""price"")"),229.7)</f>
        <v>229.7</v>
      </c>
      <c r="C24" s="4">
        <f>IFERROR(__xludf.DUMMYFUNCTION("GOOGLEFINANCE(""NSE:"" &amp;A24, ""priceopen"")"),241.5)</f>
        <v>241.5</v>
      </c>
      <c r="D24" s="4">
        <f>IFERROR(__xludf.DUMMYFUNCTION("GOOGLEFINANCE(""NSE:"" &amp;A24, ""high"")"),243.6)</f>
        <v>243.6</v>
      </c>
      <c r="E24" s="4">
        <f>IFERROR(__xludf.DUMMYFUNCTION("GOOGLEFINANCE(""NSE:"" &amp;A24, ""low"")"),228.2)</f>
        <v>228.2</v>
      </c>
      <c r="F24" s="4">
        <f>IFERROR(__xludf.DUMMYFUNCTION("GOOGLEFINANCE(""NSE:"" &amp;A24, ""closeyest"")"),242.95)</f>
        <v>242.95</v>
      </c>
      <c r="G24" s="4">
        <f>IFERROR(__xludf.DUMMYFUNCTION("GOOGLEFINANCE(""NSE:"" &amp;A24, ""high52"")"),272.8)</f>
        <v>272.8</v>
      </c>
      <c r="H24" s="4">
        <f>IFERROR(__xludf.DUMMYFUNCTION("GOOGLEFINANCE(""NSE:"" &amp;A24, ""low52"")"),157.2)</f>
        <v>157.2</v>
      </c>
      <c r="I24" s="4">
        <f>IFERROR(__xludf.DUMMYFUNCTION("GOOGLEFINANCE(""NSE:"" &amp;A24, ""volume"")"),1.1726325E7)</f>
        <v>11726325</v>
      </c>
      <c r="J24" s="5">
        <f t="shared" si="1"/>
        <v>0.187636047</v>
      </c>
    </row>
    <row r="25">
      <c r="A25" s="2" t="s">
        <v>33</v>
      </c>
      <c r="B25" s="3">
        <f>IFERROR(__xludf.DUMMYFUNCTION("GOOGLEFINANCE(""NSE:"" &amp;A25, ""price"")"),23.45)</f>
        <v>23.45</v>
      </c>
      <c r="C25" s="4">
        <f>IFERROR(__xludf.DUMMYFUNCTION("GOOGLEFINANCE(""NSE:"" &amp;A25, ""priceopen"")"),24.75)</f>
        <v>24.75</v>
      </c>
      <c r="D25" s="4">
        <f>IFERROR(__xludf.DUMMYFUNCTION("GOOGLEFINANCE(""NSE:"" &amp;A25, ""high"")"),24.75)</f>
        <v>24.75</v>
      </c>
      <c r="E25" s="4">
        <f>IFERROR(__xludf.DUMMYFUNCTION("GOOGLEFINANCE(""NSE:"" &amp;A25, ""low"")"),23.3)</f>
        <v>23.3</v>
      </c>
      <c r="F25" s="4">
        <f>IFERROR(__xludf.DUMMYFUNCTION("GOOGLEFINANCE(""NSE:"" &amp;A25, ""closeyest"")"),24.05)</f>
        <v>24.05</v>
      </c>
      <c r="G25" s="4">
        <f>IFERROR(__xludf.DUMMYFUNCTION("GOOGLEFINANCE(""NSE:"" &amp;A25, ""high52"")"),25.8)</f>
        <v>25.8</v>
      </c>
      <c r="H25" s="4">
        <f>IFERROR(__xludf.DUMMYFUNCTION("GOOGLEFINANCE(""NSE:"" &amp;A25, ""low52"")"),13.5)</f>
        <v>13.5</v>
      </c>
      <c r="I25" s="4">
        <f>IFERROR(__xludf.DUMMYFUNCTION("GOOGLEFINANCE(""NSE:"" &amp;A25, ""volume"")"),3524194.0)</f>
        <v>3524194</v>
      </c>
      <c r="J25" s="5">
        <f t="shared" si="1"/>
        <v>0.1002132196</v>
      </c>
    </row>
    <row r="26">
      <c r="A26" s="2" t="s">
        <v>34</v>
      </c>
      <c r="B26" s="3">
        <f>IFERROR(__xludf.DUMMYFUNCTION("GOOGLEFINANCE(""NSE:"" &amp;A26, ""price"")"),1068.7)</f>
        <v>1068.7</v>
      </c>
      <c r="C26" s="4">
        <f>IFERROR(__xludf.DUMMYFUNCTION("GOOGLEFINANCE(""NSE:"" &amp;A26, ""priceopen"")"),1125.0)</f>
        <v>1125</v>
      </c>
      <c r="D26" s="4">
        <f>IFERROR(__xludf.DUMMYFUNCTION("GOOGLEFINANCE(""NSE:"" &amp;A26, ""high"")"),1131.55)</f>
        <v>1131.55</v>
      </c>
      <c r="E26" s="4">
        <f>IFERROR(__xludf.DUMMYFUNCTION("GOOGLEFINANCE(""NSE:"" &amp;A26, ""low"")"),1068.7)</f>
        <v>1068.7</v>
      </c>
      <c r="F26" s="4">
        <f>IFERROR(__xludf.DUMMYFUNCTION("GOOGLEFINANCE(""NSE:"" &amp;A26, ""closeyest"")"),1124.9)</f>
        <v>1124.9</v>
      </c>
      <c r="G26" s="4">
        <f>IFERROR(__xludf.DUMMYFUNCTION("GOOGLEFINANCE(""NSE:"" &amp;A26, ""high52"")"),1278.75)</f>
        <v>1278.75</v>
      </c>
      <c r="H26" s="4">
        <f>IFERROR(__xludf.DUMMYFUNCTION("GOOGLEFINANCE(""NSE:"" &amp;A26, ""low52"")"),433.8)</f>
        <v>433.8</v>
      </c>
      <c r="I26" s="4">
        <f>IFERROR(__xludf.DUMMYFUNCTION("GOOGLEFINANCE(""NSE:"" &amp;A26, ""volume"")"),263404.0)</f>
        <v>263404</v>
      </c>
      <c r="J26" s="5">
        <f t="shared" si="1"/>
        <v>0.1965472069</v>
      </c>
    </row>
    <row r="27">
      <c r="A27" s="2" t="s">
        <v>35</v>
      </c>
      <c r="B27" s="3">
        <f>IFERROR(__xludf.DUMMYFUNCTION("GOOGLEFINANCE(""NSE:"" &amp;A27, ""price"")"),423.5)</f>
        <v>423.5</v>
      </c>
      <c r="C27" s="4">
        <f>IFERROR(__xludf.DUMMYFUNCTION("GOOGLEFINANCE(""NSE:"" &amp;A27, ""priceopen"")"),431.9)</f>
        <v>431.9</v>
      </c>
      <c r="D27" s="4">
        <f>IFERROR(__xludf.DUMMYFUNCTION("GOOGLEFINANCE(""NSE:"" &amp;A27, ""high"")"),431.9)</f>
        <v>431.9</v>
      </c>
      <c r="E27" s="4">
        <f>IFERROR(__xludf.DUMMYFUNCTION("GOOGLEFINANCE(""NSE:"" &amp;A27, ""low"")"),420.55)</f>
        <v>420.55</v>
      </c>
      <c r="F27" s="4">
        <f>IFERROR(__xludf.DUMMYFUNCTION("GOOGLEFINANCE(""NSE:"" &amp;A27, ""closeyest"")"),432.2)</f>
        <v>432.2</v>
      </c>
      <c r="G27" s="4">
        <f>IFERROR(__xludf.DUMMYFUNCTION("GOOGLEFINANCE(""NSE:"" &amp;A27, ""high52"")"),536.7)</f>
        <v>536.7</v>
      </c>
      <c r="H27" s="4">
        <f>IFERROR(__xludf.DUMMYFUNCTION("GOOGLEFINANCE(""NSE:"" &amp;A27, ""low52"")"),313.2)</f>
        <v>313.2</v>
      </c>
      <c r="I27" s="4">
        <f>IFERROR(__xludf.DUMMYFUNCTION("GOOGLEFINANCE(""NSE:"" &amp;A27, ""volume"")"),1.3441609E7)</f>
        <v>13441609</v>
      </c>
      <c r="J27" s="5">
        <f t="shared" si="1"/>
        <v>0.26729634</v>
      </c>
    </row>
    <row r="28">
      <c r="A28" s="2" t="s">
        <v>36</v>
      </c>
      <c r="B28" s="3">
        <f>IFERROR(__xludf.DUMMYFUNCTION("GOOGLEFINANCE(""NSE:"" &amp;A28, ""price"")"),118.3)</f>
        <v>118.3</v>
      </c>
      <c r="C28" s="4">
        <f>IFERROR(__xludf.DUMMYFUNCTION("GOOGLEFINANCE(""NSE:"" &amp;A28, ""priceopen"")"),122.1)</f>
        <v>122.1</v>
      </c>
      <c r="D28" s="4">
        <f>IFERROR(__xludf.DUMMYFUNCTION("GOOGLEFINANCE(""NSE:"" &amp;A28, ""high"")"),122.65)</f>
        <v>122.65</v>
      </c>
      <c r="E28" s="4">
        <f>IFERROR(__xludf.DUMMYFUNCTION("GOOGLEFINANCE(""NSE:"" &amp;A28, ""low"")"),117.65)</f>
        <v>117.65</v>
      </c>
      <c r="F28" s="4">
        <f>IFERROR(__xludf.DUMMYFUNCTION("GOOGLEFINANCE(""NSE:"" &amp;A28, ""closeyest"")"),121.7)</f>
        <v>121.7</v>
      </c>
      <c r="G28" s="4">
        <f>IFERROR(__xludf.DUMMYFUNCTION("GOOGLEFINANCE(""NSE:"" &amp;A28, ""high52"")"),257.8)</f>
        <v>257.8</v>
      </c>
      <c r="H28" s="4">
        <f>IFERROR(__xludf.DUMMYFUNCTION("GOOGLEFINANCE(""NSE:"" &amp;A28, ""low52"")"),112.0)</f>
        <v>112</v>
      </c>
      <c r="I28" s="4">
        <f>IFERROR(__xludf.DUMMYFUNCTION("GOOGLEFINANCE(""NSE:"" &amp;A28, ""volume"")"),4754849.0)</f>
        <v>4754849</v>
      </c>
      <c r="J28" s="5">
        <f t="shared" si="1"/>
        <v>1.17920541</v>
      </c>
    </row>
    <row r="29">
      <c r="A29" s="2" t="s">
        <v>37</v>
      </c>
      <c r="B29" s="3">
        <f>IFERROR(__xludf.DUMMYFUNCTION("GOOGLEFINANCE(""NSE:"" &amp;A29, ""price"")"),16.15)</f>
        <v>16.15</v>
      </c>
      <c r="C29" s="4">
        <f>IFERROR(__xludf.DUMMYFUNCTION("GOOGLEFINANCE(""NSE:"" &amp;A29, ""priceopen"")"),16.75)</f>
        <v>16.75</v>
      </c>
      <c r="D29" s="4">
        <f>IFERROR(__xludf.DUMMYFUNCTION("GOOGLEFINANCE(""NSE:"" &amp;A29, ""high"")"),16.75)</f>
        <v>16.75</v>
      </c>
      <c r="E29" s="4">
        <f>IFERROR(__xludf.DUMMYFUNCTION("GOOGLEFINANCE(""NSE:"" &amp;A29, ""low"")"),16.0)</f>
        <v>16</v>
      </c>
      <c r="F29" s="4">
        <f>IFERROR(__xludf.DUMMYFUNCTION("GOOGLEFINANCE(""NSE:"" &amp;A29, ""closeyest"")"),16.75)</f>
        <v>16.75</v>
      </c>
      <c r="G29" s="4">
        <f>IFERROR(__xludf.DUMMYFUNCTION("GOOGLEFINANCE(""NSE:"" &amp;A29, ""high52"")"),18.2)</f>
        <v>18.2</v>
      </c>
      <c r="H29" s="4">
        <f>IFERROR(__xludf.DUMMYFUNCTION("GOOGLEFINANCE(""NSE:"" &amp;A29, ""low52"")"),12.1)</f>
        <v>12.1</v>
      </c>
      <c r="I29" s="4">
        <f>IFERROR(__xludf.DUMMYFUNCTION("GOOGLEFINANCE(""NSE:"" &amp;A29, ""volume"")"),1.04057075E8)</f>
        <v>104057075</v>
      </c>
      <c r="J29" s="5">
        <f t="shared" si="1"/>
        <v>0.1269349845</v>
      </c>
    </row>
    <row r="30">
      <c r="A30" s="2" t="s">
        <v>38</v>
      </c>
      <c r="B30" s="3">
        <f>IFERROR(__xludf.DUMMYFUNCTION("GOOGLEFINANCE(""NSE:"" &amp;A30, ""price"")"),21.3)</f>
        <v>21.3</v>
      </c>
      <c r="C30" s="4">
        <f>IFERROR(__xludf.DUMMYFUNCTION("GOOGLEFINANCE(""NSE:"" &amp;A30, ""priceopen"")"),21.5)</f>
        <v>21.5</v>
      </c>
      <c r="D30" s="4">
        <f>IFERROR(__xludf.DUMMYFUNCTION("GOOGLEFINANCE(""NSE:"" &amp;A30, ""high"")"),21.5)</f>
        <v>21.5</v>
      </c>
      <c r="E30" s="4">
        <f>IFERROR(__xludf.DUMMYFUNCTION("GOOGLEFINANCE(""NSE:"" &amp;A30, ""low"")"),21.25)</f>
        <v>21.25</v>
      </c>
      <c r="F30" s="4">
        <f>IFERROR(__xludf.DUMMYFUNCTION("GOOGLEFINANCE(""NSE:"" &amp;A30, ""closeyest"")"),21.45)</f>
        <v>21.45</v>
      </c>
      <c r="G30" s="4">
        <f>IFERROR(__xludf.DUMMYFUNCTION("GOOGLEFINANCE(""NSE:"" &amp;A30, ""high52"")"),26.4)</f>
        <v>26.4</v>
      </c>
      <c r="H30" s="4">
        <f>IFERROR(__xludf.DUMMYFUNCTION("GOOGLEFINANCE(""NSE:"" &amp;A30, ""low52"")"),19.3)</f>
        <v>19.3</v>
      </c>
      <c r="I30" s="4">
        <f>IFERROR(__xludf.DUMMYFUNCTION("GOOGLEFINANCE(""NSE:"" &amp;A30, ""volume"")"),3349284.0)</f>
        <v>3349284</v>
      </c>
      <c r="J30" s="5">
        <f t="shared" si="1"/>
        <v>0.2394366197</v>
      </c>
    </row>
    <row r="31">
      <c r="A31" s="2" t="s">
        <v>39</v>
      </c>
      <c r="B31" s="3">
        <f>IFERROR(__xludf.DUMMYFUNCTION("GOOGLEFINANCE(""NSE:"" &amp;A31, ""price"")"),916.5)</f>
        <v>916.5</v>
      </c>
      <c r="C31" s="4">
        <f>IFERROR(__xludf.DUMMYFUNCTION("GOOGLEFINANCE(""NSE:"" &amp;A31, ""priceopen"")"),949.2)</f>
        <v>949.2</v>
      </c>
      <c r="D31" s="4">
        <f>IFERROR(__xludf.DUMMYFUNCTION("GOOGLEFINANCE(""NSE:"" &amp;A31, ""high"")"),949.2)</f>
        <v>949.2</v>
      </c>
      <c r="E31" s="4">
        <f>IFERROR(__xludf.DUMMYFUNCTION("GOOGLEFINANCE(""NSE:"" &amp;A31, ""low"")"),912.5)</f>
        <v>912.5</v>
      </c>
      <c r="F31" s="4">
        <f>IFERROR(__xludf.DUMMYFUNCTION("GOOGLEFINANCE(""NSE:"" &amp;A31, ""closeyest"")"),944.45)</f>
        <v>944.45</v>
      </c>
      <c r="G31" s="4">
        <f>IFERROR(__xludf.DUMMYFUNCTION("GOOGLEFINANCE(""NSE:"" &amp;A31, ""high52"")"),1160.1)</f>
        <v>1160.1</v>
      </c>
      <c r="H31" s="4">
        <f>IFERROR(__xludf.DUMMYFUNCTION("GOOGLEFINANCE(""NSE:"" &amp;A31, ""low52"")"),655.7)</f>
        <v>655.7</v>
      </c>
      <c r="I31" s="4">
        <f>IFERROR(__xludf.DUMMYFUNCTION("GOOGLEFINANCE(""NSE:"" &amp;A31, ""volume"")"),893539.0)</f>
        <v>893539</v>
      </c>
      <c r="J31" s="5">
        <f t="shared" si="1"/>
        <v>0.2657937807</v>
      </c>
    </row>
    <row r="32">
      <c r="A32" s="2" t="s">
        <v>40</v>
      </c>
      <c r="B32" s="3">
        <f>IFERROR(__xludf.DUMMYFUNCTION("GOOGLEFINANCE(""NSE:"" &amp;A32, ""price"")"),35.15)</f>
        <v>35.15</v>
      </c>
      <c r="C32" s="4">
        <f>IFERROR(__xludf.DUMMYFUNCTION("GOOGLEFINANCE(""NSE:"" &amp;A32, ""priceopen"")"),36.25)</f>
        <v>36.25</v>
      </c>
      <c r="D32" s="4">
        <f>IFERROR(__xludf.DUMMYFUNCTION("GOOGLEFINANCE(""NSE:"" &amp;A32, ""high"")"),36.7)</f>
        <v>36.7</v>
      </c>
      <c r="E32" s="4">
        <f>IFERROR(__xludf.DUMMYFUNCTION("GOOGLEFINANCE(""NSE:"" &amp;A32, ""low"")"),34.95)</f>
        <v>34.95</v>
      </c>
      <c r="F32" s="4">
        <f>IFERROR(__xludf.DUMMYFUNCTION("GOOGLEFINANCE(""NSE:"" &amp;A32, ""closeyest"")"),36.05)</f>
        <v>36.05</v>
      </c>
      <c r="G32" s="4">
        <f>IFERROR(__xludf.DUMMYFUNCTION("GOOGLEFINANCE(""NSE:"" &amp;A32, ""high52"")"),44.8)</f>
        <v>44.8</v>
      </c>
      <c r="H32" s="4">
        <f>IFERROR(__xludf.DUMMYFUNCTION("GOOGLEFINANCE(""NSE:"" &amp;A32, ""low52"")"),29.0)</f>
        <v>29</v>
      </c>
      <c r="I32" s="4">
        <f>IFERROR(__xludf.DUMMYFUNCTION("GOOGLEFINANCE(""NSE:"" &amp;A32, ""volume"")"),5371546.0)</f>
        <v>5371546</v>
      </c>
      <c r="J32" s="5">
        <f t="shared" si="1"/>
        <v>0.2745376956</v>
      </c>
    </row>
    <row r="33">
      <c r="D33" s="6" t="s">
        <v>41</v>
      </c>
      <c r="E33" s="7"/>
      <c r="F33" s="8"/>
    </row>
    <row r="34">
      <c r="D34" s="9" t="s">
        <v>42</v>
      </c>
      <c r="E34" s="10"/>
      <c r="F34" s="11"/>
    </row>
    <row r="35">
      <c r="D35" s="12" t="s">
        <v>43</v>
      </c>
      <c r="E35" s="10"/>
      <c r="F35" s="8"/>
    </row>
  </sheetData>
  <mergeCells count="3">
    <mergeCell ref="D33:E33"/>
    <mergeCell ref="D34:F34"/>
    <mergeCell ref="D35:E35"/>
  </mergeCells>
  <conditionalFormatting sqref="B4:H4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3:H3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5:H5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6:H6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7:H7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8:H8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9:H9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11:H11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10:H1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12:H12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14:H14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13:H13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15:H15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16:H16">
    <cfRule type="colorScale" priority="1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17:H17">
    <cfRule type="colorScale" priority="1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18:H18">
    <cfRule type="colorScale" priority="1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19:H19">
    <cfRule type="colorScale" priority="1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2:I32">
    <cfRule type="colorScale" priority="18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21:H21">
    <cfRule type="colorScale" priority="1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20:H20">
    <cfRule type="colorScale" priority="2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28:H28">
    <cfRule type="colorScale" priority="2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22:H22">
    <cfRule type="colorScale" priority="2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23:H23">
    <cfRule type="colorScale" priority="2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24:H24">
    <cfRule type="colorScale" priority="2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25:H25">
    <cfRule type="colorScale" priority="2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26:H26">
    <cfRule type="colorScale" priority="2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27:H27">
    <cfRule type="colorScale" priority="2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29:H29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2:J32">
    <cfRule type="colorScale" priority="29">
      <colorScale>
        <cfvo type="min"/>
        <cfvo type="max"/>
        <color rgb="FFFFFFFF"/>
        <color rgb="FF57BB8A"/>
      </colorScale>
    </cfRule>
  </conditionalFormatting>
  <conditionalFormatting sqref="B2:H2">
    <cfRule type="notContainsBlanks" dxfId="0" priority="30">
      <formula>LEN(TRIM(B2))&gt;0</formula>
    </cfRule>
  </conditionalFormatting>
  <conditionalFormatting sqref="B30:H3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31:H31">
    <cfRule type="colorScale" priority="3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32:H32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2"/>
  <legacyDrawing r:id="rId3"/>
</worksheet>
</file>