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 activeTab="1"/>
  </bookViews>
  <sheets>
    <sheet name="&lt;Front_end&gt;_Syllabus" sheetId="1" r:id="rId1"/>
    <sheet name="&lt;Front_end&gt;_Schedule" sheetId="2" r:id="rId2"/>
    <sheet name="&lt;Front_end&gt;_Reactjs_Schedule" sheetId="3" state="hidden" r:id="rId3"/>
    <sheet name="Author and Rec of Changes" sheetId="4" r:id="rId4"/>
    <sheet name="DV-IDENTITY-0" sheetId="5" state="hidden" r:id="rId5"/>
    <sheet name="Sheet2" sheetId="6" r:id="rId6"/>
  </sheets>
  <definedNames>
    <definedName name="_xlnm._FilterDatabase" localSheetId="2">'&lt;Front_end&gt;_Reactjs_Schedule'!$A$2:$J$23</definedName>
    <definedName name="_xlnm._FilterDatabase" localSheetId="1">'&lt;Front_end&gt;_Schedule'!$A$2:$J$48</definedName>
  </definedNames>
  <calcPr calcId="145621" iterateDelta="1E-4"/>
</workbook>
</file>

<file path=xl/calcChain.xml><?xml version="1.0" encoding="utf-8"?>
<calcChain xmlns="http://schemas.openxmlformats.org/spreadsheetml/2006/main">
  <c r="H50" i="2" l="1"/>
  <c r="H51" i="2"/>
  <c r="H52" i="2"/>
  <c r="H53" i="2"/>
  <c r="H49" i="2"/>
  <c r="Q5" i="5" l="1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AM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IV3" i="5"/>
  <c r="IU3" i="5"/>
  <c r="IT3" i="5"/>
  <c r="IS3" i="5"/>
  <c r="IR3" i="5"/>
  <c r="IQ3" i="5"/>
  <c r="IP3" i="5"/>
  <c r="IO3" i="5"/>
  <c r="IN3" i="5"/>
  <c r="IM3" i="5"/>
  <c r="IL3" i="5"/>
  <c r="IK3" i="5"/>
  <c r="IJ3" i="5"/>
  <c r="II3" i="5"/>
  <c r="IH3" i="5"/>
  <c r="IG3" i="5"/>
  <c r="IF3" i="5"/>
  <c r="IE3" i="5"/>
  <c r="ID3" i="5"/>
  <c r="IC3" i="5"/>
  <c r="IB3" i="5"/>
  <c r="IA3" i="5"/>
  <c r="HZ3" i="5"/>
  <c r="HY3" i="5"/>
  <c r="HX3" i="5"/>
  <c r="HW3" i="5"/>
  <c r="HV3" i="5"/>
  <c r="HU3" i="5"/>
  <c r="HT3" i="5"/>
  <c r="HS3" i="5"/>
  <c r="HR3" i="5"/>
  <c r="HQ3" i="5"/>
  <c r="HP3" i="5"/>
  <c r="HO3" i="5"/>
  <c r="HN3" i="5"/>
  <c r="HM3" i="5"/>
  <c r="HL3" i="5"/>
  <c r="HK3" i="5"/>
  <c r="HJ3" i="5"/>
  <c r="HI3" i="5"/>
  <c r="HH3" i="5"/>
  <c r="HG3" i="5"/>
  <c r="HF3" i="5"/>
  <c r="HE3" i="5"/>
  <c r="HD3" i="5"/>
  <c r="HC3" i="5"/>
  <c r="HB3" i="5"/>
  <c r="HA3" i="5"/>
  <c r="GZ3" i="5"/>
  <c r="GY3" i="5"/>
  <c r="GX3" i="5"/>
  <c r="GW3" i="5"/>
  <c r="GV3" i="5"/>
  <c r="GU3" i="5"/>
  <c r="GT3" i="5"/>
  <c r="GS3" i="5"/>
  <c r="GR3" i="5"/>
  <c r="GQ3" i="5"/>
  <c r="GP3" i="5"/>
  <c r="GO3" i="5"/>
  <c r="GN3" i="5"/>
  <c r="GM3" i="5"/>
  <c r="GL3" i="5"/>
  <c r="GK3" i="5"/>
  <c r="GJ3" i="5"/>
  <c r="GI3" i="5"/>
  <c r="GH3" i="5"/>
  <c r="GG3" i="5"/>
  <c r="GF3" i="5"/>
  <c r="GE3" i="5"/>
  <c r="GD3" i="5"/>
  <c r="GC3" i="5"/>
  <c r="GB3" i="5"/>
  <c r="GA3" i="5"/>
  <c r="FZ3" i="5"/>
  <c r="FY3" i="5"/>
  <c r="FX3" i="5"/>
  <c r="FW3" i="5"/>
  <c r="FV3" i="5"/>
  <c r="FU3" i="5"/>
  <c r="FT3" i="5"/>
  <c r="FS3" i="5"/>
  <c r="FR3" i="5"/>
  <c r="FQ3" i="5"/>
  <c r="FP3" i="5"/>
  <c r="FO3" i="5"/>
  <c r="FN3" i="5"/>
  <c r="FM3" i="5"/>
  <c r="FL3" i="5"/>
  <c r="FK3" i="5"/>
  <c r="FJ3" i="5"/>
  <c r="FI3" i="5"/>
  <c r="FH3" i="5"/>
  <c r="FG3" i="5"/>
  <c r="FF3" i="5"/>
  <c r="FE3" i="5"/>
  <c r="FD3" i="5"/>
  <c r="FC3" i="5"/>
  <c r="FB3" i="5"/>
  <c r="FA3" i="5"/>
  <c r="EZ3" i="5"/>
  <c r="EY3" i="5"/>
  <c r="EX3" i="5"/>
  <c r="EW3" i="5"/>
  <c r="EV3" i="5"/>
  <c r="EU3" i="5"/>
  <c r="ET3" i="5"/>
  <c r="ES3" i="5"/>
  <c r="ER3" i="5"/>
  <c r="EQ3" i="5"/>
  <c r="EP3" i="5"/>
  <c r="EO3" i="5"/>
  <c r="EN3" i="5"/>
  <c r="EM3" i="5"/>
  <c r="EL3" i="5"/>
  <c r="EK3" i="5"/>
  <c r="EJ3" i="5"/>
  <c r="EI3" i="5"/>
  <c r="EH3" i="5"/>
  <c r="EG3" i="5"/>
  <c r="EF3" i="5"/>
  <c r="EE3" i="5"/>
  <c r="ED3" i="5"/>
  <c r="EC3" i="5"/>
  <c r="EB3" i="5"/>
  <c r="EA3" i="5"/>
  <c r="DZ3" i="5"/>
  <c r="DY3" i="5"/>
  <c r="DX3" i="5"/>
  <c r="DW3" i="5"/>
  <c r="DV3" i="5"/>
  <c r="DU3" i="5"/>
  <c r="DT3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IV2" i="5"/>
  <c r="IU2" i="5"/>
  <c r="IT2" i="5"/>
  <c r="IS2" i="5"/>
  <c r="IR2" i="5"/>
  <c r="IQ2" i="5"/>
  <c r="IP2" i="5"/>
  <c r="IO2" i="5"/>
  <c r="IN2" i="5"/>
  <c r="IM2" i="5"/>
  <c r="IL2" i="5"/>
  <c r="IK2" i="5"/>
  <c r="IJ2" i="5"/>
  <c r="II2" i="5"/>
  <c r="IH2" i="5"/>
  <c r="IG2" i="5"/>
  <c r="IF2" i="5"/>
  <c r="IE2" i="5"/>
  <c r="ID2" i="5"/>
  <c r="IC2" i="5"/>
  <c r="IB2" i="5"/>
  <c r="IA2" i="5"/>
  <c r="HZ2" i="5"/>
  <c r="HY2" i="5"/>
  <c r="HX2" i="5"/>
  <c r="HW2" i="5"/>
  <c r="HV2" i="5"/>
  <c r="HU2" i="5"/>
  <c r="HT2" i="5"/>
  <c r="HS2" i="5"/>
  <c r="HR2" i="5"/>
  <c r="HQ2" i="5"/>
  <c r="HP2" i="5"/>
  <c r="HO2" i="5"/>
  <c r="HN2" i="5"/>
  <c r="HM2" i="5"/>
  <c r="HL2" i="5"/>
  <c r="HK2" i="5"/>
  <c r="HJ2" i="5"/>
  <c r="HI2" i="5"/>
  <c r="HH2" i="5"/>
  <c r="HG2" i="5"/>
  <c r="HF2" i="5"/>
  <c r="HE2" i="5"/>
  <c r="HD2" i="5"/>
  <c r="HC2" i="5"/>
  <c r="HB2" i="5"/>
  <c r="HA2" i="5"/>
  <c r="GZ2" i="5"/>
  <c r="GY2" i="5"/>
  <c r="GX2" i="5"/>
  <c r="GW2" i="5"/>
  <c r="GV2" i="5"/>
  <c r="GU2" i="5"/>
  <c r="GT2" i="5"/>
  <c r="GS2" i="5"/>
  <c r="GR2" i="5"/>
  <c r="GQ2" i="5"/>
  <c r="GP2" i="5"/>
  <c r="GO2" i="5"/>
  <c r="GN2" i="5"/>
  <c r="GM2" i="5"/>
  <c r="GL2" i="5"/>
  <c r="GK2" i="5"/>
  <c r="GJ2" i="5"/>
  <c r="GI2" i="5"/>
  <c r="GH2" i="5"/>
  <c r="GG2" i="5"/>
  <c r="GF2" i="5"/>
  <c r="GE2" i="5"/>
  <c r="GD2" i="5"/>
  <c r="GC2" i="5"/>
  <c r="GB2" i="5"/>
  <c r="GA2" i="5"/>
  <c r="FZ2" i="5"/>
  <c r="FY2" i="5"/>
  <c r="FX2" i="5"/>
  <c r="FW2" i="5"/>
  <c r="FV2" i="5"/>
  <c r="FU2" i="5"/>
  <c r="FT2" i="5"/>
  <c r="FS2" i="5"/>
  <c r="FR2" i="5"/>
  <c r="FQ2" i="5"/>
  <c r="FP2" i="5"/>
  <c r="FO2" i="5"/>
  <c r="FN2" i="5"/>
  <c r="FM2" i="5"/>
  <c r="FL2" i="5"/>
  <c r="FK2" i="5"/>
  <c r="FJ2" i="5"/>
  <c r="FI2" i="5"/>
  <c r="FH2" i="5"/>
  <c r="FG2" i="5"/>
  <c r="FF2" i="5"/>
  <c r="FE2" i="5"/>
  <c r="FD2" i="5"/>
  <c r="FC2" i="5"/>
  <c r="FB2" i="5"/>
  <c r="FA2" i="5"/>
  <c r="EZ2" i="5"/>
  <c r="EY2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IV1" i="5"/>
  <c r="IU1" i="5"/>
  <c r="IT1" i="5"/>
  <c r="IS1" i="5"/>
  <c r="IR1" i="5"/>
  <c r="IQ1" i="5"/>
  <c r="IP1" i="5"/>
  <c r="IO1" i="5"/>
  <c r="IN1" i="5"/>
  <c r="IM1" i="5"/>
  <c r="IL1" i="5"/>
  <c r="IK1" i="5"/>
  <c r="IJ1" i="5"/>
  <c r="II1" i="5"/>
  <c r="IH1" i="5"/>
  <c r="IG1" i="5"/>
  <c r="IF1" i="5"/>
  <c r="IE1" i="5"/>
  <c r="ID1" i="5"/>
  <c r="IC1" i="5"/>
  <c r="IB1" i="5"/>
  <c r="IA1" i="5"/>
  <c r="HZ1" i="5"/>
  <c r="HY1" i="5"/>
  <c r="HX1" i="5"/>
  <c r="HW1" i="5"/>
  <c r="HV1" i="5"/>
  <c r="HU1" i="5"/>
  <c r="HT1" i="5"/>
  <c r="HS1" i="5"/>
  <c r="HR1" i="5"/>
  <c r="HQ1" i="5"/>
  <c r="HP1" i="5"/>
  <c r="HO1" i="5"/>
  <c r="HN1" i="5"/>
  <c r="HM1" i="5"/>
  <c r="HL1" i="5"/>
  <c r="HK1" i="5"/>
  <c r="HJ1" i="5"/>
  <c r="HI1" i="5"/>
  <c r="HH1" i="5"/>
  <c r="HG1" i="5"/>
  <c r="HF1" i="5"/>
  <c r="HE1" i="5"/>
  <c r="HD1" i="5"/>
  <c r="HC1" i="5"/>
  <c r="HB1" i="5"/>
  <c r="HA1" i="5"/>
  <c r="GZ1" i="5"/>
  <c r="GY1" i="5"/>
  <c r="GX1" i="5"/>
  <c r="GW1" i="5"/>
  <c r="GV1" i="5"/>
  <c r="GU1" i="5"/>
  <c r="GT1" i="5"/>
  <c r="GS1" i="5"/>
  <c r="GR1" i="5"/>
  <c r="GQ1" i="5"/>
  <c r="GP1" i="5"/>
  <c r="GO1" i="5"/>
  <c r="GN1" i="5"/>
  <c r="GM1" i="5"/>
  <c r="GL1" i="5"/>
  <c r="GK1" i="5"/>
  <c r="GJ1" i="5"/>
  <c r="GI1" i="5"/>
  <c r="GH1" i="5"/>
  <c r="GG1" i="5"/>
  <c r="GF1" i="5"/>
  <c r="GE1" i="5"/>
  <c r="GD1" i="5"/>
  <c r="GC1" i="5"/>
  <c r="GB1" i="5"/>
  <c r="GA1" i="5"/>
  <c r="FZ1" i="5"/>
  <c r="FY1" i="5"/>
  <c r="FX1" i="5"/>
  <c r="FW1" i="5"/>
  <c r="FV1" i="5"/>
  <c r="FU1" i="5"/>
  <c r="FT1" i="5"/>
  <c r="FS1" i="5"/>
  <c r="FR1" i="5"/>
  <c r="FQ1" i="5"/>
  <c r="FP1" i="5"/>
  <c r="FO1" i="5"/>
  <c r="FN1" i="5"/>
  <c r="FM1" i="5"/>
  <c r="FL1" i="5"/>
  <c r="FK1" i="5"/>
  <c r="FJ1" i="5"/>
  <c r="FI1" i="5"/>
  <c r="FH1" i="5"/>
  <c r="FG1" i="5"/>
  <c r="FF1" i="5"/>
  <c r="FE1" i="5"/>
  <c r="FD1" i="5"/>
  <c r="FC1" i="5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H29" i="3"/>
  <c r="H28" i="3"/>
  <c r="H27" i="3"/>
  <c r="H26" i="3"/>
  <c r="H25" i="3"/>
  <c r="H30" i="3" s="1"/>
  <c r="J21" i="3"/>
  <c r="J19" i="3"/>
  <c r="J17" i="3"/>
  <c r="J15" i="3"/>
  <c r="J11" i="3"/>
  <c r="J9" i="3"/>
  <c r="J7" i="3"/>
  <c r="J3" i="3"/>
  <c r="H54" i="2"/>
  <c r="J44" i="2"/>
  <c r="J42" i="2"/>
  <c r="J40" i="2"/>
  <c r="J23" i="2"/>
  <c r="J21" i="2"/>
  <c r="J19" i="2"/>
  <c r="J17" i="2"/>
  <c r="J15" i="2"/>
  <c r="J11" i="2"/>
  <c r="J9" i="2"/>
  <c r="J7" i="2"/>
  <c r="J3" i="2"/>
  <c r="A1" i="2"/>
  <c r="J50" i="2" l="1"/>
  <c r="J53" i="2"/>
  <c r="J51" i="2"/>
  <c r="J49" i="2"/>
  <c r="J52" i="2"/>
  <c r="J28" i="3"/>
  <c r="J26" i="3"/>
  <c r="J29" i="3"/>
  <c r="J27" i="3"/>
  <c r="J25" i="3"/>
  <c r="J54" i="2" l="1"/>
  <c r="J30" i="3"/>
</calcChain>
</file>

<file path=xl/comments1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color rgb="FF000000"/>
            <rFont val="Arial"/>
            <family val="2"/>
            <charset val="1"/>
          </rPr>
          <t xml:space="preserve">chỉ dành cho khóa offline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color rgb="FF000000"/>
            <rFont val="Arial"/>
            <family val="2"/>
            <charset val="1"/>
          </rPr>
          <t xml:space="preserve">chỉ dành cho khóa offline
</t>
        </r>
      </text>
    </comment>
  </commentList>
</comments>
</file>

<file path=xl/sharedStrings.xml><?xml version="1.0" encoding="utf-8"?>
<sst xmlns="http://schemas.openxmlformats.org/spreadsheetml/2006/main" count="513" uniqueCount="260">
  <si>
    <t>FullStack Javascript - Syllabus</t>
  </si>
  <si>
    <t>&lt;The purpose of Syllabus is to design a Topic or Module, identify objectives, make schedule, assessment method, etc.</t>
  </si>
  <si>
    <t>Based on that, Content Owner can make courseware and develop storyboarding&gt;</t>
  </si>
  <si>
    <t>Topic Name</t>
  </si>
  <si>
    <t>NodeJS</t>
  </si>
  <si>
    <t>Topic Code</t>
  </si>
  <si>
    <t>Version</t>
  </si>
  <si>
    <t>v1.0</t>
  </si>
  <si>
    <t>Training Audience</t>
  </si>
  <si>
    <t>CME - fresher, new dev</t>
  </si>
  <si>
    <t>Course Objectives</t>
  </si>
  <si>
    <r>
      <rPr>
        <sz val="10"/>
        <rFont val="Aarial"/>
        <charset val="1"/>
      </rPr>
      <t xml:space="preserve">
</t>
    </r>
    <r>
      <rPr>
        <b/>
        <i/>
        <sz val="10"/>
        <rFont val="Aarial"/>
        <charset val="1"/>
      </rPr>
      <t>The topic cover following output standards</t>
    </r>
  </si>
  <si>
    <t>Name</t>
  </si>
  <si>
    <t>Code</t>
  </si>
  <si>
    <t>Description</t>
  </si>
  <si>
    <r>
      <rPr>
        <b/>
        <i/>
        <sz val="10"/>
        <rFont val="Arial"/>
        <family val="2"/>
        <charset val="1"/>
      </rPr>
      <t xml:space="preserve">In details, after completing the course, trainees will:
</t>
    </r>
    <r>
      <rPr>
        <sz val="10"/>
        <color rgb="FF000000"/>
        <rFont val="Arial"/>
        <family val="2"/>
        <charset val="1"/>
      </rPr>
      <t>- have solid knowledge about Javascript
- know how to apply ES6 to their Javascript code
- understand Node.js core concepts and features
- know how to create an Node.js application competently
- know how to program a web application with Express.js
- get good understanding of programming with React.js and Redux
- know how to test an application with Jest</t>
    </r>
  </si>
  <si>
    <t>Topic Outline</t>
  </si>
  <si>
    <t xml:space="preserve">- Overview about basic Javascript
- ECMAScript 6
- Getting started with Node.js
- Express.js framework
- React.js and Redux
- Testing with Jest
</t>
  </si>
  <si>
    <t>Time Allocation</t>
  </si>
  <si>
    <t>Concept/Lecture</t>
  </si>
  <si>
    <t>Concepts, theory</t>
  </si>
  <si>
    <t>3 days</t>
  </si>
  <si>
    <t>Assignment/Lab</t>
  </si>
  <si>
    <t>Practice  at home</t>
  </si>
  <si>
    <t>Guides/Review</t>
  </si>
  <si>
    <t>Guide to do assignment</t>
  </si>
  <si>
    <t>Exam</t>
  </si>
  <si>
    <t>Final test</t>
  </si>
  <si>
    <t>Training Materials &amp; Environments</t>
  </si>
  <si>
    <t>Text book</t>
  </si>
  <si>
    <t>Javascript, NodeJS, React (powerpoint file)</t>
  </si>
  <si>
    <t>References</t>
  </si>
  <si>
    <t>N/A</t>
  </si>
  <si>
    <t>Technical requirements</t>
  </si>
  <si>
    <t xml:space="preserve">Set up tool for final test at lab room: nodejs environment, atom/visualcode (IDE)
</t>
  </si>
  <si>
    <t>Assessment Scheme</t>
  </si>
  <si>
    <t>Quiz</t>
  </si>
  <si>
    <t>Assignments</t>
  </si>
  <si>
    <t>Final Test</t>
  </si>
  <si>
    <t>2 final tests:
- Node.js final test
- React.js final test</t>
  </si>
  <si>
    <t>Passing criteria</t>
  </si>
  <si>
    <t>Attendant=100%
30%Assignment+70%Final=7/10</t>
  </si>
  <si>
    <t>Training Delivery Principles</t>
  </si>
  <si>
    <t>Trainees</t>
  </si>
  <si>
    <t>Max 30 learners/class</t>
  </si>
  <si>
    <t>Trainer</t>
  </si>
  <si>
    <t>Training</t>
  </si>
  <si>
    <t>Lecture; practice; Final test</t>
  </si>
  <si>
    <t>Re-Test</t>
  </si>
  <si>
    <t>Re-take the final test</t>
  </si>
  <si>
    <t>Marking</t>
  </si>
  <si>
    <t>30%Assignment+70%Final=7/10, set as PASS
30%Assignment+70%Fina&lt;7/10, set as FAIL</t>
  </si>
  <si>
    <t>Waiver Criteria</t>
  </si>
  <si>
    <t>Others</t>
  </si>
  <si>
    <t>Phone off
No other working during class hours</t>
  </si>
  <si>
    <t>Training Unit/Chapter</t>
  </si>
  <si>
    <t>Day</t>
  </si>
  <si>
    <t>Lecture</t>
  </si>
  <si>
    <t>Content</t>
  </si>
  <si>
    <t>Learning Objectives</t>
  </si>
  <si>
    <t>Delivery Type</t>
  </si>
  <si>
    <t>Duration (mins)</t>
  </si>
  <si>
    <t>Training Format</t>
  </si>
  <si>
    <t>Training Materials / Logistics &amp; General Notes
(Required, For Reference, etc.)</t>
  </si>
  <si>
    <t>Unit 1</t>
  </si>
  <si>
    <t>Day 1</t>
  </si>
  <si>
    <t>Lec1</t>
  </si>
  <si>
    <t xml:space="preserve">
Overview about basic Javascript. </t>
  </si>
  <si>
    <t>- Have a basic understanding of Javascript
- Know how to write and run Javascript code</t>
  </si>
  <si>
    <t>Offline</t>
  </si>
  <si>
    <t>Exercises</t>
  </si>
  <si>
    <t>10 exercises about Javascript</t>
  </si>
  <si>
    <t>- Help attendants have a chance to practice programming with Javascript</t>
  </si>
  <si>
    <t>Unit 2</t>
  </si>
  <si>
    <t>Day 2</t>
  </si>
  <si>
    <t>Lec2</t>
  </si>
  <si>
    <t>Overview ES6 and ES6 features</t>
  </si>
  <si>
    <t xml:space="preserve">Why do we need ES 6
1. arrows
2. classes
3. enhanced object literals
4. template strings
5. destructuring
</t>
  </si>
  <si>
    <t>https://github.com/lukehoban/es6features</t>
  </si>
  <si>
    <t>Exercises about arrow functions, classes, enhanced object literals and destructuring</t>
  </si>
  <si>
    <t>- Help attendants practice and have a deeper understand about these ES6 features</t>
  </si>
  <si>
    <t>Unit 3</t>
  </si>
  <si>
    <t>Day 3</t>
  </si>
  <si>
    <t>Lec3</t>
  </si>
  <si>
    <t>ES6 feature - Session 2</t>
  </si>
  <si>
    <t>1. default + rest + spread
2. let + const
3. iterators + for..of
4. generators</t>
  </si>
  <si>
    <t>Exercises about all 4 features in this session</t>
  </si>
  <si>
    <t>Unit 4</t>
  </si>
  <si>
    <t>Day 4</t>
  </si>
  <si>
    <t>Lec4</t>
  </si>
  <si>
    <t>ES6 feature - Session 3</t>
  </si>
  <si>
    <r>
      <rPr>
        <sz val="10"/>
        <rFont val="Arial"/>
        <family val="2"/>
        <charset val="1"/>
      </rPr>
      <t xml:space="preserve">1. modules </t>
    </r>
    <r>
      <rPr>
        <b/>
        <sz val="10"/>
        <rFont val="Arial"/>
        <family val="2"/>
        <charset val="1"/>
      </rPr>
      <t xml:space="preserve">(NodeJS)
</t>
    </r>
    <r>
      <rPr>
        <sz val="10"/>
        <color rgb="FF000000"/>
        <rFont val="Arial"/>
        <family val="2"/>
        <charset val="1"/>
      </rPr>
      <t xml:space="preserve">2. map + set + weakmap + weakset
3. promises
4. math + number + string + array + object APIs
</t>
    </r>
  </si>
  <si>
    <t xml:space="preserve">- Two referenced articles about Map, Set, WeakMap, Weakset and Promises
- 5 exercises for Math, Number, String, Array and Object APIs
</t>
  </si>
  <si>
    <t>- Have a deeper understanding of ES6 new collections and Promises
- Have a chance to practice with ES6 new libraries</t>
  </si>
  <si>
    <t>Unit 5</t>
  </si>
  <si>
    <t>Day 5</t>
  </si>
  <si>
    <t>Lec5</t>
  </si>
  <si>
    <t>ES6 feature - Session 4</t>
  </si>
  <si>
    <t>Summarize all features of ES6</t>
  </si>
  <si>
    <t>Self review all ES6 topics</t>
  </si>
  <si>
    <t>Unit 6</t>
  </si>
  <si>
    <t>Day 6</t>
  </si>
  <si>
    <t>Lec6</t>
  </si>
  <si>
    <t>Introduction to Node.js</t>
  </si>
  <si>
    <t>- Have a basic understanding of NodeJS.
- Understand event loop &amp; callback concepts in NodeJS.
- Know how to create your first application in NodeJS</t>
  </si>
  <si>
    <t>15 Multiple choice questions</t>
  </si>
  <si>
    <t>Review and consolidate basic Node.js theories</t>
  </si>
  <si>
    <t>Test/Quiz</t>
  </si>
  <si>
    <t>Unit 7</t>
  </si>
  <si>
    <t>Day 7</t>
  </si>
  <si>
    <t>Lec7</t>
  </si>
  <si>
    <t>NPM and NodeJS Modules</t>
  </si>
  <si>
    <t>- Know how to create your own modules in NodeJS
- Know how to install and use others modules via NPM.</t>
  </si>
  <si>
    <t>Review and consolidate knowledge about NPM and Modules in Node.js</t>
  </si>
  <si>
    <t>Unit 8</t>
  </si>
  <si>
    <t>Day 8</t>
  </si>
  <si>
    <t>Lec8</t>
  </si>
  <si>
    <t>REST &amp; File System module</t>
  </si>
  <si>
    <t>- Have a basic understanding of REST architecture.
- Know how to use File System module to manipulate with files.</t>
  </si>
  <si>
    <t>Review and consolidate knowledge about REST and File System module</t>
  </si>
  <si>
    <t>Unit 9</t>
  </si>
  <si>
    <t>Day 9</t>
  </si>
  <si>
    <t>Lec9</t>
  </si>
  <si>
    <t>NodeJS summary</t>
  </si>
  <si>
    <t>Summarize all NodeJS concepts and features</t>
  </si>
  <si>
    <t>5 exercises to practice with Node.js</t>
  </si>
  <si>
    <t>Review and practice with Node.js</t>
  </si>
  <si>
    <t>Unit 10</t>
  </si>
  <si>
    <t>Day 10</t>
  </si>
  <si>
    <t>Lec10</t>
  </si>
  <si>
    <t>Introduction to Express part 1</t>
  </si>
  <si>
    <t>Brief Representational State Transfer (REST)
Express Router</t>
  </si>
  <si>
    <t>Homework</t>
  </si>
  <si>
    <t>Unit 11</t>
  </si>
  <si>
    <t>Day 11</t>
  </si>
  <si>
    <t>Lec11</t>
  </si>
  <si>
    <t>Introduction to Express part 2</t>
  </si>
  <si>
    <t>Additional Resources</t>
  </si>
  <si>
    <t>Unit 12</t>
  </si>
  <si>
    <t>Day 12</t>
  </si>
  <si>
    <t>Lec12</t>
  </si>
  <si>
    <t>Introduction TDD, BDD. Unit Test</t>
  </si>
  <si>
    <t>Mocha, chai, sinon, nock
Code coverage</t>
  </si>
  <si>
    <t>- Completed 6 functions and handle errors
- Apply knowledge which you learnt in this project</t>
  </si>
  <si>
    <t>Unit 13</t>
  </si>
  <si>
    <t>Day 13</t>
  </si>
  <si>
    <t>Lec13</t>
  </si>
  <si>
    <t>React part 1</t>
  </si>
  <si>
    <t>Introduction about React
- History of SPA.
- Why React
- Overview
- Environment Set up</t>
  </si>
  <si>
    <t>Unit 14</t>
  </si>
  <si>
    <t>Day 14</t>
  </si>
  <si>
    <t>Lec14</t>
  </si>
  <si>
    <t>React part 2</t>
  </si>
  <si>
    <t>- JSX.
- Components.
- Component Life Cycle</t>
  </si>
  <si>
    <t>Unit 15</t>
  </si>
  <si>
    <t>Day 15</t>
  </si>
  <si>
    <t>Lec15</t>
  </si>
  <si>
    <t>React part 3</t>
  </si>
  <si>
    <t>- State.
- Props.
- Props Validation.</t>
  </si>
  <si>
    <t>Unit 16</t>
  </si>
  <si>
    <t>Day 16</t>
  </si>
  <si>
    <t>Lec16</t>
  </si>
  <si>
    <t>React part 4</t>
  </si>
  <si>
    <t>- Forms.
- Events.
- React-Router</t>
  </si>
  <si>
    <t>Unit 17</t>
  </si>
  <si>
    <t>Day 17</t>
  </si>
  <si>
    <t>Lec17</t>
  </si>
  <si>
    <t>Redux part 1</t>
  </si>
  <si>
    <t xml:space="preserve">introduction
- Why Redux.
- Three principles:
  * Single source of truth
  * State is read-only
  * Changes are made with pure functions
</t>
  </si>
  <si>
    <t>Unit 18</t>
  </si>
  <si>
    <t>Day 18</t>
  </si>
  <si>
    <t>Lec18</t>
  </si>
  <si>
    <t>Redux part 2</t>
  </si>
  <si>
    <t>- Actions.
- Store.</t>
  </si>
  <si>
    <t>Unit 19</t>
  </si>
  <si>
    <t>Day 19</t>
  </si>
  <si>
    <t>Lec19</t>
  </si>
  <si>
    <t>Redux part 3</t>
  </si>
  <si>
    <t>- Reducers.
- Data Flow.</t>
  </si>
  <si>
    <t>Redux part 4</t>
  </si>
  <si>
    <t>- Usage with React.</t>
  </si>
  <si>
    <t>Unit 20</t>
  </si>
  <si>
    <t>Day 20</t>
  </si>
  <si>
    <t>Lec20</t>
  </si>
  <si>
    <t>Testing with Jest</t>
  </si>
  <si>
    <t>Why do we even need testing?
Why Jest</t>
  </si>
  <si>
    <t>Unit 21</t>
  </si>
  <si>
    <t>Day 21</t>
  </si>
  <si>
    <t>Lec21</t>
  </si>
  <si>
    <t>Jest testing example with reactjs</t>
  </si>
  <si>
    <t>Total</t>
  </si>
  <si>
    <t>Reactjs - Traning schedule</t>
  </si>
  <si>
    <t>AUTHORSHIP</t>
  </si>
  <si>
    <t>Role</t>
  </si>
  <si>
    <t>Account</t>
  </si>
  <si>
    <t>Unit</t>
  </si>
  <si>
    <t>Notes</t>
  </si>
  <si>
    <t>Creator</t>
  </si>
  <si>
    <t>DTL. Shipping</t>
  </si>
  <si>
    <t>Reviewer</t>
  </si>
  <si>
    <t>Approver</t>
  </si>
  <si>
    <t>RECORD OF CHANGES</t>
  </si>
  <si>
    <t>*A - Added M - Modified D - Deleted</t>
  </si>
  <si>
    <t>Date</t>
  </si>
  <si>
    <t>Changes</t>
  </si>
  <si>
    <t>A*
M, D</t>
  </si>
  <si>
    <t>Contents</t>
  </si>
  <si>
    <t>V1.0</t>
  </si>
  <si>
    <t>AAAAAH/rVCM=</t>
  </si>
  <si>
    <t>AAAAAH/rVCQ=</t>
  </si>
  <si>
    <t>AAAAAH/rVCU=</t>
  </si>
  <si>
    <t>Format</t>
  </si>
  <si>
    <t>Online</t>
  </si>
  <si>
    <t>Day1</t>
  </si>
  <si>
    <t>Day2</t>
  </si>
  <si>
    <t>Blended</t>
  </si>
  <si>
    <t>Day3</t>
  </si>
  <si>
    <t>Day4</t>
  </si>
  <si>
    <t>Day5</t>
  </si>
  <si>
    <t>Seminar/Workshop</t>
  </si>
  <si>
    <t>Day6</t>
  </si>
  <si>
    <t>Class Meeting</t>
  </si>
  <si>
    <t>Day7</t>
  </si>
  <si>
    <t>Day8</t>
  </si>
  <si>
    <t>Day9</t>
  </si>
  <si>
    <t>Day10</t>
  </si>
  <si>
    <t>5 days to finish all final test</t>
  </si>
  <si>
    <t>Define all APIs and build a system based on RESTful APIs with some of the core features
- Register
- Login</t>
  </si>
  <si>
    <t>Apply Express to expose APIs</t>
  </si>
  <si>
    <t>Define all APIs and build a system based on RESTful APIs with some of the core features
- Forgot password
- Update password</t>
  </si>
  <si>
    <t>Self review all knowledge of NodeJS courses</t>
  </si>
  <si>
    <t>- Actions, Reducers</t>
  </si>
  <si>
    <t>- Store, Data Flow.</t>
  </si>
  <si>
    <t>Write your first hello world app</t>
  </si>
  <si>
    <t>- Be able to setup &amp; make the first hello world app using reactjs</t>
  </si>
  <si>
    <t>Build simple hard coded Todo app</t>
  </si>
  <si>
    <t>- Be able to write multiple react components and understand how they work together</t>
  </si>
  <si>
    <t>A functional Todo app base using state, prop, prop validation, with Remove Todo feature</t>
  </si>
  <si>
    <t>- Help attendants understand more about state, props. Consolidate react knowledge.</t>
  </si>
  <si>
    <t>Build an react app that have three components: Home, About, Contact using react-router</t>
  </si>
  <si>
    <t>- help attendants practice with react-router</t>
  </si>
  <si>
    <t>Read about redux, try to make sense of actions, reducers, store</t>
  </si>
  <si>
    <t>- Redux is a complicated subject, attendants need to spend time to make sense of everything first.</t>
  </si>
  <si>
    <t>Design the store, write all actions, reducers for the react todo app</t>
  </si>
  <si>
    <t>- Practice with designing the store &amp; write actions.</t>
  </si>
  <si>
    <t>Set up everything up with store, reducer, action (uses best practices)</t>
  </si>
  <si>
    <t>- Improve overall knowledge about store, action, reducer &amp; how to set them up.</t>
  </si>
  <si>
    <t>Wire everything has learned so far about redux with Reactjs app</t>
  </si>
  <si>
    <t>- help attendants understand how redux work with react</t>
  </si>
  <si>
    <t>read more about Jest</t>
  </si>
  <si>
    <t>- understand Jest and its main features.</t>
  </si>
  <si>
    <t>Write at least three tests for each version of the todo app</t>
  </si>
  <si>
    <t>- Practice writing test for react, redux app.</t>
  </si>
  <si>
    <t>Review and apply all knowledge of React</t>
  </si>
  <si>
    <t>3 days to finish this</t>
  </si>
  <si>
    <t>Full Stack JS</t>
  </si>
  <si>
    <t>FullStackJS</t>
  </si>
  <si>
    <t>Unit 22</t>
  </si>
  <si>
    <t>Day 22</t>
  </si>
  <si>
    <t>Lec22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</si>
</sst>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>
    <font>
      <sz val="10"/>
      <color rgb="FF000000"/>
      <name val="Arial"/>
      <family val="2"/>
      <charset val="1"/>
    </font>
    <font>
      <b/>
      <sz val="14"/>
      <name val="Aarial"/>
      <charset val="1"/>
    </font>
    <font>
      <sz val="10"/>
      <name val="Aarial"/>
      <charset val="1"/>
    </font>
    <font>
      <i/>
      <sz val="10"/>
      <name val="Aarial"/>
      <charset val="1"/>
    </font>
    <font>
      <b/>
      <sz val="10"/>
      <name val="Aarial"/>
      <charset val="1"/>
    </font>
    <font>
      <b/>
      <i/>
      <sz val="10"/>
      <name val="Aarial"/>
      <charset val="1"/>
    </font>
    <font>
      <b/>
      <i/>
      <sz val="10"/>
      <name val="Arial"/>
      <family val="2"/>
      <charset val="1"/>
    </font>
    <font>
      <b/>
      <sz val="14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C2D69B"/>
        <bgColor rgb="FFFFCC99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3" fillId="0" borderId="0">
      <alignment vertical="top"/>
    </xf>
  </cellStyleXfs>
  <cellXfs count="96">
    <xf numFmtId="0" fontId="0" fillId="0" borderId="0" xfId="0"/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9" fontId="2" fillId="2" borderId="5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0" fontId="8" fillId="2" borderId="0" xfId="0" applyFont="1" applyFill="1" applyBorder="1"/>
    <xf numFmtId="0" fontId="9" fillId="2" borderId="10" xfId="0" applyFont="1" applyFill="1" applyBorder="1" applyAlignment="1">
      <alignment horizontal="center" vertical="top"/>
    </xf>
    <xf numFmtId="0" fontId="9" fillId="2" borderId="11" xfId="0" applyFont="1" applyFill="1" applyBorder="1" applyAlignment="1">
      <alignment horizontal="center" vertical="top"/>
    </xf>
    <xf numFmtId="0" fontId="9" fillId="2" borderId="10" xfId="0" applyFont="1" applyFill="1" applyBorder="1" applyAlignment="1">
      <alignment horizontal="center" vertical="top" wrapText="1"/>
    </xf>
    <xf numFmtId="0" fontId="8" fillId="3" borderId="12" xfId="0" applyFont="1" applyFill="1" applyBorder="1" applyAlignment="1">
      <alignment horizontal="left" vertical="top"/>
    </xf>
    <xf numFmtId="0" fontId="8" fillId="3" borderId="10" xfId="0" applyFont="1" applyFill="1" applyBorder="1" applyAlignment="1">
      <alignment horizontal="left" vertical="top" wrapText="1"/>
    </xf>
    <xf numFmtId="0" fontId="8" fillId="3" borderId="12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top"/>
    </xf>
    <xf numFmtId="0" fontId="8" fillId="3" borderId="10" xfId="0" applyFont="1" applyFill="1" applyBorder="1" applyAlignment="1">
      <alignment vertical="top" wrapText="1"/>
    </xf>
    <xf numFmtId="0" fontId="8" fillId="3" borderId="10" xfId="0" applyFont="1" applyFill="1" applyBorder="1" applyAlignment="1">
      <alignment vertical="top"/>
    </xf>
    <xf numFmtId="0" fontId="8" fillId="3" borderId="10" xfId="0" applyFont="1" applyFill="1" applyBorder="1" applyAlignment="1">
      <alignment horizontal="center" vertical="top" wrapText="1"/>
    </xf>
    <xf numFmtId="2" fontId="8" fillId="3" borderId="10" xfId="0" applyNumberFormat="1" applyFont="1" applyFill="1" applyBorder="1" applyAlignment="1">
      <alignment horizontal="center" vertical="top"/>
    </xf>
    <xf numFmtId="0" fontId="10" fillId="3" borderId="10" xfId="0" applyFont="1" applyFill="1" applyBorder="1" applyAlignment="1">
      <alignment vertical="top" wrapText="1"/>
    </xf>
    <xf numFmtId="0" fontId="8" fillId="3" borderId="13" xfId="0" applyFont="1" applyFill="1" applyBorder="1" applyAlignment="1">
      <alignment horizontal="left" vertical="top"/>
    </xf>
    <xf numFmtId="0" fontId="8" fillId="3" borderId="14" xfId="0" applyFont="1" applyFill="1" applyBorder="1" applyAlignment="1">
      <alignment horizontal="left" vertical="center" wrapText="1"/>
    </xf>
    <xf numFmtId="0" fontId="8" fillId="3" borderId="12" xfId="0" applyFont="1" applyFill="1" applyBorder="1" applyAlignment="1">
      <alignment horizontal="left" vertical="top" wrapText="1"/>
    </xf>
    <xf numFmtId="0" fontId="8" fillId="3" borderId="12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top" wrapText="1"/>
    </xf>
    <xf numFmtId="0" fontId="8" fillId="3" borderId="14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top"/>
    </xf>
    <xf numFmtId="0" fontId="8" fillId="3" borderId="14" xfId="0" applyFont="1" applyFill="1" applyBorder="1" applyAlignment="1">
      <alignment horizontal="left" vertical="top" wrapText="1"/>
    </xf>
    <xf numFmtId="0" fontId="0" fillId="3" borderId="0" xfId="0" applyFont="1" applyFill="1" applyAlignment="1">
      <alignment horizontal="left" vertical="top" wrapText="1"/>
    </xf>
    <xf numFmtId="0" fontId="8" fillId="0" borderId="0" xfId="0" applyFont="1" applyAlignment="1"/>
    <xf numFmtId="0" fontId="8" fillId="2" borderId="0" xfId="0" applyFont="1" applyFill="1" applyBorder="1" applyAlignment="1">
      <alignment horizontal="left"/>
    </xf>
    <xf numFmtId="0" fontId="9" fillId="2" borderId="10" xfId="0" applyFont="1" applyFill="1" applyBorder="1"/>
    <xf numFmtId="2" fontId="8" fillId="2" borderId="10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left"/>
    </xf>
    <xf numFmtId="164" fontId="9" fillId="2" borderId="10" xfId="0" applyNumberFormat="1" applyFont="1" applyFill="1" applyBorder="1" applyAlignment="1">
      <alignment horizontal="center"/>
    </xf>
    <xf numFmtId="9" fontId="9" fillId="2" borderId="10" xfId="0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horizontal="right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/>
    <xf numFmtId="0" fontId="9" fillId="2" borderId="5" xfId="0" applyFont="1" applyFill="1" applyBorder="1" applyAlignment="1">
      <alignment horizontal="center" vertical="center" wrapText="1"/>
    </xf>
    <xf numFmtId="15" fontId="11" fillId="2" borderId="5" xfId="0" applyNumberFormat="1" applyFont="1" applyFill="1" applyBorder="1" applyAlignment="1">
      <alignment vertical="top" wrapText="1"/>
    </xf>
    <xf numFmtId="0" fontId="8" fillId="3" borderId="5" xfId="0" applyFont="1" applyFill="1" applyBorder="1" applyAlignment="1">
      <alignment vertical="top" wrapText="1"/>
    </xf>
    <xf numFmtId="0" fontId="11" fillId="2" borderId="5" xfId="0" applyFont="1" applyFill="1" applyBorder="1" applyAlignment="1">
      <alignment vertical="top" wrapText="1"/>
    </xf>
    <xf numFmtId="15" fontId="0" fillId="3" borderId="5" xfId="0" applyNumberFormat="1" applyFont="1" applyFill="1" applyBorder="1" applyAlignment="1">
      <alignment vertical="top" wrapText="1"/>
    </xf>
    <xf numFmtId="0" fontId="0" fillId="3" borderId="5" xfId="0" applyFont="1" applyFill="1" applyBorder="1" applyAlignment="1">
      <alignment vertical="top" wrapText="1"/>
    </xf>
    <xf numFmtId="0" fontId="0" fillId="0" borderId="0" xfId="0" applyFont="1"/>
    <xf numFmtId="0" fontId="12" fillId="0" borderId="0" xfId="0" applyFont="1"/>
    <xf numFmtId="9" fontId="0" fillId="0" borderId="0" xfId="0" applyNumberFormat="1" applyFont="1"/>
    <xf numFmtId="0" fontId="9" fillId="4" borderId="10" xfId="0" applyFont="1" applyFill="1" applyBorder="1" applyAlignment="1">
      <alignment horizontal="center" vertical="top" wrapText="1"/>
    </xf>
    <xf numFmtId="0" fontId="12" fillId="4" borderId="0" xfId="0" applyFont="1" applyFill="1" applyBorder="1"/>
    <xf numFmtId="0" fontId="0" fillId="3" borderId="0" xfId="0" quotePrefix="1" applyFont="1" applyFill="1" applyAlignment="1">
      <alignment horizontal="left" vertical="top" wrapText="1"/>
    </xf>
    <xf numFmtId="0" fontId="13" fillId="3" borderId="0" xfId="1" quotePrefix="1" applyFont="1" applyFill="1" applyAlignment="1">
      <alignment horizontal="left" vertical="top" wrapText="1"/>
    </xf>
    <xf numFmtId="0" fontId="8" fillId="3" borderId="10" xfId="0" quotePrefix="1" applyFont="1" applyFill="1" applyBorder="1" applyAlignment="1">
      <alignment vertical="top" wrapText="1"/>
    </xf>
    <xf numFmtId="0" fontId="14" fillId="3" borderId="10" xfId="1" applyFont="1" applyFill="1" applyBorder="1" applyAlignment="1">
      <alignment vertical="top" wrapText="1"/>
    </xf>
    <xf numFmtId="0" fontId="13" fillId="0" borderId="10" xfId="1" quotePrefix="1" applyFont="1" applyBorder="1" applyAlignment="1">
      <alignment vertical="top" wrapText="1"/>
    </xf>
    <xf numFmtId="0" fontId="13" fillId="0" borderId="0" xfId="1" applyFont="1">
      <alignment vertical="top"/>
    </xf>
    <xf numFmtId="0" fontId="13" fillId="0" borderId="0" xfId="1" applyFont="1" applyAlignment="1">
      <alignment vertical="top" wrapText="1"/>
    </xf>
    <xf numFmtId="0" fontId="14" fillId="3" borderId="10" xfId="1" quotePrefix="1" applyFont="1" applyFill="1" applyBorder="1" applyAlignment="1">
      <alignment vertical="top" wrapText="1"/>
    </xf>
    <xf numFmtId="0" fontId="13" fillId="0" borderId="0" xfId="1" applyFont="1" applyAlignment="1">
      <alignment vertical="top" wrapText="1"/>
    </xf>
    <xf numFmtId="0" fontId="14" fillId="3" borderId="10" xfId="1" quotePrefix="1" applyFont="1" applyFill="1" applyBorder="1" applyAlignment="1">
      <alignment vertical="top" wrapText="1"/>
    </xf>
    <xf numFmtId="0" fontId="13" fillId="0" borderId="0" xfId="1" applyFont="1" applyAlignment="1">
      <alignment vertical="top" wrapText="1"/>
    </xf>
    <xf numFmtId="0" fontId="13" fillId="0" borderId="0" xfId="1" applyFont="1" applyAlignment="1">
      <alignment vertical="top" wrapText="1"/>
    </xf>
    <xf numFmtId="0" fontId="13" fillId="0" borderId="0" xfId="1" applyFont="1" applyAlignment="1">
      <alignment vertical="top" wrapText="1"/>
    </xf>
    <xf numFmtId="0" fontId="14" fillId="3" borderId="10" xfId="1" quotePrefix="1" applyFont="1" applyFill="1" applyBorder="1" applyAlignment="1">
      <alignment vertical="top" wrapText="1"/>
    </xf>
    <xf numFmtId="0" fontId="13" fillId="0" borderId="0" xfId="1" applyFont="1" applyAlignment="1">
      <alignment vertical="top" wrapText="1"/>
    </xf>
    <xf numFmtId="0" fontId="14" fillId="3" borderId="10" xfId="1" quotePrefix="1" applyFont="1" applyFill="1" applyBorder="1" applyAlignment="1">
      <alignment vertical="top" wrapText="1"/>
    </xf>
    <xf numFmtId="0" fontId="13" fillId="0" borderId="0" xfId="1" applyFont="1" applyAlignment="1">
      <alignment vertical="top" wrapText="1"/>
    </xf>
    <xf numFmtId="0" fontId="14" fillId="3" borderId="10" xfId="1" quotePrefix="1" applyFont="1" applyFill="1" applyBorder="1" applyAlignment="1">
      <alignment vertical="top" wrapText="1"/>
    </xf>
    <xf numFmtId="0" fontId="13" fillId="0" borderId="0" xfId="1" applyFont="1" applyAlignment="1">
      <alignment vertical="top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3" fillId="0" borderId="6" xfId="0" applyFont="1" applyBorder="1" applyAlignment="1">
      <alignment horizontal="left" vertical="center" wrapText="1"/>
    </xf>
    <xf numFmtId="0" fontId="5" fillId="2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704880</xdr:colOff>
      <xdr:row>10</xdr:row>
      <xdr:rowOff>218880</xdr:rowOff>
    </xdr:to>
    <xdr:sp macro="" textlink="">
      <xdr:nvSpPr>
        <xdr:cNvPr id="2" name="CustomShape 1" hidden="1"/>
        <xdr:cNvSpPr/>
      </xdr:nvSpPr>
      <xdr:spPr>
        <a:xfrm>
          <a:off x="0" y="0"/>
          <a:ext cx="9849240" cy="10209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704880</xdr:colOff>
      <xdr:row>10</xdr:row>
      <xdr:rowOff>218880</xdr:rowOff>
    </xdr:to>
    <xdr:sp macro="" textlink="">
      <xdr:nvSpPr>
        <xdr:cNvPr id="3" name="CustomShape 1" hidden="1"/>
        <xdr:cNvSpPr/>
      </xdr:nvSpPr>
      <xdr:spPr>
        <a:xfrm>
          <a:off x="0" y="0"/>
          <a:ext cx="9849240" cy="10209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895350</xdr:colOff>
      <xdr:row>9</xdr:row>
      <xdr:rowOff>409575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704520</xdr:colOff>
      <xdr:row>9</xdr:row>
      <xdr:rowOff>409320</xdr:rowOff>
    </xdr:to>
    <xdr:sp macro="" textlink="">
      <xdr:nvSpPr>
        <xdr:cNvPr id="2" name="CustomShape 1" hidden="1"/>
        <xdr:cNvSpPr/>
      </xdr:nvSpPr>
      <xdr:spPr>
        <a:xfrm>
          <a:off x="0" y="0"/>
          <a:ext cx="9896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704520</xdr:colOff>
      <xdr:row>9</xdr:row>
      <xdr:rowOff>409320</xdr:rowOff>
    </xdr:to>
    <xdr:sp macro="" textlink="">
      <xdr:nvSpPr>
        <xdr:cNvPr id="3" name="CustomShape 1" hidden="1"/>
        <xdr:cNvSpPr/>
      </xdr:nvSpPr>
      <xdr:spPr>
        <a:xfrm>
          <a:off x="0" y="0"/>
          <a:ext cx="9896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847725</xdr:colOff>
      <xdr:row>9</xdr:row>
      <xdr:rowOff>409575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9" zoomScaleNormal="100" workbookViewId="0">
      <selection activeCell="D12" sqref="D12"/>
    </sheetView>
  </sheetViews>
  <sheetFormatPr defaultRowHeight="12.75"/>
  <cols>
    <col min="1" max="1" width="4.7109375"/>
    <col min="2" max="2" width="17.140625"/>
    <col min="3" max="3" width="18.85546875"/>
    <col min="4" max="4" width="13.85546875"/>
    <col min="5" max="5" width="53.5703125"/>
    <col min="6" max="6" width="12.28515625"/>
    <col min="7" max="7" width="0.140625"/>
    <col min="8" max="16" width="9"/>
    <col min="17" max="26" width="7.85546875"/>
    <col min="27" max="1025" width="14.140625"/>
  </cols>
  <sheetData>
    <row r="1" spans="1:26" ht="29.25" customHeight="1">
      <c r="A1" s="91" t="s">
        <v>0</v>
      </c>
      <c r="B1" s="91"/>
      <c r="C1" s="91"/>
      <c r="D1" s="91"/>
      <c r="E1" s="91"/>
      <c r="F1" s="9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2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>
        <v>1</v>
      </c>
      <c r="B5" s="4" t="s">
        <v>3</v>
      </c>
      <c r="C5" s="92" t="s">
        <v>4</v>
      </c>
      <c r="D5" s="92"/>
      <c r="E5" s="92"/>
      <c r="F5" s="9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5">
        <v>2</v>
      </c>
      <c r="B6" s="6" t="s">
        <v>5</v>
      </c>
      <c r="C6" s="78"/>
      <c r="D6" s="78"/>
      <c r="E6" s="78"/>
      <c r="F6" s="7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5">
        <v>3</v>
      </c>
      <c r="B7" s="6" t="s">
        <v>6</v>
      </c>
      <c r="C7" s="85" t="s">
        <v>7</v>
      </c>
      <c r="D7" s="85"/>
      <c r="E7" s="85"/>
      <c r="F7" s="8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customHeight="1">
      <c r="A8" s="5">
        <v>4</v>
      </c>
      <c r="B8" s="6" t="s">
        <v>8</v>
      </c>
      <c r="C8" s="87" t="s">
        <v>9</v>
      </c>
      <c r="D8" s="87"/>
      <c r="E8" s="87"/>
      <c r="F8" s="8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2.75" customHeight="1">
      <c r="A9" s="81">
        <v>5</v>
      </c>
      <c r="B9" s="88" t="s">
        <v>10</v>
      </c>
      <c r="C9" s="87" t="s">
        <v>11</v>
      </c>
      <c r="D9" s="87"/>
      <c r="E9" s="87"/>
      <c r="F9" s="8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81"/>
      <c r="B10" s="88"/>
      <c r="C10" s="7" t="s">
        <v>12</v>
      </c>
      <c r="D10" s="7" t="s">
        <v>13</v>
      </c>
      <c r="E10" s="89" t="s">
        <v>14</v>
      </c>
      <c r="F10" s="8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>
      <c r="A11" s="81"/>
      <c r="B11" s="88"/>
      <c r="C11" s="8" t="s">
        <v>255</v>
      </c>
      <c r="D11" s="9" t="s">
        <v>256</v>
      </c>
      <c r="E11" s="85"/>
      <c r="F11" s="8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>
      <c r="A12" s="81"/>
      <c r="B12" s="88"/>
      <c r="C12" s="8"/>
      <c r="D12" s="9"/>
      <c r="E12" s="85"/>
      <c r="F12" s="8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8.25" customHeight="1">
      <c r="A13" s="81"/>
      <c r="B13" s="88"/>
      <c r="C13" s="90" t="s">
        <v>15</v>
      </c>
      <c r="D13" s="90"/>
      <c r="E13" s="90"/>
      <c r="F13" s="9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9.5" customHeight="1">
      <c r="A14" s="5">
        <v>6</v>
      </c>
      <c r="B14" s="6" t="s">
        <v>16</v>
      </c>
      <c r="C14" s="83" t="s">
        <v>17</v>
      </c>
      <c r="D14" s="83"/>
      <c r="E14" s="83"/>
      <c r="F14" s="83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81">
        <v>7</v>
      </c>
      <c r="B15" s="82" t="s">
        <v>18</v>
      </c>
      <c r="C15" s="11" t="s">
        <v>19</v>
      </c>
      <c r="D15" s="12">
        <v>0.8</v>
      </c>
      <c r="E15" s="8" t="s">
        <v>20</v>
      </c>
      <c r="F15" s="78" t="s">
        <v>21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81"/>
      <c r="B16" s="82"/>
      <c r="C16" s="11" t="s">
        <v>22</v>
      </c>
      <c r="D16" s="12">
        <v>0</v>
      </c>
      <c r="E16" s="8" t="s">
        <v>23</v>
      </c>
      <c r="F16" s="7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81"/>
      <c r="B17" s="82"/>
      <c r="C17" s="11" t="s">
        <v>24</v>
      </c>
      <c r="D17" s="12">
        <v>0.12</v>
      </c>
      <c r="E17" s="8" t="s">
        <v>25</v>
      </c>
      <c r="F17" s="7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81"/>
      <c r="B18" s="82"/>
      <c r="C18" s="11" t="s">
        <v>26</v>
      </c>
      <c r="D18" s="12">
        <v>0.08</v>
      </c>
      <c r="E18" s="8" t="s">
        <v>27</v>
      </c>
      <c r="F18" s="7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81">
        <v>8</v>
      </c>
      <c r="B19" s="82" t="s">
        <v>28</v>
      </c>
      <c r="C19" s="84" t="s">
        <v>29</v>
      </c>
      <c r="D19" s="85" t="s">
        <v>30</v>
      </c>
      <c r="E19" s="85"/>
      <c r="F19" s="8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81"/>
      <c r="B20" s="82"/>
      <c r="C20" s="84"/>
      <c r="D20" s="85"/>
      <c r="E20" s="85"/>
      <c r="F20" s="8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81"/>
      <c r="B21" s="82"/>
      <c r="C21" s="84" t="s">
        <v>31</v>
      </c>
      <c r="D21" s="86" t="s">
        <v>32</v>
      </c>
      <c r="E21" s="86"/>
      <c r="F21" s="8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81"/>
      <c r="B22" s="82"/>
      <c r="C22" s="82"/>
      <c r="D22" s="86"/>
      <c r="E22" s="86"/>
      <c r="F22" s="8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81"/>
      <c r="B23" s="82"/>
      <c r="C23" s="84"/>
      <c r="D23" s="86"/>
      <c r="E23" s="86"/>
      <c r="F23" s="8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3.5" customHeight="1">
      <c r="A24" s="81"/>
      <c r="B24" s="82"/>
      <c r="C24" s="11" t="s">
        <v>33</v>
      </c>
      <c r="D24" s="87" t="s">
        <v>34</v>
      </c>
      <c r="E24" s="87"/>
      <c r="F24" s="8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>
      <c r="A25" s="81">
        <v>9</v>
      </c>
      <c r="B25" s="82" t="s">
        <v>35</v>
      </c>
      <c r="C25" s="11" t="s">
        <v>36</v>
      </c>
      <c r="D25" s="78" t="s">
        <v>32</v>
      </c>
      <c r="E25" s="78"/>
      <c r="F25" s="7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>
      <c r="A26" s="81"/>
      <c r="B26" s="82"/>
      <c r="C26" s="11" t="s">
        <v>37</v>
      </c>
      <c r="D26" s="78"/>
      <c r="E26" s="78"/>
      <c r="F26" s="7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44.25" customHeight="1">
      <c r="A27" s="81"/>
      <c r="B27" s="82"/>
      <c r="C27" s="11" t="s">
        <v>38</v>
      </c>
      <c r="D27" s="79" t="s">
        <v>39</v>
      </c>
      <c r="E27" s="79"/>
      <c r="F27" s="7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3" customHeight="1">
      <c r="A28" s="81"/>
      <c r="B28" s="82"/>
      <c r="C28" s="11" t="s">
        <v>40</v>
      </c>
      <c r="D28" s="78" t="s">
        <v>41</v>
      </c>
      <c r="E28" s="78"/>
      <c r="F28" s="7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8.5" customHeight="1">
      <c r="A29" s="76">
        <v>10</v>
      </c>
      <c r="B29" s="77" t="s">
        <v>42</v>
      </c>
      <c r="C29" s="11" t="s">
        <v>43</v>
      </c>
      <c r="D29" s="78" t="s">
        <v>44</v>
      </c>
      <c r="E29" s="78"/>
      <c r="F29" s="7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8.5" customHeight="1">
      <c r="A30" s="76"/>
      <c r="B30" s="77"/>
      <c r="C30" s="11" t="s">
        <v>45</v>
      </c>
      <c r="D30" s="78" t="s">
        <v>32</v>
      </c>
      <c r="E30" s="78"/>
      <c r="F30" s="7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8.5" customHeight="1">
      <c r="A31" s="76"/>
      <c r="B31" s="77"/>
      <c r="C31" s="11" t="s">
        <v>46</v>
      </c>
      <c r="D31" s="78" t="s">
        <v>47</v>
      </c>
      <c r="E31" s="78"/>
      <c r="F31" s="7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8.5" customHeight="1">
      <c r="A32" s="76"/>
      <c r="B32" s="77"/>
      <c r="C32" s="11" t="s">
        <v>48</v>
      </c>
      <c r="D32" s="79" t="s">
        <v>49</v>
      </c>
      <c r="E32" s="79"/>
      <c r="F32" s="79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41.25" customHeight="1">
      <c r="A33" s="76"/>
      <c r="B33" s="77"/>
      <c r="C33" s="11" t="s">
        <v>50</v>
      </c>
      <c r="D33" s="78" t="s">
        <v>51</v>
      </c>
      <c r="E33" s="78"/>
      <c r="F33" s="7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>
      <c r="A34" s="76"/>
      <c r="B34" s="77"/>
      <c r="C34" s="11" t="s">
        <v>52</v>
      </c>
      <c r="D34" s="78" t="s">
        <v>32</v>
      </c>
      <c r="E34" s="78"/>
      <c r="F34" s="7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7.5" customHeight="1">
      <c r="A35" s="76"/>
      <c r="B35" s="77"/>
      <c r="C35" s="13" t="s">
        <v>53</v>
      </c>
      <c r="D35" s="80" t="s">
        <v>54</v>
      </c>
      <c r="E35" s="80"/>
      <c r="F35" s="8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/>
    <row r="37" spans="1:26" ht="12.75" customHeight="1"/>
    <row r="38" spans="1:26" ht="12.75" customHeight="1"/>
    <row r="39" spans="1:26" ht="12.75" customHeight="1"/>
    <row r="40" spans="1:26" ht="12.75" customHeight="1"/>
    <row r="41" spans="1:26" ht="12.75" customHeight="1"/>
    <row r="42" spans="1:26" ht="12.75" customHeight="1"/>
    <row r="43" spans="1:26" ht="12.75" customHeight="1"/>
    <row r="44" spans="1:26" ht="12.75" customHeight="1"/>
    <row r="45" spans="1:26" ht="12.75" customHeight="1"/>
    <row r="46" spans="1:26" ht="12.75" customHeight="1"/>
    <row r="47" spans="1:26" ht="12.75" customHeight="1"/>
    <row r="48" spans="1:2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1">
    <mergeCell ref="A1:F1"/>
    <mergeCell ref="C5:F5"/>
    <mergeCell ref="C6:F6"/>
    <mergeCell ref="C7:F7"/>
    <mergeCell ref="C8:F8"/>
    <mergeCell ref="A9:A13"/>
    <mergeCell ref="B9:B13"/>
    <mergeCell ref="C9:F9"/>
    <mergeCell ref="E10:F10"/>
    <mergeCell ref="E11:F11"/>
    <mergeCell ref="E12:F12"/>
    <mergeCell ref="C13:F13"/>
    <mergeCell ref="C14:F14"/>
    <mergeCell ref="A15:A18"/>
    <mergeCell ref="B15:B18"/>
    <mergeCell ref="F15:F18"/>
    <mergeCell ref="A19:A24"/>
    <mergeCell ref="B19:B24"/>
    <mergeCell ref="C19:C20"/>
    <mergeCell ref="D19:F19"/>
    <mergeCell ref="D20:F20"/>
    <mergeCell ref="C21:C23"/>
    <mergeCell ref="D21:F21"/>
    <mergeCell ref="D22:F22"/>
    <mergeCell ref="D23:F23"/>
    <mergeCell ref="D24:F24"/>
    <mergeCell ref="A25:A28"/>
    <mergeCell ref="B25:B28"/>
    <mergeCell ref="D25:F25"/>
    <mergeCell ref="D26:F26"/>
    <mergeCell ref="D27:F27"/>
    <mergeCell ref="D28:F28"/>
    <mergeCell ref="A29:A35"/>
    <mergeCell ref="B29:B35"/>
    <mergeCell ref="D29:F29"/>
    <mergeCell ref="D30:F30"/>
    <mergeCell ref="D31:F31"/>
    <mergeCell ref="D32:F32"/>
    <mergeCell ref="D33:F33"/>
    <mergeCell ref="D34:F34"/>
    <mergeCell ref="D35:F3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4"/>
  <sheetViews>
    <sheetView tabSelected="1" zoomScaleNormal="100" workbookViewId="0">
      <pane ySplit="2" topLeftCell="A43" activePane="bottomLeft" state="frozen"/>
      <selection pane="bottomLeft" activeCell="E46" sqref="E46"/>
    </sheetView>
  </sheetViews>
  <sheetFormatPr defaultRowHeight="12.75"/>
  <cols>
    <col min="1" max="1" width="8.5703125"/>
    <col min="2" max="2" width="17.140625"/>
    <col min="3" max="3" width="7.28515625"/>
    <col min="4" max="4" width="11"/>
    <col min="5" max="5" width="28.85546875"/>
    <col min="6" max="6" width="22.140625"/>
    <col min="7" max="7" width="16.42578125"/>
    <col min="8" max="9" width="9"/>
    <col min="10" max="10" width="44.85546875"/>
    <col min="11" max="20" width="8.7109375"/>
    <col min="21" max="26" width="7.85546875"/>
    <col min="27" max="1025" width="14.140625"/>
  </cols>
  <sheetData>
    <row r="1" spans="1:26" ht="36.75" customHeight="1">
      <c r="A1" s="93" t="str">
        <f>'&lt;Front_end&gt;_Syllabus'!C5&amp;" - Training Schedule"</f>
        <v>NodeJS - Training Schedule</v>
      </c>
      <c r="B1" s="93"/>
      <c r="C1" s="93"/>
      <c r="D1" s="93"/>
      <c r="E1" s="93"/>
      <c r="F1" s="93"/>
      <c r="G1" s="93"/>
      <c r="H1" s="93"/>
      <c r="I1" s="93"/>
      <c r="J1" s="93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39" customHeight="1">
      <c r="A2" s="94" t="s">
        <v>55</v>
      </c>
      <c r="B2" s="94"/>
      <c r="C2" s="16" t="s">
        <v>56</v>
      </c>
      <c r="D2" s="17" t="s">
        <v>57</v>
      </c>
      <c r="E2" s="15" t="s">
        <v>58</v>
      </c>
      <c r="F2" s="15" t="s">
        <v>59</v>
      </c>
      <c r="G2" s="17" t="s">
        <v>60</v>
      </c>
      <c r="H2" s="17" t="s">
        <v>61</v>
      </c>
      <c r="I2" s="17" t="s">
        <v>62</v>
      </c>
      <c r="J2" s="17" t="s">
        <v>63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81" customHeight="1">
      <c r="A3" s="18" t="s">
        <v>64</v>
      </c>
      <c r="B3" s="19"/>
      <c r="C3" s="20" t="s">
        <v>65</v>
      </c>
      <c r="D3" s="21" t="s">
        <v>66</v>
      </c>
      <c r="E3" s="22" t="s">
        <v>67</v>
      </c>
      <c r="F3" s="22" t="s">
        <v>68</v>
      </c>
      <c r="G3" s="23" t="s">
        <v>19</v>
      </c>
      <c r="H3" s="24">
        <v>150</v>
      </c>
      <c r="I3" s="25" t="s">
        <v>69</v>
      </c>
      <c r="J3" s="26" t="str">
        <f>HYPERLINK("https://www.w3schools.com/js/","https://www.w3schools.com/js/")</f>
        <v>https://www.w3schools.com/js/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58.5" customHeight="1">
      <c r="A4" s="27"/>
      <c r="B4" s="19"/>
      <c r="C4" s="28"/>
      <c r="D4" s="21" t="s">
        <v>70</v>
      </c>
      <c r="E4" s="22" t="s">
        <v>71</v>
      </c>
      <c r="F4" s="22" t="s">
        <v>72</v>
      </c>
      <c r="G4" s="23" t="s">
        <v>22</v>
      </c>
      <c r="H4" s="25">
        <v>240</v>
      </c>
      <c r="I4" s="25" t="s">
        <v>69</v>
      </c>
      <c r="J4" s="23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22.25" customHeight="1">
      <c r="A5" s="18" t="s">
        <v>73</v>
      </c>
      <c r="B5" s="29"/>
      <c r="C5" s="30" t="s">
        <v>74</v>
      </c>
      <c r="D5" s="21" t="s">
        <v>75</v>
      </c>
      <c r="E5" s="22" t="s">
        <v>76</v>
      </c>
      <c r="F5" s="22" t="s">
        <v>77</v>
      </c>
      <c r="G5" s="23" t="s">
        <v>19</v>
      </c>
      <c r="H5" s="24">
        <v>150</v>
      </c>
      <c r="I5" s="25" t="s">
        <v>69</v>
      </c>
      <c r="J5" s="22" t="s">
        <v>78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60" customHeight="1">
      <c r="A6" s="27"/>
      <c r="B6" s="31"/>
      <c r="C6" s="32"/>
      <c r="D6" s="21" t="s">
        <v>70</v>
      </c>
      <c r="E6" s="22" t="s">
        <v>79</v>
      </c>
      <c r="F6" s="22" t="s">
        <v>80</v>
      </c>
      <c r="G6" s="23" t="s">
        <v>22</v>
      </c>
      <c r="H6" s="25">
        <v>240</v>
      </c>
      <c r="I6" s="25" t="s">
        <v>69</v>
      </c>
      <c r="J6" s="23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37.25" customHeight="1">
      <c r="A7" s="18" t="s">
        <v>81</v>
      </c>
      <c r="B7" s="29"/>
      <c r="C7" s="20" t="s">
        <v>82</v>
      </c>
      <c r="D7" s="21" t="s">
        <v>83</v>
      </c>
      <c r="E7" s="22" t="s">
        <v>84</v>
      </c>
      <c r="F7" s="22" t="s">
        <v>85</v>
      </c>
      <c r="G7" s="23" t="s">
        <v>19</v>
      </c>
      <c r="H7" s="24">
        <v>150</v>
      </c>
      <c r="I7" s="25" t="s">
        <v>69</v>
      </c>
      <c r="J7" s="26" t="str">
        <f>HYPERLINK("https://github.com/lukehoban/es6features","https://github.com/lukehoban/es6features
")</f>
        <v xml:space="preserve">https://github.com/lukehoban/es6features
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45.75" customHeight="1">
      <c r="A8" s="33"/>
      <c r="B8" s="34"/>
      <c r="C8" s="28"/>
      <c r="D8" s="21" t="s">
        <v>70</v>
      </c>
      <c r="E8" s="22" t="s">
        <v>86</v>
      </c>
      <c r="F8" s="22" t="s">
        <v>80</v>
      </c>
      <c r="G8" s="23" t="s">
        <v>22</v>
      </c>
      <c r="H8" s="25">
        <v>240</v>
      </c>
      <c r="I8" s="25" t="s">
        <v>69</v>
      </c>
      <c r="J8" s="23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37.25" customHeight="1">
      <c r="A9" s="18" t="s">
        <v>87</v>
      </c>
      <c r="B9" s="29"/>
      <c r="C9" s="20" t="s">
        <v>88</v>
      </c>
      <c r="D9" s="21" t="s">
        <v>89</v>
      </c>
      <c r="E9" s="22" t="s">
        <v>90</v>
      </c>
      <c r="F9" s="22" t="s">
        <v>91</v>
      </c>
      <c r="G9" s="23" t="s">
        <v>19</v>
      </c>
      <c r="H9" s="24">
        <v>150</v>
      </c>
      <c r="I9" s="25" t="s">
        <v>69</v>
      </c>
      <c r="J9" s="26" t="str">
        <f>HYPERLINK("https://github.com/lukehoban/es6features","https://github.com/lukehoban/es6features
")</f>
        <v xml:space="preserve">https://github.com/lukehoban/es6features
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89.25">
      <c r="A10" s="33"/>
      <c r="B10" s="34"/>
      <c r="C10" s="28"/>
      <c r="D10" s="21" t="s">
        <v>70</v>
      </c>
      <c r="E10" s="22" t="s">
        <v>92</v>
      </c>
      <c r="F10" s="22" t="s">
        <v>93</v>
      </c>
      <c r="G10" s="23" t="s">
        <v>22</v>
      </c>
      <c r="H10" s="25">
        <v>240</v>
      </c>
      <c r="I10" s="25" t="s">
        <v>69</v>
      </c>
      <c r="J10" s="23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37.25" customHeight="1">
      <c r="A11" s="18" t="s">
        <v>94</v>
      </c>
      <c r="B11" s="29"/>
      <c r="C11" s="20" t="s">
        <v>95</v>
      </c>
      <c r="D11" s="21" t="s">
        <v>96</v>
      </c>
      <c r="E11" s="22" t="s">
        <v>97</v>
      </c>
      <c r="F11" s="22" t="s">
        <v>98</v>
      </c>
      <c r="G11" s="23" t="s">
        <v>19</v>
      </c>
      <c r="H11" s="24">
        <v>150</v>
      </c>
      <c r="I11" s="25" t="s">
        <v>69</v>
      </c>
      <c r="J11" s="26" t="str">
        <f>HYPERLINK("https://github.com/lukehoban/es6features","https://github.com/lukehoban/es6features
")</f>
        <v xml:space="preserve">https://github.com/lukehoban/es6features
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45.75" customHeight="1">
      <c r="A12" s="33"/>
      <c r="B12" s="34"/>
      <c r="C12" s="28"/>
      <c r="D12" s="21" t="s">
        <v>70</v>
      </c>
      <c r="E12" s="22" t="s">
        <v>99</v>
      </c>
      <c r="F12" s="22"/>
      <c r="G12" s="23" t="s">
        <v>24</v>
      </c>
      <c r="H12" s="25">
        <v>240</v>
      </c>
      <c r="I12" s="25" t="s">
        <v>69</v>
      </c>
      <c r="J12" s="23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37.25" customHeight="1">
      <c r="A13" s="18" t="s">
        <v>100</v>
      </c>
      <c r="B13" s="29"/>
      <c r="C13" s="20" t="s">
        <v>101</v>
      </c>
      <c r="D13" s="21" t="s">
        <v>102</v>
      </c>
      <c r="E13" s="22" t="s">
        <v>103</v>
      </c>
      <c r="F13" s="22" t="s">
        <v>104</v>
      </c>
      <c r="G13" s="23" t="s">
        <v>19</v>
      </c>
      <c r="H13" s="24">
        <v>150</v>
      </c>
      <c r="I13" s="25" t="s">
        <v>69</v>
      </c>
      <c r="J13" s="26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45.75" customHeight="1">
      <c r="A14" s="33"/>
      <c r="B14" s="34"/>
      <c r="C14" s="28"/>
      <c r="D14" s="21" t="s">
        <v>36</v>
      </c>
      <c r="E14" s="22" t="s">
        <v>105</v>
      </c>
      <c r="F14" s="22" t="s">
        <v>106</v>
      </c>
      <c r="G14" s="23" t="s">
        <v>107</v>
      </c>
      <c r="H14" s="25">
        <v>30</v>
      </c>
      <c r="I14" s="25" t="s">
        <v>69</v>
      </c>
      <c r="J14" s="23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37.25" customHeight="1">
      <c r="A15" s="18" t="s">
        <v>108</v>
      </c>
      <c r="B15" s="29"/>
      <c r="C15" s="20" t="s">
        <v>109</v>
      </c>
      <c r="D15" s="21" t="s">
        <v>110</v>
      </c>
      <c r="E15" s="22" t="s">
        <v>111</v>
      </c>
      <c r="F15" s="22" t="s">
        <v>112</v>
      </c>
      <c r="G15" s="23" t="s">
        <v>19</v>
      </c>
      <c r="H15" s="24">
        <v>150</v>
      </c>
      <c r="I15" s="25" t="s">
        <v>69</v>
      </c>
      <c r="J15" s="26" t="str">
        <f>HYPERLINK("https://github.com/lukehoban/es6features","
")</f>
        <v xml:space="preserve">
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45.75" customHeight="1">
      <c r="A16" s="33"/>
      <c r="B16" s="34"/>
      <c r="C16" s="28"/>
      <c r="D16" s="21" t="s">
        <v>36</v>
      </c>
      <c r="E16" s="22" t="s">
        <v>105</v>
      </c>
      <c r="F16" s="22" t="s">
        <v>113</v>
      </c>
      <c r="G16" s="23" t="s">
        <v>107</v>
      </c>
      <c r="H16" s="25">
        <v>30</v>
      </c>
      <c r="I16" s="25" t="s">
        <v>69</v>
      </c>
      <c r="J16" s="23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37.25" customHeight="1">
      <c r="A17" s="18" t="s">
        <v>114</v>
      </c>
      <c r="B17" s="29"/>
      <c r="C17" s="20" t="s">
        <v>115</v>
      </c>
      <c r="D17" s="21" t="s">
        <v>116</v>
      </c>
      <c r="E17" s="22" t="s">
        <v>117</v>
      </c>
      <c r="F17" s="22" t="s">
        <v>118</v>
      </c>
      <c r="G17" s="23" t="s">
        <v>19</v>
      </c>
      <c r="H17" s="24">
        <v>150</v>
      </c>
      <c r="I17" s="25" t="s">
        <v>69</v>
      </c>
      <c r="J17" s="26" t="str">
        <f>HYPERLINK("https://github.com/lukehoban/es6features","
")</f>
        <v xml:space="preserve">
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45.75" customHeight="1">
      <c r="A18" s="33"/>
      <c r="B18" s="34"/>
      <c r="C18" s="28"/>
      <c r="D18" s="21" t="s">
        <v>36</v>
      </c>
      <c r="E18" s="22" t="s">
        <v>105</v>
      </c>
      <c r="F18" s="22" t="s">
        <v>119</v>
      </c>
      <c r="G18" s="23" t="s">
        <v>107</v>
      </c>
      <c r="H18" s="25">
        <v>30</v>
      </c>
      <c r="I18" s="25" t="s">
        <v>69</v>
      </c>
      <c r="J18" s="2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37.25" customHeight="1">
      <c r="A19" s="18" t="s">
        <v>120</v>
      </c>
      <c r="B19" s="29"/>
      <c r="C19" s="20" t="s">
        <v>121</v>
      </c>
      <c r="D19" s="21" t="s">
        <v>122</v>
      </c>
      <c r="E19" s="22" t="s">
        <v>123</v>
      </c>
      <c r="F19" s="22" t="s">
        <v>124</v>
      </c>
      <c r="G19" s="23" t="s">
        <v>19</v>
      </c>
      <c r="H19" s="24">
        <v>150</v>
      </c>
      <c r="I19" s="25" t="s">
        <v>69</v>
      </c>
      <c r="J19" s="26" t="str">
        <f>HYPERLINK("https://github.com/lukehoban/es6features","
")</f>
        <v xml:space="preserve">
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45.75" customHeight="1">
      <c r="A20" s="33"/>
      <c r="B20" s="34"/>
      <c r="C20" s="28"/>
      <c r="D20" s="21" t="s">
        <v>70</v>
      </c>
      <c r="E20" s="22" t="s">
        <v>125</v>
      </c>
      <c r="F20" s="22" t="s">
        <v>126</v>
      </c>
      <c r="G20" s="23" t="s">
        <v>107</v>
      </c>
      <c r="H20" s="25">
        <v>240</v>
      </c>
      <c r="I20" s="25" t="s">
        <v>69</v>
      </c>
      <c r="J20" s="2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37.25" customHeight="1">
      <c r="A21" s="18" t="s">
        <v>127</v>
      </c>
      <c r="B21" s="29"/>
      <c r="C21" s="20" t="s">
        <v>128</v>
      </c>
      <c r="D21" s="21" t="s">
        <v>129</v>
      </c>
      <c r="E21" s="22" t="s">
        <v>130</v>
      </c>
      <c r="F21" s="22" t="s">
        <v>131</v>
      </c>
      <c r="G21" s="23" t="s">
        <v>19</v>
      </c>
      <c r="H21" s="24">
        <v>150</v>
      </c>
      <c r="I21" s="25" t="s">
        <v>69</v>
      </c>
      <c r="J21" s="26" t="str">
        <f>HYPERLINK("http://expressjs.com/","http://expressjs.com/
")</f>
        <v xml:space="preserve">http://expressjs.com/
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02" customHeight="1">
      <c r="A22" s="33"/>
      <c r="B22" s="34"/>
      <c r="C22" s="28"/>
      <c r="D22" s="21" t="s">
        <v>70</v>
      </c>
      <c r="E22" s="22" t="s">
        <v>228</v>
      </c>
      <c r="F22" s="22" t="s">
        <v>227</v>
      </c>
      <c r="G22" s="23" t="s">
        <v>107</v>
      </c>
      <c r="H22" s="25">
        <v>240</v>
      </c>
      <c r="I22" s="25" t="s">
        <v>69</v>
      </c>
      <c r="J22" s="23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37.25" customHeight="1">
      <c r="A23" s="18" t="s">
        <v>133</v>
      </c>
      <c r="B23" s="29"/>
      <c r="C23" s="20" t="s">
        <v>134</v>
      </c>
      <c r="D23" s="21" t="s">
        <v>135</v>
      </c>
      <c r="E23" s="22" t="s">
        <v>136</v>
      </c>
      <c r="F23" s="22" t="s">
        <v>137</v>
      </c>
      <c r="G23" s="23" t="s">
        <v>19</v>
      </c>
      <c r="H23" s="24">
        <v>150</v>
      </c>
      <c r="I23" s="25" t="s">
        <v>69</v>
      </c>
      <c r="J23" s="26" t="str">
        <f>HYPERLINK("http://expressjs.com/","http://expressjs.com/
")</f>
        <v xml:space="preserve">http://expressjs.com/
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76.5" customHeight="1">
      <c r="A24" s="33"/>
      <c r="B24" s="34"/>
      <c r="C24" s="28"/>
      <c r="D24" s="21" t="s">
        <v>70</v>
      </c>
      <c r="E24" s="22" t="s">
        <v>228</v>
      </c>
      <c r="F24" s="22" t="s">
        <v>229</v>
      </c>
      <c r="G24" s="23" t="s">
        <v>107</v>
      </c>
      <c r="H24" s="25">
        <v>240</v>
      </c>
      <c r="I24" s="25" t="s">
        <v>69</v>
      </c>
      <c r="J24" s="23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37.25" customHeight="1">
      <c r="A25" s="18" t="s">
        <v>138</v>
      </c>
      <c r="B25" s="29"/>
      <c r="C25" s="20" t="s">
        <v>139</v>
      </c>
      <c r="D25" s="21" t="s">
        <v>140</v>
      </c>
      <c r="E25" s="22" t="s">
        <v>141</v>
      </c>
      <c r="F25" s="22" t="s">
        <v>142</v>
      </c>
      <c r="G25" s="23" t="s">
        <v>19</v>
      </c>
      <c r="H25" s="24">
        <v>150</v>
      </c>
      <c r="I25" s="25" t="s">
        <v>69</v>
      </c>
      <c r="J25" s="26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45.75" customHeight="1">
      <c r="A26" s="33"/>
      <c r="B26" s="34"/>
      <c r="C26" s="28"/>
      <c r="D26" s="21" t="s">
        <v>70</v>
      </c>
      <c r="E26" s="22" t="s">
        <v>230</v>
      </c>
      <c r="F26" s="22"/>
      <c r="G26" s="23" t="s">
        <v>24</v>
      </c>
      <c r="H26" s="25">
        <v>240</v>
      </c>
      <c r="I26" s="25" t="s">
        <v>69</v>
      </c>
      <c r="J26" s="23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51">
      <c r="A27" s="21" t="s">
        <v>38</v>
      </c>
      <c r="B27" s="19"/>
      <c r="C27" s="19"/>
      <c r="D27" s="21" t="s">
        <v>132</v>
      </c>
      <c r="E27" s="22"/>
      <c r="F27" s="22" t="s">
        <v>143</v>
      </c>
      <c r="G27" s="23" t="s">
        <v>26</v>
      </c>
      <c r="H27" s="25"/>
      <c r="I27" s="25" t="s">
        <v>69</v>
      </c>
      <c r="J27" s="23" t="s">
        <v>226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81" customHeight="1">
      <c r="A28" s="18" t="s">
        <v>144</v>
      </c>
      <c r="B28" s="19"/>
      <c r="C28" s="20" t="s">
        <v>145</v>
      </c>
      <c r="D28" s="21" t="s">
        <v>146</v>
      </c>
      <c r="E28" s="22" t="s">
        <v>147</v>
      </c>
      <c r="F28" s="22" t="s">
        <v>148</v>
      </c>
      <c r="G28" s="23" t="s">
        <v>19</v>
      </c>
      <c r="H28" s="24">
        <v>150</v>
      </c>
      <c r="I28" s="25" t="s">
        <v>69</v>
      </c>
      <c r="J28" s="26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58.5" customHeight="1">
      <c r="A29" s="27"/>
      <c r="B29" s="19"/>
      <c r="C29" s="28"/>
      <c r="D29" s="21" t="s">
        <v>70</v>
      </c>
      <c r="E29" s="60" t="s">
        <v>233</v>
      </c>
      <c r="F29" s="59" t="s">
        <v>234</v>
      </c>
      <c r="G29" s="23" t="s">
        <v>22</v>
      </c>
      <c r="H29" s="25">
        <v>240</v>
      </c>
      <c r="I29" s="25" t="s">
        <v>69</v>
      </c>
      <c r="J29" s="23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2.25" customHeight="1">
      <c r="A30" s="18" t="s">
        <v>149</v>
      </c>
      <c r="B30" s="29"/>
      <c r="C30" s="30" t="s">
        <v>150</v>
      </c>
      <c r="D30" s="21" t="s">
        <v>151</v>
      </c>
      <c r="E30" s="22" t="s">
        <v>152</v>
      </c>
      <c r="F30" s="22" t="s">
        <v>153</v>
      </c>
      <c r="G30" s="23" t="s">
        <v>19</v>
      </c>
      <c r="H30" s="24">
        <v>150</v>
      </c>
      <c r="I30" s="25" t="s">
        <v>69</v>
      </c>
      <c r="J30" s="2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60" customHeight="1">
      <c r="A31" s="27"/>
      <c r="B31" s="31"/>
      <c r="C31" s="32"/>
      <c r="D31" s="21" t="s">
        <v>70</v>
      </c>
      <c r="E31" s="62" t="s">
        <v>235</v>
      </c>
      <c r="F31" s="61" t="s">
        <v>236</v>
      </c>
      <c r="G31" s="23" t="s">
        <v>22</v>
      </c>
      <c r="H31" s="25">
        <v>240</v>
      </c>
      <c r="I31" s="25" t="s">
        <v>69</v>
      </c>
      <c r="J31" s="23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37.25" customHeight="1">
      <c r="A32" s="18" t="s">
        <v>154</v>
      </c>
      <c r="B32" s="29"/>
      <c r="C32" s="20" t="s">
        <v>155</v>
      </c>
      <c r="D32" s="21" t="s">
        <v>156</v>
      </c>
      <c r="E32" s="22" t="s">
        <v>157</v>
      </c>
      <c r="F32" s="22" t="s">
        <v>158</v>
      </c>
      <c r="G32" s="23" t="s">
        <v>19</v>
      </c>
      <c r="H32" s="24">
        <v>150</v>
      </c>
      <c r="I32" s="25" t="s">
        <v>69</v>
      </c>
      <c r="J32" s="26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66.75" customHeight="1">
      <c r="A33" s="33"/>
      <c r="B33" s="34"/>
      <c r="C33" s="28"/>
      <c r="D33" s="21" t="s">
        <v>70</v>
      </c>
      <c r="E33" s="63" t="s">
        <v>237</v>
      </c>
      <c r="F33" s="64" t="s">
        <v>238</v>
      </c>
      <c r="G33" s="23" t="s">
        <v>22</v>
      </c>
      <c r="H33" s="25">
        <v>240</v>
      </c>
      <c r="I33" s="25" t="s">
        <v>69</v>
      </c>
      <c r="J33" s="23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37.25" customHeight="1">
      <c r="A34" s="18" t="s">
        <v>159</v>
      </c>
      <c r="B34" s="29"/>
      <c r="C34" s="20" t="s">
        <v>160</v>
      </c>
      <c r="D34" s="21" t="s">
        <v>161</v>
      </c>
      <c r="E34" s="22" t="s">
        <v>162</v>
      </c>
      <c r="F34" s="22" t="s">
        <v>163</v>
      </c>
      <c r="G34" s="23" t="s">
        <v>19</v>
      </c>
      <c r="H34" s="24">
        <v>150</v>
      </c>
      <c r="I34" s="25" t="s">
        <v>69</v>
      </c>
      <c r="J34" s="26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45.75" customHeight="1">
      <c r="A35" s="33"/>
      <c r="B35" s="34"/>
      <c r="C35" s="28"/>
      <c r="D35" s="21" t="s">
        <v>70</v>
      </c>
      <c r="E35" s="65" t="s">
        <v>239</v>
      </c>
      <c r="F35" s="66" t="s">
        <v>240</v>
      </c>
      <c r="G35" s="23" t="s">
        <v>22</v>
      </c>
      <c r="H35" s="25">
        <v>240</v>
      </c>
      <c r="I35" s="25" t="s">
        <v>69</v>
      </c>
      <c r="J35" s="23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37.25" customHeight="1">
      <c r="A36" s="18" t="s">
        <v>164</v>
      </c>
      <c r="B36" s="29"/>
      <c r="C36" s="20" t="s">
        <v>165</v>
      </c>
      <c r="D36" s="21" t="s">
        <v>166</v>
      </c>
      <c r="E36" s="22" t="s">
        <v>167</v>
      </c>
      <c r="F36" s="22" t="s">
        <v>168</v>
      </c>
      <c r="G36" s="23" t="s">
        <v>19</v>
      </c>
      <c r="H36" s="24">
        <v>150</v>
      </c>
      <c r="I36" s="25" t="s">
        <v>69</v>
      </c>
      <c r="J36" s="26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69" customHeight="1">
      <c r="A37" s="33"/>
      <c r="B37" s="34"/>
      <c r="C37" s="28"/>
      <c r="D37" s="21" t="s">
        <v>70</v>
      </c>
      <c r="E37" s="67" t="s">
        <v>241</v>
      </c>
      <c r="F37" s="64" t="s">
        <v>242</v>
      </c>
      <c r="G37" s="23" t="s">
        <v>22</v>
      </c>
      <c r="H37" s="25">
        <v>240</v>
      </c>
      <c r="I37" s="25" t="s">
        <v>69</v>
      </c>
      <c r="J37" s="23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37.25" customHeight="1">
      <c r="A38" s="18" t="s">
        <v>169</v>
      </c>
      <c r="B38" s="29"/>
      <c r="C38" s="20" t="s">
        <v>170</v>
      </c>
      <c r="D38" s="21" t="s">
        <v>171</v>
      </c>
      <c r="E38" s="22" t="s">
        <v>172</v>
      </c>
      <c r="F38" s="57" t="s">
        <v>231</v>
      </c>
      <c r="G38" s="23" t="s">
        <v>19</v>
      </c>
      <c r="H38" s="24">
        <v>150</v>
      </c>
      <c r="I38" s="25" t="s">
        <v>69</v>
      </c>
      <c r="J38" s="26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45.75" customHeight="1">
      <c r="A39" s="33"/>
      <c r="B39" s="34"/>
      <c r="C39" s="28"/>
      <c r="D39" s="21" t="s">
        <v>70</v>
      </c>
      <c r="E39" s="68" t="s">
        <v>243</v>
      </c>
      <c r="F39" s="64" t="s">
        <v>244</v>
      </c>
      <c r="G39" s="23" t="s">
        <v>22</v>
      </c>
      <c r="H39" s="25">
        <v>240</v>
      </c>
      <c r="I39" s="25" t="s">
        <v>69</v>
      </c>
      <c r="J39" s="23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37.25" customHeight="1">
      <c r="A40" s="18" t="s">
        <v>174</v>
      </c>
      <c r="B40" s="29"/>
      <c r="C40" s="20" t="s">
        <v>175</v>
      </c>
      <c r="D40" s="21" t="s">
        <v>176</v>
      </c>
      <c r="E40" s="22" t="s">
        <v>177</v>
      </c>
      <c r="F40" s="58" t="s">
        <v>232</v>
      </c>
      <c r="G40" s="23" t="s">
        <v>19</v>
      </c>
      <c r="H40" s="24">
        <v>150</v>
      </c>
      <c r="I40" s="25" t="s">
        <v>69</v>
      </c>
      <c r="J40" s="26" t="str">
        <f>HYPERLINK("https://github.com/lukehoban/es6features","
")</f>
        <v xml:space="preserve">
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45.75" customHeight="1">
      <c r="A41" s="33"/>
      <c r="B41" s="34"/>
      <c r="C41" s="28"/>
      <c r="D41" s="21" t="s">
        <v>70</v>
      </c>
      <c r="E41" s="69" t="s">
        <v>245</v>
      </c>
      <c r="F41" s="70" t="s">
        <v>246</v>
      </c>
      <c r="G41" s="23" t="s">
        <v>22</v>
      </c>
      <c r="H41" s="25">
        <v>240</v>
      </c>
      <c r="I41" s="25" t="s">
        <v>69</v>
      </c>
      <c r="J41" s="23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37.25" customHeight="1">
      <c r="A42" s="18" t="s">
        <v>181</v>
      </c>
      <c r="B42" s="29"/>
      <c r="C42" s="20" t="s">
        <v>182</v>
      </c>
      <c r="D42" s="21" t="s">
        <v>183</v>
      </c>
      <c r="E42" s="22" t="s">
        <v>179</v>
      </c>
      <c r="F42" s="35" t="s">
        <v>180</v>
      </c>
      <c r="G42" s="23" t="s">
        <v>19</v>
      </c>
      <c r="H42" s="24">
        <v>150</v>
      </c>
      <c r="I42" s="25" t="s">
        <v>69</v>
      </c>
      <c r="J42" s="26" t="str">
        <f>HYPERLINK("https://github.com/lukehoban/es6features","
")</f>
        <v xml:space="preserve">
</v>
      </c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45.75" customHeight="1">
      <c r="A43" s="33"/>
      <c r="B43" s="34"/>
      <c r="C43" s="28"/>
      <c r="D43" s="21" t="s">
        <v>132</v>
      </c>
      <c r="E43" s="71" t="s">
        <v>247</v>
      </c>
      <c r="F43" s="72" t="s">
        <v>248</v>
      </c>
      <c r="G43" s="23" t="s">
        <v>22</v>
      </c>
      <c r="H43" s="25">
        <v>240</v>
      </c>
      <c r="I43" s="25" t="s">
        <v>69</v>
      </c>
      <c r="J43" s="23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37.25" customHeight="1">
      <c r="A44" s="18" t="s">
        <v>186</v>
      </c>
      <c r="B44" s="29"/>
      <c r="C44" s="20" t="s">
        <v>187</v>
      </c>
      <c r="D44" s="21" t="s">
        <v>188</v>
      </c>
      <c r="E44" s="22" t="s">
        <v>184</v>
      </c>
      <c r="F44" s="22" t="s">
        <v>185</v>
      </c>
      <c r="G44" s="23" t="s">
        <v>19</v>
      </c>
      <c r="H44" s="24">
        <v>150</v>
      </c>
      <c r="I44" s="25" t="s">
        <v>69</v>
      </c>
      <c r="J44" s="26" t="str">
        <f>HYPERLINK("https://github.com/lukehoban/es6features","
")</f>
        <v xml:space="preserve">
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45.75" customHeight="1">
      <c r="A45" s="33"/>
      <c r="B45" s="34"/>
      <c r="C45" s="28"/>
      <c r="D45" s="21" t="s">
        <v>70</v>
      </c>
      <c r="E45" s="73" t="s">
        <v>249</v>
      </c>
      <c r="F45" s="74" t="s">
        <v>250</v>
      </c>
      <c r="G45" s="23" t="s">
        <v>22</v>
      </c>
      <c r="H45" s="25">
        <v>240</v>
      </c>
      <c r="I45" s="25" t="s">
        <v>69</v>
      </c>
      <c r="J45" s="23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37.25" customHeight="1">
      <c r="A46" s="18" t="s">
        <v>257</v>
      </c>
      <c r="B46" s="29"/>
      <c r="C46" s="20" t="s">
        <v>258</v>
      </c>
      <c r="D46" s="21" t="s">
        <v>259</v>
      </c>
      <c r="E46" s="22" t="s">
        <v>184</v>
      </c>
      <c r="F46" s="36" t="s">
        <v>189</v>
      </c>
      <c r="G46" s="23" t="s">
        <v>19</v>
      </c>
      <c r="H46" s="24">
        <v>150</v>
      </c>
      <c r="I46" s="25" t="s">
        <v>69</v>
      </c>
      <c r="J46" s="26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45.75" customHeight="1">
      <c r="A47" s="33"/>
      <c r="B47" s="34"/>
      <c r="C47" s="28"/>
      <c r="D47" s="21" t="s">
        <v>70</v>
      </c>
      <c r="E47" s="75" t="s">
        <v>251</v>
      </c>
      <c r="F47" s="64" t="s">
        <v>252</v>
      </c>
      <c r="G47" s="23" t="s">
        <v>22</v>
      </c>
      <c r="H47" s="25">
        <v>240</v>
      </c>
      <c r="I47" s="25" t="s">
        <v>69</v>
      </c>
      <c r="J47" s="23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28.5" customHeight="1">
      <c r="A48" s="21" t="s">
        <v>38</v>
      </c>
      <c r="B48" s="19"/>
      <c r="C48" s="19"/>
      <c r="D48" s="21"/>
      <c r="E48" s="22" t="s">
        <v>253</v>
      </c>
      <c r="F48" s="22"/>
      <c r="G48" s="23" t="s">
        <v>26</v>
      </c>
      <c r="H48" s="25">
        <v>480</v>
      </c>
      <c r="I48" s="25" t="s">
        <v>69</v>
      </c>
      <c r="J48" s="23" t="s">
        <v>254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2.75" customHeight="1">
      <c r="A49" s="14"/>
      <c r="B49" s="14"/>
      <c r="C49" s="14"/>
      <c r="D49" s="37"/>
      <c r="E49" s="14"/>
      <c r="F49" s="14"/>
      <c r="G49" s="38" t="s">
        <v>19</v>
      </c>
      <c r="H49" s="39">
        <f>SUMIF(G$3:G$48,G49,H$3:H$48)</f>
        <v>3300</v>
      </c>
      <c r="I49" s="39"/>
      <c r="J49" s="40">
        <f>H49/$H$54</f>
        <v>0.3914590747330961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2.75" customHeight="1">
      <c r="A50" s="14"/>
      <c r="B50" s="14"/>
      <c r="C50" s="14"/>
      <c r="D50" s="37"/>
      <c r="E50" s="14"/>
      <c r="F50" s="14"/>
      <c r="G50" s="38" t="s">
        <v>22</v>
      </c>
      <c r="H50" s="39">
        <f t="shared" ref="H50:H53" si="0">SUMIF(G$3:G$48,G50,H$3:H$48)</f>
        <v>3360</v>
      </c>
      <c r="I50" s="39"/>
      <c r="J50" s="40">
        <f>H50/$H$54</f>
        <v>0.39857651245551601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2.75" customHeight="1">
      <c r="A51" s="14"/>
      <c r="B51" s="14"/>
      <c r="C51" s="14"/>
      <c r="D51" s="37"/>
      <c r="E51" s="14"/>
      <c r="F51" s="14"/>
      <c r="G51" s="38" t="s">
        <v>24</v>
      </c>
      <c r="H51" s="39">
        <f t="shared" si="0"/>
        <v>480</v>
      </c>
      <c r="I51" s="39"/>
      <c r="J51" s="40">
        <f>H51/$H$54</f>
        <v>5.6939501779359428E-2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2.75" customHeight="1">
      <c r="A52" s="14"/>
      <c r="B52" s="14"/>
      <c r="C52" s="14"/>
      <c r="D52" s="37"/>
      <c r="E52" s="14"/>
      <c r="F52" s="14"/>
      <c r="G52" s="38" t="s">
        <v>107</v>
      </c>
      <c r="H52" s="39">
        <f t="shared" si="0"/>
        <v>810</v>
      </c>
      <c r="I52" s="39"/>
      <c r="J52" s="40">
        <f>H52/$H$54</f>
        <v>9.6085409252669035E-2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2.75" customHeight="1">
      <c r="A53" s="14"/>
      <c r="B53" s="14"/>
      <c r="C53" s="14"/>
      <c r="D53" s="37"/>
      <c r="E53" s="14"/>
      <c r="F53" s="14"/>
      <c r="G53" s="38" t="s">
        <v>26</v>
      </c>
      <c r="H53" s="39">
        <f t="shared" si="0"/>
        <v>480</v>
      </c>
      <c r="I53" s="39"/>
      <c r="J53" s="40">
        <f>H53/$H$54</f>
        <v>5.6939501779359428E-2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2.75" customHeight="1">
      <c r="A54" s="14"/>
      <c r="B54" s="14"/>
      <c r="C54" s="14"/>
      <c r="D54" s="37"/>
      <c r="E54" s="14"/>
      <c r="F54" s="14"/>
      <c r="G54" s="38" t="s">
        <v>190</v>
      </c>
      <c r="H54" s="41">
        <f>SUM(H49:H53)</f>
        <v>8430</v>
      </c>
      <c r="I54" s="41"/>
      <c r="J54" s="42">
        <f>SUM(J49:J53)</f>
        <v>1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</sheetData>
  <autoFilter ref="A2:J48"/>
  <mergeCells count="2">
    <mergeCell ref="A1:J1"/>
    <mergeCell ref="A2:B2"/>
  </mergeCells>
  <dataValidations count="1">
    <dataValidation type="list" allowBlank="1" showInputMessage="1" showErrorMessage="1" prompt=" - " sqref="G3:G48">
      <formula1>"Concept/Lecture,Assignment/Lab,Test/Quiz,Exam,Guides/Review,Seminar/Workshop,Class Meeting"</formula1>
      <formula2>0</formula2>
    </dataValidation>
  </dataValidations>
  <pageMargins left="0.7" right="0.7" top="0.75" bottom="0.75" header="0.51180555555555496" footer="0.51180555555555496"/>
  <pageSetup firstPageNumber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0"/>
  <sheetViews>
    <sheetView zoomScaleNormal="100" workbookViewId="0">
      <pane ySplit="2" topLeftCell="A3" activePane="bottomLeft" state="frozen"/>
      <selection pane="bottomLeft" activeCell="B4" sqref="B4"/>
    </sheetView>
  </sheetViews>
  <sheetFormatPr defaultRowHeight="12.75"/>
  <cols>
    <col min="1" max="1" width="8.5703125"/>
    <col min="2" max="2" width="17.140625"/>
    <col min="3" max="3" width="7.28515625"/>
    <col min="4" max="4" width="11"/>
    <col min="5" max="5" width="29.5703125"/>
    <col min="6" max="6" width="22.140625"/>
    <col min="7" max="7" width="16.42578125"/>
    <col min="8" max="9" width="9"/>
    <col min="10" max="10" width="44.85546875"/>
    <col min="11" max="20" width="8.7109375"/>
    <col min="21" max="26" width="7.85546875"/>
    <col min="27" max="1025" width="14.140625"/>
  </cols>
  <sheetData>
    <row r="1" spans="1:26" ht="36.75" customHeight="1">
      <c r="A1" s="93" t="s">
        <v>191</v>
      </c>
      <c r="B1" s="93"/>
      <c r="C1" s="93"/>
      <c r="D1" s="93"/>
      <c r="E1" s="93"/>
      <c r="F1" s="93"/>
      <c r="G1" s="93"/>
      <c r="H1" s="93"/>
      <c r="I1" s="93"/>
      <c r="J1" s="93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39" customHeight="1">
      <c r="A2" s="94" t="s">
        <v>55</v>
      </c>
      <c r="B2" s="94"/>
      <c r="C2" s="16" t="s">
        <v>56</v>
      </c>
      <c r="D2" s="17" t="s">
        <v>57</v>
      </c>
      <c r="E2" s="15" t="s">
        <v>58</v>
      </c>
      <c r="F2" s="15" t="s">
        <v>59</v>
      </c>
      <c r="G2" s="17" t="s">
        <v>60</v>
      </c>
      <c r="H2" s="17" t="s">
        <v>61</v>
      </c>
      <c r="I2" s="17" t="s">
        <v>62</v>
      </c>
      <c r="J2" s="17" t="s">
        <v>63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81" customHeight="1">
      <c r="A3" s="18" t="s">
        <v>64</v>
      </c>
      <c r="B3" s="19"/>
      <c r="C3" s="20" t="s">
        <v>65</v>
      </c>
      <c r="D3" s="21" t="s">
        <v>66</v>
      </c>
      <c r="E3" s="22" t="s">
        <v>147</v>
      </c>
      <c r="F3" s="22" t="s">
        <v>148</v>
      </c>
      <c r="G3" s="23" t="s">
        <v>19</v>
      </c>
      <c r="H3" s="24">
        <v>150</v>
      </c>
      <c r="I3" s="25" t="s">
        <v>69</v>
      </c>
      <c r="J3" s="26" t="str">
        <f>HYPERLINK("https://www.w3schools.com/js/","https://www.w3schools.com/js/")</f>
        <v>https://www.w3schools.com/js/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58.5" customHeight="1">
      <c r="A4" s="27"/>
      <c r="B4" s="19"/>
      <c r="C4" s="28"/>
      <c r="D4" s="21" t="s">
        <v>132</v>
      </c>
      <c r="E4" s="22"/>
      <c r="F4" s="22"/>
      <c r="G4" s="23" t="s">
        <v>107</v>
      </c>
      <c r="H4" s="25">
        <v>30</v>
      </c>
      <c r="I4" s="25" t="s">
        <v>69</v>
      </c>
      <c r="J4" s="23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22.25" customHeight="1">
      <c r="A5" s="18" t="s">
        <v>73</v>
      </c>
      <c r="B5" s="29"/>
      <c r="C5" s="30" t="s">
        <v>74</v>
      </c>
      <c r="D5" s="21" t="s">
        <v>75</v>
      </c>
      <c r="E5" s="22" t="s">
        <v>152</v>
      </c>
      <c r="F5" s="22" t="s">
        <v>153</v>
      </c>
      <c r="G5" s="23" t="s">
        <v>19</v>
      </c>
      <c r="H5" s="24">
        <v>150</v>
      </c>
      <c r="I5" s="25" t="s">
        <v>69</v>
      </c>
      <c r="J5" s="22" t="s">
        <v>78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60" customHeight="1">
      <c r="A6" s="27"/>
      <c r="B6" s="31"/>
      <c r="C6" s="32"/>
      <c r="D6" s="21" t="s">
        <v>132</v>
      </c>
      <c r="E6" s="22"/>
      <c r="F6" s="22"/>
      <c r="G6" s="23" t="s">
        <v>107</v>
      </c>
      <c r="H6" s="25">
        <v>30</v>
      </c>
      <c r="I6" s="25" t="s">
        <v>69</v>
      </c>
      <c r="J6" s="23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37.25" customHeight="1">
      <c r="A7" s="18" t="s">
        <v>81</v>
      </c>
      <c r="B7" s="29"/>
      <c r="C7" s="20" t="s">
        <v>82</v>
      </c>
      <c r="D7" s="21" t="s">
        <v>83</v>
      </c>
      <c r="E7" s="22" t="s">
        <v>157</v>
      </c>
      <c r="F7" s="22" t="s">
        <v>158</v>
      </c>
      <c r="G7" s="23" t="s">
        <v>19</v>
      </c>
      <c r="H7" s="24">
        <v>150</v>
      </c>
      <c r="I7" s="25" t="s">
        <v>69</v>
      </c>
      <c r="J7" s="26" t="str">
        <f>HYPERLINK("https://github.com/lukehoban/es6features","https://github.com/lukehoban/es6features
")</f>
        <v xml:space="preserve">https://github.com/lukehoban/es6features
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45.75" customHeight="1">
      <c r="A8" s="33"/>
      <c r="B8" s="34"/>
      <c r="C8" s="28"/>
      <c r="D8" s="21" t="s">
        <v>132</v>
      </c>
      <c r="E8" s="22"/>
      <c r="F8" s="22"/>
      <c r="G8" s="23" t="s">
        <v>107</v>
      </c>
      <c r="H8" s="25">
        <v>30</v>
      </c>
      <c r="I8" s="25" t="s">
        <v>69</v>
      </c>
      <c r="J8" s="23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37.25" customHeight="1">
      <c r="A9" s="18" t="s">
        <v>87</v>
      </c>
      <c r="B9" s="29"/>
      <c r="C9" s="20" t="s">
        <v>88</v>
      </c>
      <c r="D9" s="21" t="s">
        <v>89</v>
      </c>
      <c r="E9" s="22" t="s">
        <v>162</v>
      </c>
      <c r="F9" s="22" t="s">
        <v>163</v>
      </c>
      <c r="G9" s="23" t="s">
        <v>19</v>
      </c>
      <c r="H9" s="24">
        <v>150</v>
      </c>
      <c r="I9" s="25" t="s">
        <v>69</v>
      </c>
      <c r="J9" s="26" t="str">
        <f>HYPERLINK("https://github.com/lukehoban/es6features","https://github.com/lukehoban/es6features
")</f>
        <v xml:space="preserve">https://github.com/lukehoban/es6features
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45.75" customHeight="1">
      <c r="A10" s="33"/>
      <c r="B10" s="34"/>
      <c r="C10" s="28"/>
      <c r="D10" s="21" t="s">
        <v>132</v>
      </c>
      <c r="E10" s="22"/>
      <c r="F10" s="22"/>
      <c r="G10" s="23" t="s">
        <v>107</v>
      </c>
      <c r="H10" s="25">
        <v>30</v>
      </c>
      <c r="I10" s="25" t="s">
        <v>69</v>
      </c>
      <c r="J10" s="23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37.25" customHeight="1">
      <c r="A11" s="18" t="s">
        <v>94</v>
      </c>
      <c r="B11" s="29"/>
      <c r="C11" s="20" t="s">
        <v>95</v>
      </c>
      <c r="D11" s="21" t="s">
        <v>96</v>
      </c>
      <c r="E11" s="22" t="s">
        <v>167</v>
      </c>
      <c r="F11" s="22" t="s">
        <v>168</v>
      </c>
      <c r="G11" s="23" t="s">
        <v>19</v>
      </c>
      <c r="H11" s="24">
        <v>150</v>
      </c>
      <c r="I11" s="25" t="s">
        <v>69</v>
      </c>
      <c r="J11" s="26" t="str">
        <f>HYPERLINK("https://github.com/lukehoban/es6features","https://github.com/lukehoban/es6features
")</f>
        <v xml:space="preserve">https://github.com/lukehoban/es6features
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45.75" customHeight="1">
      <c r="A12" s="33"/>
      <c r="B12" s="34"/>
      <c r="C12" s="28"/>
      <c r="D12" s="21" t="s">
        <v>132</v>
      </c>
      <c r="E12" s="22"/>
      <c r="F12" s="22"/>
      <c r="G12" s="23" t="s">
        <v>107</v>
      </c>
      <c r="H12" s="25">
        <v>30</v>
      </c>
      <c r="I12" s="25" t="s">
        <v>69</v>
      </c>
      <c r="J12" s="23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37.25" customHeight="1">
      <c r="A13" s="18" t="s">
        <v>100</v>
      </c>
      <c r="B13" s="29"/>
      <c r="C13" s="20" t="s">
        <v>101</v>
      </c>
      <c r="D13" s="21" t="s">
        <v>102</v>
      </c>
      <c r="E13" s="22" t="s">
        <v>172</v>
      </c>
      <c r="F13" s="35" t="s">
        <v>173</v>
      </c>
      <c r="G13" s="23" t="s">
        <v>19</v>
      </c>
      <c r="H13" s="24">
        <v>150</v>
      </c>
      <c r="I13" s="25" t="s">
        <v>69</v>
      </c>
      <c r="J13" s="26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45.75" customHeight="1">
      <c r="A14" s="33"/>
      <c r="B14" s="34"/>
      <c r="C14" s="28"/>
      <c r="D14" s="21" t="s">
        <v>132</v>
      </c>
      <c r="E14" s="22"/>
      <c r="F14" s="22"/>
      <c r="G14" s="23" t="s">
        <v>107</v>
      </c>
      <c r="H14" s="25">
        <v>30</v>
      </c>
      <c r="I14" s="25" t="s">
        <v>69</v>
      </c>
      <c r="J14" s="23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37.25" customHeight="1">
      <c r="A15" s="18" t="s">
        <v>108</v>
      </c>
      <c r="B15" s="29"/>
      <c r="C15" s="20" t="s">
        <v>109</v>
      </c>
      <c r="D15" s="21" t="s">
        <v>110</v>
      </c>
      <c r="E15" s="22" t="s">
        <v>177</v>
      </c>
      <c r="F15" s="35" t="s">
        <v>178</v>
      </c>
      <c r="G15" s="23" t="s">
        <v>19</v>
      </c>
      <c r="H15" s="24">
        <v>150</v>
      </c>
      <c r="I15" s="25" t="s">
        <v>69</v>
      </c>
      <c r="J15" s="26" t="str">
        <f>HYPERLINK("https://github.com/lukehoban/es6features","
")</f>
        <v xml:space="preserve">
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45.75" customHeight="1">
      <c r="A16" s="33"/>
      <c r="B16" s="34"/>
      <c r="C16" s="28"/>
      <c r="D16" s="21" t="s">
        <v>132</v>
      </c>
      <c r="E16" s="22"/>
      <c r="F16" s="22"/>
      <c r="G16" s="23" t="s">
        <v>107</v>
      </c>
      <c r="H16" s="25">
        <v>30</v>
      </c>
      <c r="I16" s="25" t="s">
        <v>69</v>
      </c>
      <c r="J16" s="23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37.25" customHeight="1">
      <c r="A17" s="18" t="s">
        <v>114</v>
      </c>
      <c r="B17" s="29"/>
      <c r="C17" s="20" t="s">
        <v>115</v>
      </c>
      <c r="D17" s="21" t="s">
        <v>116</v>
      </c>
      <c r="E17" s="22" t="s">
        <v>179</v>
      </c>
      <c r="F17" s="35" t="s">
        <v>180</v>
      </c>
      <c r="G17" s="23" t="s">
        <v>19</v>
      </c>
      <c r="H17" s="24">
        <v>150</v>
      </c>
      <c r="I17" s="25" t="s">
        <v>69</v>
      </c>
      <c r="J17" s="26" t="str">
        <f>HYPERLINK("https://github.com/lukehoban/es6features","
")</f>
        <v xml:space="preserve">
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45.75" customHeight="1">
      <c r="A18" s="33"/>
      <c r="B18" s="34"/>
      <c r="C18" s="28"/>
      <c r="D18" s="21" t="s">
        <v>132</v>
      </c>
      <c r="E18" s="22"/>
      <c r="F18" s="22"/>
      <c r="G18" s="23" t="s">
        <v>107</v>
      </c>
      <c r="H18" s="25">
        <v>30</v>
      </c>
      <c r="I18" s="25" t="s">
        <v>69</v>
      </c>
      <c r="J18" s="2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37.25" customHeight="1">
      <c r="A19" s="18" t="s">
        <v>120</v>
      </c>
      <c r="B19" s="29"/>
      <c r="C19" s="20" t="s">
        <v>121</v>
      </c>
      <c r="D19" s="21" t="s">
        <v>122</v>
      </c>
      <c r="E19" s="22" t="s">
        <v>184</v>
      </c>
      <c r="F19" s="22" t="s">
        <v>185</v>
      </c>
      <c r="G19" s="23" t="s">
        <v>19</v>
      </c>
      <c r="H19" s="24">
        <v>150</v>
      </c>
      <c r="I19" s="25" t="s">
        <v>69</v>
      </c>
      <c r="J19" s="26" t="str">
        <f>HYPERLINK("https://github.com/lukehoban/es6features","
")</f>
        <v xml:space="preserve">
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45.75" customHeight="1">
      <c r="A20" s="33"/>
      <c r="B20" s="34"/>
      <c r="C20" s="28"/>
      <c r="D20" s="21" t="s">
        <v>132</v>
      </c>
      <c r="E20" s="22"/>
      <c r="F20" s="22"/>
      <c r="G20" s="23" t="s">
        <v>107</v>
      </c>
      <c r="H20" s="25">
        <v>30</v>
      </c>
      <c r="I20" s="25" t="s">
        <v>69</v>
      </c>
      <c r="J20" s="2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37.25" customHeight="1">
      <c r="A21" s="18" t="s">
        <v>127</v>
      </c>
      <c r="B21" s="29"/>
      <c r="C21" s="20" t="s">
        <v>128</v>
      </c>
      <c r="D21" s="21" t="s">
        <v>129</v>
      </c>
      <c r="E21" s="22" t="s">
        <v>184</v>
      </c>
      <c r="F21" s="36" t="s">
        <v>189</v>
      </c>
      <c r="G21" s="23" t="s">
        <v>19</v>
      </c>
      <c r="H21" s="24">
        <v>150</v>
      </c>
      <c r="I21" s="25" t="s">
        <v>69</v>
      </c>
      <c r="J21" s="26" t="str">
        <f>HYPERLINK("http://expressjs.com/","http://expressjs.com/
")</f>
        <v xml:space="preserve">http://expressjs.com/
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45.75" customHeight="1">
      <c r="A22" s="33"/>
      <c r="B22" s="34"/>
      <c r="C22" s="28"/>
      <c r="D22" s="21" t="s">
        <v>132</v>
      </c>
      <c r="E22" s="22"/>
      <c r="F22" s="22"/>
      <c r="G22" s="23" t="s">
        <v>107</v>
      </c>
      <c r="H22" s="25">
        <v>30</v>
      </c>
      <c r="I22" s="25" t="s">
        <v>69</v>
      </c>
      <c r="J22" s="23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7.25" customHeight="1">
      <c r="A23" s="21" t="s">
        <v>38</v>
      </c>
      <c r="B23" s="19"/>
      <c r="C23" s="19"/>
      <c r="D23" s="21"/>
      <c r="E23" s="22"/>
      <c r="F23" s="22"/>
      <c r="G23" s="23" t="s">
        <v>26</v>
      </c>
      <c r="H23" s="25">
        <v>60</v>
      </c>
      <c r="I23" s="25" t="s">
        <v>69</v>
      </c>
      <c r="J23" s="23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4"/>
      <c r="B24" s="14"/>
      <c r="C24" s="14"/>
      <c r="D24" s="37"/>
      <c r="E24" s="14"/>
      <c r="F24" s="14"/>
      <c r="G24" s="14"/>
      <c r="H24" s="43"/>
      <c r="I24" s="43"/>
      <c r="J24" s="43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4"/>
      <c r="B25" s="14"/>
      <c r="C25" s="14"/>
      <c r="D25" s="37"/>
      <c r="E25" s="14"/>
      <c r="F25" s="14"/>
      <c r="G25" s="38" t="s">
        <v>19</v>
      </c>
      <c r="H25" s="39">
        <f>SUMIF(G$3:G$8,G25,H$3:H$8)</f>
        <v>450</v>
      </c>
      <c r="I25" s="39"/>
      <c r="J25" s="40">
        <f>H25/$H$30</f>
        <v>0.83333333333333337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4"/>
      <c r="B26" s="14"/>
      <c r="C26" s="14"/>
      <c r="D26" s="37"/>
      <c r="E26" s="14"/>
      <c r="F26" s="14"/>
      <c r="G26" s="38" t="s">
        <v>22</v>
      </c>
      <c r="H26" s="39">
        <f>SUMIF(G$3:G$8,G26,H$3:H$8)</f>
        <v>0</v>
      </c>
      <c r="I26" s="39"/>
      <c r="J26" s="40">
        <f>H26/$H$30</f>
        <v>0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A27" s="14"/>
      <c r="B27" s="14"/>
      <c r="C27" s="14"/>
      <c r="D27" s="37"/>
      <c r="E27" s="14"/>
      <c r="F27" s="14"/>
      <c r="G27" s="38" t="s">
        <v>24</v>
      </c>
      <c r="H27" s="39">
        <f>SUMIF(G$3:G$8,G27,H$3:H$8)</f>
        <v>0</v>
      </c>
      <c r="I27" s="39"/>
      <c r="J27" s="40">
        <f>H27/$H$30</f>
        <v>0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4"/>
      <c r="B28" s="14"/>
      <c r="C28" s="14"/>
      <c r="D28" s="37"/>
      <c r="E28" s="14"/>
      <c r="F28" s="14"/>
      <c r="G28" s="38" t="s">
        <v>107</v>
      </c>
      <c r="H28" s="39">
        <f>SUMIF(G$3:G$8,G28,H$3:H$8)</f>
        <v>90</v>
      </c>
      <c r="I28" s="39"/>
      <c r="J28" s="40">
        <f>H28/$H$30</f>
        <v>0.16666666666666666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4"/>
      <c r="B29" s="14"/>
      <c r="C29" s="14"/>
      <c r="D29" s="37"/>
      <c r="E29" s="14"/>
      <c r="F29" s="14"/>
      <c r="G29" s="38" t="s">
        <v>26</v>
      </c>
      <c r="H29" s="39">
        <f>SUMIF(G$3:G$8,G29,H$3:H$8)</f>
        <v>0</v>
      </c>
      <c r="I29" s="39"/>
      <c r="J29" s="40">
        <f>H29/$H$30</f>
        <v>0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4"/>
      <c r="B30" s="14"/>
      <c r="C30" s="14"/>
      <c r="D30" s="37"/>
      <c r="E30" s="14"/>
      <c r="F30" s="14"/>
      <c r="G30" s="38" t="s">
        <v>190</v>
      </c>
      <c r="H30" s="41">
        <f>SUM(H25:H29)</f>
        <v>540</v>
      </c>
      <c r="I30" s="41"/>
      <c r="J30" s="42">
        <f>SUM(J25:J29)</f>
        <v>1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</sheetData>
  <autoFilter ref="A2:J23"/>
  <mergeCells count="2">
    <mergeCell ref="A1:J1"/>
    <mergeCell ref="A2:B2"/>
  </mergeCells>
  <dataValidations count="1">
    <dataValidation type="list" allowBlank="1" showInputMessage="1" showErrorMessage="1" prompt=" - " sqref="G3:G23">
      <formula1>"Concept/Lecture,Assignment/Lab,Test/Quiz,Exam,Guides/Review,Seminar/Workshop,Class Meeting"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zoomScaleNormal="100" workbookViewId="0">
      <selection sqref="A1:G1"/>
    </sheetView>
  </sheetViews>
  <sheetFormatPr defaultRowHeight="12.75"/>
  <cols>
    <col min="1" max="1" width="3.140625"/>
    <col min="2" max="2" width="14.140625"/>
    <col min="3" max="3" width="23"/>
    <col min="4" max="4" width="15.5703125"/>
    <col min="5" max="5" width="14.5703125"/>
    <col min="6" max="6" width="15.85546875"/>
    <col min="7" max="7" width="9.28515625"/>
    <col min="8" max="17" width="9"/>
    <col min="18" max="26" width="7.85546875"/>
    <col min="27" max="1025" width="14.140625"/>
  </cols>
  <sheetData>
    <row r="1" spans="1:26" ht="20.25" customHeight="1">
      <c r="A1" s="95" t="s">
        <v>192</v>
      </c>
      <c r="B1" s="95"/>
      <c r="C1" s="95"/>
      <c r="D1" s="95"/>
      <c r="E1" s="95"/>
      <c r="F1" s="95"/>
      <c r="G1" s="95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2.75" customHeight="1">
      <c r="A2" s="45"/>
      <c r="B2" s="46" t="s">
        <v>193</v>
      </c>
      <c r="C2" s="46" t="s">
        <v>12</v>
      </c>
      <c r="D2" s="46" t="s">
        <v>194</v>
      </c>
      <c r="E2" s="46" t="s">
        <v>195</v>
      </c>
      <c r="F2" s="46" t="s">
        <v>196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2.75" customHeight="1">
      <c r="A3" s="45"/>
      <c r="B3" s="47" t="s">
        <v>197</v>
      </c>
      <c r="C3" s="48"/>
      <c r="D3" s="48"/>
      <c r="E3" s="48" t="s">
        <v>198</v>
      </c>
      <c r="F3" s="48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2.75" customHeight="1">
      <c r="A4" s="45"/>
      <c r="B4" s="49" t="s">
        <v>199</v>
      </c>
      <c r="C4" s="48"/>
      <c r="D4" s="48"/>
      <c r="E4" s="48"/>
      <c r="F4" s="48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2.75" customHeight="1">
      <c r="A5" s="45"/>
      <c r="B5" s="49" t="s">
        <v>200</v>
      </c>
      <c r="C5" s="48"/>
      <c r="D5" s="48"/>
      <c r="E5" s="48"/>
      <c r="F5" s="48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20.25" customHeight="1">
      <c r="A6" s="95" t="s">
        <v>201</v>
      </c>
      <c r="B6" s="95"/>
      <c r="C6" s="95"/>
      <c r="D6" s="95"/>
      <c r="E6" s="95"/>
      <c r="F6" s="95"/>
      <c r="G6" s="95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2.75" customHeight="1">
      <c r="A7" s="45" t="s">
        <v>202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2.75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25.5" customHeight="1">
      <c r="A9" s="45"/>
      <c r="B9" s="46" t="s">
        <v>203</v>
      </c>
      <c r="C9" s="46" t="s">
        <v>204</v>
      </c>
      <c r="D9" s="46"/>
      <c r="E9" s="46" t="s">
        <v>205</v>
      </c>
      <c r="F9" s="46" t="s">
        <v>206</v>
      </c>
      <c r="G9" s="46" t="s">
        <v>6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2.75" customHeight="1">
      <c r="A10" s="45"/>
      <c r="B10" s="50">
        <v>42832</v>
      </c>
      <c r="C10" s="51"/>
      <c r="D10" s="51"/>
      <c r="E10" s="51"/>
      <c r="F10" s="51"/>
      <c r="G10" s="51" t="s">
        <v>207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2.75" customHeight="1">
      <c r="A11" s="45"/>
      <c r="B11" s="51"/>
      <c r="C11" s="51"/>
      <c r="D11" s="51"/>
      <c r="E11" s="51"/>
      <c r="F11" s="51"/>
      <c r="G11" s="51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2.75" customHeight="1">
      <c r="A12" s="45"/>
      <c r="B12" s="51"/>
      <c r="C12" s="51"/>
      <c r="D12" s="51"/>
      <c r="E12" s="51"/>
      <c r="F12" s="51"/>
      <c r="G12" s="51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2.75" customHeight="1">
      <c r="A13" s="45"/>
      <c r="B13" s="51"/>
      <c r="C13" s="51"/>
      <c r="D13" s="51"/>
      <c r="E13" s="51"/>
      <c r="F13" s="51"/>
      <c r="G13" s="51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2.75" customHeight="1">
      <c r="A14" s="45"/>
      <c r="B14" s="51"/>
      <c r="C14" s="51"/>
      <c r="D14" s="51"/>
      <c r="E14" s="51"/>
      <c r="F14" s="51"/>
      <c r="G14" s="51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2.75" customHeight="1">
      <c r="A15" s="45"/>
      <c r="B15" s="51"/>
      <c r="C15" s="51"/>
      <c r="D15" s="51"/>
      <c r="E15" s="51"/>
      <c r="F15" s="51"/>
      <c r="G15" s="51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2.75" customHeight="1">
      <c r="A16" s="45"/>
      <c r="B16" s="51"/>
      <c r="C16" s="51"/>
      <c r="D16" s="51"/>
      <c r="E16" s="51"/>
      <c r="F16" s="51"/>
      <c r="G16" s="51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</sheetData>
  <mergeCells count="2">
    <mergeCell ref="A1:G1"/>
    <mergeCell ref="A6:G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"/>
  <sheetViews>
    <sheetView zoomScaleNormal="100" workbookViewId="0"/>
  </sheetViews>
  <sheetFormatPr defaultRowHeight="12.75"/>
  <cols>
    <col min="1" max="256" width="7.85546875"/>
    <col min="257" max="1025" width="14.140625"/>
  </cols>
  <sheetData>
    <row r="1" spans="1:256" ht="12.75" customHeight="1">
      <c r="A1" s="52" t="e">
        <f>IF('&lt;Front_end&gt;_Syllabus'!$A1:$IV1,"AAAAAH7b/wA=",0)</f>
        <v>#VALUE!</v>
      </c>
      <c r="B1" s="52" t="e">
        <f>AND('&lt;Front_end&gt;_Syllabus'!#REF!,"AAAAAH7b/wE=")</f>
        <v>#REF!</v>
      </c>
      <c r="C1" s="52" t="e">
        <f>AND('&lt;Front_end&gt;_Syllabus'!B1,"AAAAAH7b/wI=")</f>
        <v>#VALUE!</v>
      </c>
      <c r="D1" s="52" t="e">
        <f>AND('&lt;Front_end&gt;_Syllabus'!C1,"AAAAAH7b/wM=")</f>
        <v>#VALUE!</v>
      </c>
      <c r="E1" s="52" t="e">
        <f>AND('&lt;Front_end&gt;_Syllabus'!D1,"AAAAAH7b/wQ=")</f>
        <v>#VALUE!</v>
      </c>
      <c r="F1" s="52" t="e">
        <f>AND('&lt;Front_end&gt;_Syllabus'!E1,"AAAAAH7b/wU=")</f>
        <v>#VALUE!</v>
      </c>
      <c r="G1" s="52" t="e">
        <f>AND('&lt;Front_end&gt;_Syllabus'!F1,"AAAAAH7b/wY=")</f>
        <v>#VALUE!</v>
      </c>
      <c r="H1" s="52" t="e">
        <f>AND('&lt;Front_end&gt;_Syllabus'!G1,"AAAAAH7b/wc=")</f>
        <v>#VALUE!</v>
      </c>
      <c r="I1" s="52">
        <f>IF('&lt;Front_end&gt;_Syllabus'!$A2:$IV2,"AAAAAH7b/wg=",0)</f>
        <v>0</v>
      </c>
      <c r="J1" s="52" t="e">
        <f>AND('&lt;Front_end&gt;_Syllabus'!A2,"AAAAAH7b/wk=")</f>
        <v>#VALUE!</v>
      </c>
      <c r="K1" s="52" t="e">
        <f>AND('&lt;Front_end&gt;_Syllabus'!B2,"AAAAAH7b/wo=")</f>
        <v>#VALUE!</v>
      </c>
      <c r="L1" s="52" t="e">
        <f>AND('&lt;Front_end&gt;_Syllabus'!C2,"AAAAAH7b/ws=")</f>
        <v>#VALUE!</v>
      </c>
      <c r="M1" s="52" t="e">
        <f>AND('&lt;Front_end&gt;_Syllabus'!D2,"AAAAAH7b/ww=")</f>
        <v>#VALUE!</v>
      </c>
      <c r="N1" s="52" t="e">
        <f>AND('&lt;Front_end&gt;_Syllabus'!E2,"AAAAAH7b/w0=")</f>
        <v>#VALUE!</v>
      </c>
      <c r="O1" s="52" t="e">
        <f>AND('&lt;Front_end&gt;_Syllabus'!F2,"AAAAAH7b/w4=")</f>
        <v>#VALUE!</v>
      </c>
      <c r="P1" s="52" t="e">
        <f>AND('&lt;Front_end&gt;_Syllabus'!G2,"AAAAAH7b/w8=")</f>
        <v>#VALUE!</v>
      </c>
      <c r="Q1" s="52">
        <f>IF('&lt;Front_end&gt;_Syllabus'!$A5:$IV5,"AAAAAH7b/xA=",0)</f>
        <v>0</v>
      </c>
      <c r="R1" s="52" t="e">
        <f>AND('&lt;Front_end&gt;_Syllabus'!A5,"AAAAAH7b/xE=")</f>
        <v>#VALUE!</v>
      </c>
      <c r="S1" s="52" t="e">
        <f>AND('&lt;Front_end&gt;_Syllabus'!B5,"AAAAAH7b/xI=")</f>
        <v>#VALUE!</v>
      </c>
      <c r="T1" s="52" t="e">
        <f>AND('&lt;Front_end&gt;_Syllabus'!C5,"AAAAAH7b/xM=")</f>
        <v>#VALUE!</v>
      </c>
      <c r="U1" s="52" t="e">
        <f>AND('&lt;Front_end&gt;_Syllabus'!D5,"AAAAAH7b/xQ=")</f>
        <v>#VALUE!</v>
      </c>
      <c r="V1" s="52" t="e">
        <f>AND('&lt;Front_end&gt;_Syllabus'!E5,"AAAAAH7b/xU=")</f>
        <v>#VALUE!</v>
      </c>
      <c r="W1" s="52" t="e">
        <f>AND('&lt;Front_end&gt;_Syllabus'!F5,"AAAAAH7b/xY=")</f>
        <v>#VALUE!</v>
      </c>
      <c r="X1" s="52" t="e">
        <f>AND('&lt;Front_end&gt;_Syllabus'!G5,"AAAAAH7b/xc=")</f>
        <v>#VALUE!</v>
      </c>
      <c r="Y1" s="52">
        <f>IF('&lt;Front_end&gt;_Syllabus'!$A6:$IV6,"AAAAAH7b/xg=",0)</f>
        <v>0</v>
      </c>
      <c r="Z1" s="52" t="e">
        <f>AND('&lt;Front_end&gt;_Syllabus'!A6,"AAAAAH7b/xk=")</f>
        <v>#VALUE!</v>
      </c>
      <c r="AA1" s="52" t="e">
        <f>AND('&lt;Front_end&gt;_Syllabus'!B6,"AAAAAH7b/xo=")</f>
        <v>#VALUE!</v>
      </c>
      <c r="AB1" s="52" t="e">
        <f>AND('&lt;Front_end&gt;_Syllabus'!C6,"AAAAAH7b/xs=")</f>
        <v>#VALUE!</v>
      </c>
      <c r="AC1" s="52" t="e">
        <f>AND('&lt;Front_end&gt;_Syllabus'!D6,"AAAAAH7b/xw=")</f>
        <v>#VALUE!</v>
      </c>
      <c r="AD1" s="52" t="e">
        <f>AND('&lt;Front_end&gt;_Syllabus'!E6,"AAAAAH7b/x0=")</f>
        <v>#VALUE!</v>
      </c>
      <c r="AE1" s="52" t="e">
        <f>AND('&lt;Front_end&gt;_Syllabus'!F6,"AAAAAH7b/x4=")</f>
        <v>#VALUE!</v>
      </c>
      <c r="AF1" s="52" t="e">
        <f>AND('&lt;Front_end&gt;_Syllabus'!G6,"AAAAAH7b/x8=")</f>
        <v>#VALUE!</v>
      </c>
      <c r="AG1" s="52">
        <f>IF('&lt;Front_end&gt;_Syllabus'!$A7:$IV7,"AAAAAH7b/yA=",0)</f>
        <v>0</v>
      </c>
      <c r="AH1" s="52" t="e">
        <f>AND('&lt;Front_end&gt;_Syllabus'!A7,"AAAAAH7b/yE=")</f>
        <v>#VALUE!</v>
      </c>
      <c r="AI1" s="52" t="e">
        <f>AND('&lt;Front_end&gt;_Syllabus'!B7,"AAAAAH7b/yI=")</f>
        <v>#VALUE!</v>
      </c>
      <c r="AJ1" s="52" t="e">
        <f>AND('&lt;Front_end&gt;_Syllabus'!C7,"AAAAAH7b/yM=")</f>
        <v>#VALUE!</v>
      </c>
      <c r="AK1" s="52" t="e">
        <f>AND('&lt;Front_end&gt;_Syllabus'!D7,"AAAAAH7b/yQ=")</f>
        <v>#VALUE!</v>
      </c>
      <c r="AL1" s="52" t="e">
        <f>AND('&lt;Front_end&gt;_Syllabus'!E7,"AAAAAH7b/yU=")</f>
        <v>#VALUE!</v>
      </c>
      <c r="AM1" s="52" t="e">
        <f>AND('&lt;Front_end&gt;_Syllabus'!F7,"AAAAAH7b/yY=")</f>
        <v>#VALUE!</v>
      </c>
      <c r="AN1" s="52" t="e">
        <f>AND('&lt;Front_end&gt;_Syllabus'!G7,"AAAAAH7b/yc=")</f>
        <v>#VALUE!</v>
      </c>
      <c r="AO1" s="52">
        <f>IF('&lt;Front_end&gt;_Syllabus'!$A8:$IV8,"AAAAAH7b/yg=",0)</f>
        <v>0</v>
      </c>
      <c r="AP1" s="52" t="e">
        <f>AND('&lt;Front_end&gt;_Syllabus'!A8,"AAAAAH7b/yk=")</f>
        <v>#VALUE!</v>
      </c>
      <c r="AQ1" s="52" t="e">
        <f>AND('&lt;Front_end&gt;_Syllabus'!B8,"AAAAAH7b/yo=")</f>
        <v>#VALUE!</v>
      </c>
      <c r="AR1" s="52" t="e">
        <f>AND('&lt;Front_end&gt;_Syllabus'!C8,"AAAAAH7b/ys=")</f>
        <v>#VALUE!</v>
      </c>
      <c r="AS1" s="52" t="e">
        <f>AND('&lt;Front_end&gt;_Syllabus'!D8,"AAAAAH7b/yw=")</f>
        <v>#VALUE!</v>
      </c>
      <c r="AT1" s="52" t="e">
        <f>AND('&lt;Front_end&gt;_Syllabus'!E8,"AAAAAH7b/y0=")</f>
        <v>#VALUE!</v>
      </c>
      <c r="AU1" s="52" t="e">
        <f>AND('&lt;Front_end&gt;_Syllabus'!F8,"AAAAAH7b/y4=")</f>
        <v>#VALUE!</v>
      </c>
      <c r="AV1" s="52" t="e">
        <f>AND('&lt;Front_end&gt;_Syllabus'!G8,"AAAAAH7b/y8=")</f>
        <v>#VALUE!</v>
      </c>
      <c r="AW1" s="52">
        <f>IF('&lt;Front_end&gt;_Syllabus'!$A9:$IV9,"AAAAAH7b/zA=",0)</f>
        <v>0</v>
      </c>
      <c r="AX1" s="52" t="e">
        <f>AND('&lt;Front_end&gt;_Syllabus'!A9,"AAAAAH7b/zE=")</f>
        <v>#VALUE!</v>
      </c>
      <c r="AY1" s="52" t="e">
        <f>AND('&lt;Front_end&gt;_Syllabus'!B9,"AAAAAH7b/zI=")</f>
        <v>#VALUE!</v>
      </c>
      <c r="AZ1" s="52" t="e">
        <f>AND('&lt;Front_end&gt;_Syllabus'!C9,"AAAAAH7b/zM=")</f>
        <v>#VALUE!</v>
      </c>
      <c r="BA1" s="52" t="e">
        <f>AND('&lt;Front_end&gt;_Syllabus'!D9,"AAAAAH7b/zQ=")</f>
        <v>#VALUE!</v>
      </c>
      <c r="BB1" s="52" t="e">
        <f>AND('&lt;Front_end&gt;_Syllabus'!E9,"AAAAAH7b/zU=")</f>
        <v>#VALUE!</v>
      </c>
      <c r="BC1" s="52" t="e">
        <f>AND('&lt;Front_end&gt;_Syllabus'!F9,"AAAAAH7b/zY=")</f>
        <v>#VALUE!</v>
      </c>
      <c r="BD1" s="52" t="e">
        <f>AND('&lt;Front_end&gt;_Syllabus'!G9,"AAAAAH7b/zc=")</f>
        <v>#VALUE!</v>
      </c>
      <c r="BE1" s="52">
        <f>IF('&lt;Front_end&gt;_Syllabus'!$A10:$IV10,"AAAAAH7b/zg=",0)</f>
        <v>0</v>
      </c>
      <c r="BF1" s="52" t="e">
        <f>AND('&lt;Front_end&gt;_Syllabus'!A10,"AAAAAH7b/zk=")</f>
        <v>#VALUE!</v>
      </c>
      <c r="BG1" s="52" t="e">
        <f>AND('&lt;Front_end&gt;_Syllabus'!B10,"AAAAAH7b/zo=")</f>
        <v>#VALUE!</v>
      </c>
      <c r="BH1" s="52" t="e">
        <f>AND('&lt;Front_end&gt;_Syllabus'!C10,"AAAAAH7b/zs=")</f>
        <v>#VALUE!</v>
      </c>
      <c r="BI1" s="52" t="e">
        <f>AND('&lt;Front_end&gt;_Syllabus'!D10,"AAAAAH7b/zw=")</f>
        <v>#VALUE!</v>
      </c>
      <c r="BJ1" s="52" t="e">
        <f>AND('&lt;Front_end&gt;_Syllabus'!E10,"AAAAAH7b/z0=")</f>
        <v>#VALUE!</v>
      </c>
      <c r="BK1" s="52" t="e">
        <f>AND('&lt;Front_end&gt;_Syllabus'!F10,"AAAAAH7b/z4=")</f>
        <v>#VALUE!</v>
      </c>
      <c r="BL1" s="52" t="e">
        <f>AND('&lt;Front_end&gt;_Syllabus'!G10,"AAAAAH7b/z8=")</f>
        <v>#VALUE!</v>
      </c>
      <c r="BM1" s="52">
        <f>IF('&lt;Front_end&gt;_Syllabus'!$A11:$IV11,"AAAAAH7b/0A=",0)</f>
        <v>0</v>
      </c>
      <c r="BN1" s="52" t="e">
        <f>AND('&lt;Front_end&gt;_Syllabus'!A11,"AAAAAH7b/0E=")</f>
        <v>#VALUE!</v>
      </c>
      <c r="BO1" s="52" t="e">
        <f>AND('&lt;Front_end&gt;_Syllabus'!B11,"AAAAAH7b/0I=")</f>
        <v>#VALUE!</v>
      </c>
      <c r="BP1" s="52" t="e">
        <f>AND('&lt;Front_end&gt;_Syllabus'!C11,"AAAAAH7b/0M=")</f>
        <v>#VALUE!</v>
      </c>
      <c r="BQ1" s="52" t="e">
        <f>AND('&lt;Front_end&gt;_Syllabus'!D11,"AAAAAH7b/0Q=")</f>
        <v>#VALUE!</v>
      </c>
      <c r="BR1" s="52" t="e">
        <f>AND('&lt;Front_end&gt;_Syllabus'!E11,"AAAAAH7b/0U=")</f>
        <v>#VALUE!</v>
      </c>
      <c r="BS1" s="52" t="e">
        <f>AND('&lt;Front_end&gt;_Syllabus'!F11,"AAAAAH7b/0Y=")</f>
        <v>#VALUE!</v>
      </c>
      <c r="BT1" s="52" t="e">
        <f>AND('&lt;Front_end&gt;_Syllabus'!G11,"AAAAAH7b/0c=")</f>
        <v>#VALUE!</v>
      </c>
      <c r="BU1" s="52">
        <f>IF('&lt;Front_end&gt;_Syllabus'!$A12:$IV12,"AAAAAH7b/0g=",0)</f>
        <v>0</v>
      </c>
      <c r="BV1" s="52" t="e">
        <f>AND('&lt;Front_end&gt;_Syllabus'!A12,"AAAAAH7b/0k=")</f>
        <v>#VALUE!</v>
      </c>
      <c r="BW1" s="52" t="e">
        <f>AND('&lt;Front_end&gt;_Syllabus'!B12,"AAAAAH7b/0o=")</f>
        <v>#VALUE!</v>
      </c>
      <c r="BX1" s="52" t="e">
        <f>AND('&lt;Front_end&gt;_Syllabus'!C12,"AAAAAH7b/0s=")</f>
        <v>#VALUE!</v>
      </c>
      <c r="BY1" s="52" t="e">
        <f>AND('&lt;Front_end&gt;_Syllabus'!D12,"AAAAAH7b/0w=")</f>
        <v>#VALUE!</v>
      </c>
      <c r="BZ1" s="52" t="e">
        <f>AND('&lt;Front_end&gt;_Syllabus'!E12,"AAAAAH7b/00=")</f>
        <v>#VALUE!</v>
      </c>
      <c r="CA1" s="52" t="e">
        <f>AND('&lt;Front_end&gt;_Syllabus'!F12,"AAAAAH7b/04=")</f>
        <v>#VALUE!</v>
      </c>
      <c r="CB1" s="52" t="e">
        <f>AND('&lt;Front_end&gt;_Syllabus'!G12,"AAAAAH7b/08=")</f>
        <v>#VALUE!</v>
      </c>
      <c r="CC1" s="52">
        <f>IF('&lt;Front_end&gt;_Syllabus'!$A13:$IV13,"AAAAAH7b/1A=",0)</f>
        <v>0</v>
      </c>
      <c r="CD1" s="52" t="e">
        <f>AND('&lt;Front_end&gt;_Syllabus'!A13,"AAAAAH7b/1E=")</f>
        <v>#VALUE!</v>
      </c>
      <c r="CE1" s="52" t="e">
        <f>AND('&lt;Front_end&gt;_Syllabus'!B13,"AAAAAH7b/1I=")</f>
        <v>#VALUE!</v>
      </c>
      <c r="CF1" s="52" t="e">
        <f>AND('&lt;Front_end&gt;_Syllabus'!C13,"AAAAAH7b/1M=")</f>
        <v>#VALUE!</v>
      </c>
      <c r="CG1" s="52" t="e">
        <f>AND('&lt;Front_end&gt;_Syllabus'!D13,"AAAAAH7b/1Q=")</f>
        <v>#VALUE!</v>
      </c>
      <c r="CH1" s="52" t="e">
        <f>AND('&lt;Front_end&gt;_Syllabus'!E13,"AAAAAH7b/1U=")</f>
        <v>#VALUE!</v>
      </c>
      <c r="CI1" s="52" t="e">
        <f>AND('&lt;Front_end&gt;_Syllabus'!F13,"AAAAAH7b/1Y=")</f>
        <v>#VALUE!</v>
      </c>
      <c r="CJ1" s="52" t="e">
        <f>AND('&lt;Front_end&gt;_Syllabus'!G13,"AAAAAH7b/1c=")</f>
        <v>#VALUE!</v>
      </c>
      <c r="CK1" s="52">
        <f>IF('&lt;Front_end&gt;_Syllabus'!$A14:$IV14,"AAAAAH7b/1g=",0)</f>
        <v>0</v>
      </c>
      <c r="CL1" s="52" t="e">
        <f>AND('&lt;Front_end&gt;_Syllabus'!A14,"AAAAAH7b/1k=")</f>
        <v>#VALUE!</v>
      </c>
      <c r="CM1" s="52" t="e">
        <f>AND('&lt;Front_end&gt;_Syllabus'!B14,"AAAAAH7b/1o=")</f>
        <v>#VALUE!</v>
      </c>
      <c r="CN1" s="52" t="e">
        <f>AND('&lt;Front_end&gt;_Syllabus'!C14,"AAAAAH7b/1s=")</f>
        <v>#VALUE!</v>
      </c>
      <c r="CO1" s="52" t="e">
        <f>AND('&lt;Front_end&gt;_Syllabus'!D14,"AAAAAH7b/1w=")</f>
        <v>#VALUE!</v>
      </c>
      <c r="CP1" s="52" t="e">
        <f>AND('&lt;Front_end&gt;_Syllabus'!E14,"AAAAAH7b/10=")</f>
        <v>#VALUE!</v>
      </c>
      <c r="CQ1" s="52" t="e">
        <f>AND('&lt;Front_end&gt;_Syllabus'!F14,"AAAAAH7b/14=")</f>
        <v>#VALUE!</v>
      </c>
      <c r="CR1" s="52" t="e">
        <f>AND('&lt;Front_end&gt;_Syllabus'!G14,"AAAAAH7b/18=")</f>
        <v>#VALUE!</v>
      </c>
      <c r="CS1" s="52">
        <f>IF('&lt;Front_end&gt;_Syllabus'!$A15:$IV15,"AAAAAH7b/2A=",0)</f>
        <v>0</v>
      </c>
      <c r="CT1" s="52" t="e">
        <f>AND('&lt;Front_end&gt;_Syllabus'!A15,"AAAAAH7b/2E=")</f>
        <v>#VALUE!</v>
      </c>
      <c r="CU1" s="52" t="e">
        <f>AND('&lt;Front_end&gt;_Syllabus'!B15,"AAAAAH7b/2I=")</f>
        <v>#VALUE!</v>
      </c>
      <c r="CV1" s="52" t="e">
        <f>AND('&lt;Front_end&gt;_Syllabus'!C15,"AAAAAH7b/2M=")</f>
        <v>#VALUE!</v>
      </c>
      <c r="CW1" s="52" t="e">
        <f>AND('&lt;Front_end&gt;_Syllabus'!D15,"AAAAAH7b/2Q=")</f>
        <v>#VALUE!</v>
      </c>
      <c r="CX1" s="52" t="e">
        <f>AND('&lt;Front_end&gt;_Syllabus'!E15,"AAAAAH7b/2U=")</f>
        <v>#VALUE!</v>
      </c>
      <c r="CY1" s="52" t="e">
        <f>AND('&lt;Front_end&gt;_Syllabus'!F15,"AAAAAH7b/2Y=")</f>
        <v>#VALUE!</v>
      </c>
      <c r="CZ1" s="52" t="e">
        <f>AND('&lt;Front_end&gt;_Syllabus'!G15,"AAAAAH7b/2c=")</f>
        <v>#VALUE!</v>
      </c>
      <c r="DA1" s="52">
        <f>IF('&lt;Front_end&gt;_Syllabus'!$A16:$IV16,"AAAAAH7b/2g=",0)</f>
        <v>0</v>
      </c>
      <c r="DB1" s="52" t="e">
        <f>AND('&lt;Front_end&gt;_Syllabus'!A16,"AAAAAH7b/2k=")</f>
        <v>#VALUE!</v>
      </c>
      <c r="DC1" s="52" t="e">
        <f>AND('&lt;Front_end&gt;_Syllabus'!B16,"AAAAAH7b/2o=")</f>
        <v>#VALUE!</v>
      </c>
      <c r="DD1" s="52" t="e">
        <f>AND('&lt;Front_end&gt;_Syllabus'!C16,"AAAAAH7b/2s=")</f>
        <v>#VALUE!</v>
      </c>
      <c r="DE1" s="52" t="e">
        <f>AND('&lt;Front_end&gt;_Syllabus'!D16,"AAAAAH7b/2w=")</f>
        <v>#VALUE!</v>
      </c>
      <c r="DF1" s="52" t="e">
        <f>AND('&lt;Front_end&gt;_Syllabus'!E16,"AAAAAH7b/20=")</f>
        <v>#VALUE!</v>
      </c>
      <c r="DG1" s="52" t="e">
        <f>AND('&lt;Front_end&gt;_Syllabus'!F16,"AAAAAH7b/24=")</f>
        <v>#VALUE!</v>
      </c>
      <c r="DH1" s="52" t="e">
        <f>AND('&lt;Front_end&gt;_Syllabus'!G16,"AAAAAH7b/28=")</f>
        <v>#VALUE!</v>
      </c>
      <c r="DI1" s="52">
        <f>IF('&lt;Front_end&gt;_Syllabus'!$A17:$IV17,"AAAAAH7b/3A=",0)</f>
        <v>0</v>
      </c>
      <c r="DJ1" s="52" t="e">
        <f>AND('&lt;Front_end&gt;_Syllabus'!A17,"AAAAAH7b/3E=")</f>
        <v>#VALUE!</v>
      </c>
      <c r="DK1" s="52" t="e">
        <f>AND('&lt;Front_end&gt;_Syllabus'!B17,"AAAAAH7b/3I=")</f>
        <v>#VALUE!</v>
      </c>
      <c r="DL1" s="52" t="e">
        <f>AND('&lt;Front_end&gt;_Syllabus'!C17,"AAAAAH7b/3M=")</f>
        <v>#VALUE!</v>
      </c>
      <c r="DM1" s="52" t="e">
        <f>AND('&lt;Front_end&gt;_Syllabus'!D17,"AAAAAH7b/3Q=")</f>
        <v>#VALUE!</v>
      </c>
      <c r="DN1" s="52" t="e">
        <f>AND('&lt;Front_end&gt;_Syllabus'!E17,"AAAAAH7b/3U=")</f>
        <v>#VALUE!</v>
      </c>
      <c r="DO1" s="52" t="e">
        <f>AND('&lt;Front_end&gt;_Syllabus'!F17,"AAAAAH7b/3Y=")</f>
        <v>#VALUE!</v>
      </c>
      <c r="DP1" s="52" t="e">
        <f>AND('&lt;Front_end&gt;_Syllabus'!G17,"AAAAAH7b/3c=")</f>
        <v>#VALUE!</v>
      </c>
      <c r="DQ1" s="52" t="e">
        <f>IF('&lt;Front_end&gt;_Syllabus'!#REF!,"AAAAAH7b/3g=",0)</f>
        <v>#REF!</v>
      </c>
      <c r="DR1" s="52" t="e">
        <f>AND('&lt;Front_end&gt;_Syllabus'!#REF!,"AAAAAH7b/3k=")</f>
        <v>#REF!</v>
      </c>
      <c r="DS1" s="52" t="e">
        <f>AND('&lt;Front_end&gt;_Syllabus'!#REF!,"AAAAAH7b/3o=")</f>
        <v>#REF!</v>
      </c>
      <c r="DT1" s="52" t="e">
        <f>AND('&lt;Front_end&gt;_Syllabus'!#REF!,"AAAAAH7b/3s=")</f>
        <v>#REF!</v>
      </c>
      <c r="DU1" s="52" t="e">
        <f>AND('&lt;Front_end&gt;_Syllabus'!#REF!,"AAAAAH7b/3w=")</f>
        <v>#REF!</v>
      </c>
      <c r="DV1" s="52" t="e">
        <f>AND('&lt;Front_end&gt;_Syllabus'!#REF!,"AAAAAH7b/30=")</f>
        <v>#REF!</v>
      </c>
      <c r="DW1" s="52" t="e">
        <f>AND('&lt;Front_end&gt;_Syllabus'!#REF!,"AAAAAH7b/34=")</f>
        <v>#REF!</v>
      </c>
      <c r="DX1" s="52" t="e">
        <f>AND('&lt;Front_end&gt;_Syllabus'!#REF!,"AAAAAH7b/38=")</f>
        <v>#REF!</v>
      </c>
      <c r="DY1" s="52">
        <f>IF('&lt;Front_end&gt;_Syllabus'!$A18:$IV18,"AAAAAH7b/4A=",0)</f>
        <v>0</v>
      </c>
      <c r="DZ1" s="52" t="e">
        <f>AND('&lt;Front_end&gt;_Syllabus'!A18,"AAAAAH7b/4E=")</f>
        <v>#VALUE!</v>
      </c>
      <c r="EA1" s="52" t="e">
        <f>AND('&lt;Front_end&gt;_Syllabus'!B18,"AAAAAH7b/4I=")</f>
        <v>#VALUE!</v>
      </c>
      <c r="EB1" s="52" t="e">
        <f>AND('&lt;Front_end&gt;_Syllabus'!C18,"AAAAAH7b/4M=")</f>
        <v>#VALUE!</v>
      </c>
      <c r="EC1" s="52" t="e">
        <f>AND('&lt;Front_end&gt;_Syllabus'!D18,"AAAAAH7b/4Q=")</f>
        <v>#VALUE!</v>
      </c>
      <c r="ED1" s="52" t="e">
        <f>AND('&lt;Front_end&gt;_Syllabus'!E18,"AAAAAH7b/4U=")</f>
        <v>#VALUE!</v>
      </c>
      <c r="EE1" s="52" t="e">
        <f>AND('&lt;Front_end&gt;_Syllabus'!F18,"AAAAAH7b/4Y=")</f>
        <v>#VALUE!</v>
      </c>
      <c r="EF1" s="52" t="e">
        <f>AND('&lt;Front_end&gt;_Syllabus'!G18,"AAAAAH7b/4c=")</f>
        <v>#VALUE!</v>
      </c>
      <c r="EG1" s="52">
        <f>IF('&lt;Front_end&gt;_Syllabus'!$A19:$IV19,"AAAAAH7b/4g=",0)</f>
        <v>0</v>
      </c>
      <c r="EH1" s="52" t="e">
        <f>AND('&lt;Front_end&gt;_Syllabus'!A19,"AAAAAH7b/4k=")</f>
        <v>#VALUE!</v>
      </c>
      <c r="EI1" s="52" t="e">
        <f>AND('&lt;Front_end&gt;_Syllabus'!B19,"AAAAAH7b/4o=")</f>
        <v>#VALUE!</v>
      </c>
      <c r="EJ1" s="52" t="e">
        <f>AND('&lt;Front_end&gt;_Syllabus'!C19,"AAAAAH7b/4s=")</f>
        <v>#VALUE!</v>
      </c>
      <c r="EK1" s="52" t="e">
        <f>AND('&lt;Front_end&gt;_Syllabus'!D19,"AAAAAH7b/4w=")</f>
        <v>#VALUE!</v>
      </c>
      <c r="EL1" s="52" t="e">
        <f>AND('&lt;Front_end&gt;_Syllabus'!E19,"AAAAAH7b/40=")</f>
        <v>#VALUE!</v>
      </c>
      <c r="EM1" s="52" t="e">
        <f>AND('&lt;Front_end&gt;_Syllabus'!F19,"AAAAAH7b/44=")</f>
        <v>#VALUE!</v>
      </c>
      <c r="EN1" s="52" t="e">
        <f>AND('&lt;Front_end&gt;_Syllabus'!G19,"AAAAAH7b/48=")</f>
        <v>#VALUE!</v>
      </c>
      <c r="EO1" s="52">
        <f>IF('&lt;Front_end&gt;_Syllabus'!$A20:$IV20,"AAAAAH7b/5A=",0)</f>
        <v>0</v>
      </c>
      <c r="EP1" s="52" t="e">
        <f>AND('&lt;Front_end&gt;_Syllabus'!A20,"AAAAAH7b/5E=")</f>
        <v>#VALUE!</v>
      </c>
      <c r="EQ1" s="52" t="e">
        <f>AND('&lt;Front_end&gt;_Syllabus'!B20,"AAAAAH7b/5I=")</f>
        <v>#VALUE!</v>
      </c>
      <c r="ER1" s="52" t="e">
        <f>AND('&lt;Front_end&gt;_Syllabus'!C20,"AAAAAH7b/5M=")</f>
        <v>#VALUE!</v>
      </c>
      <c r="ES1" s="52" t="e">
        <f>AND('&lt;Front_end&gt;_Syllabus'!D20,"AAAAAH7b/5Q=")</f>
        <v>#VALUE!</v>
      </c>
      <c r="ET1" s="52" t="e">
        <f>AND('&lt;Front_end&gt;_Syllabus'!E20,"AAAAAH7b/5U=")</f>
        <v>#VALUE!</v>
      </c>
      <c r="EU1" s="52" t="e">
        <f>AND('&lt;Front_end&gt;_Syllabus'!F20,"AAAAAH7b/5Y=")</f>
        <v>#VALUE!</v>
      </c>
      <c r="EV1" s="52" t="e">
        <f>AND('&lt;Front_end&gt;_Syllabus'!G20,"AAAAAH7b/5c=")</f>
        <v>#VALUE!</v>
      </c>
      <c r="EW1" s="52">
        <f>IF('&lt;Front_end&gt;_Syllabus'!$A21:$IV21,"AAAAAH7b/5g=",0)</f>
        <v>0</v>
      </c>
      <c r="EX1" s="52" t="e">
        <f>AND('&lt;Front_end&gt;_Syllabus'!A21,"AAAAAH7b/5k=")</f>
        <v>#VALUE!</v>
      </c>
      <c r="EY1" s="52" t="e">
        <f>AND('&lt;Front_end&gt;_Syllabus'!B21,"AAAAAH7b/5o=")</f>
        <v>#VALUE!</v>
      </c>
      <c r="EZ1" s="52" t="e">
        <f>AND('&lt;Front_end&gt;_Syllabus'!C21,"AAAAAH7b/5s=")</f>
        <v>#VALUE!</v>
      </c>
      <c r="FA1" s="52" t="e">
        <f>AND('&lt;Front_end&gt;_Syllabus'!D21,"AAAAAH7b/5w=")</f>
        <v>#VALUE!</v>
      </c>
      <c r="FB1" s="52" t="e">
        <f>AND('&lt;Front_end&gt;_Syllabus'!E21,"AAAAAH7b/50=")</f>
        <v>#VALUE!</v>
      </c>
      <c r="FC1" s="52" t="e">
        <f>AND('&lt;Front_end&gt;_Syllabus'!F21,"AAAAAH7b/54=")</f>
        <v>#VALUE!</v>
      </c>
      <c r="FD1" s="52" t="e">
        <f>AND('&lt;Front_end&gt;_Syllabus'!G21,"AAAAAH7b/58=")</f>
        <v>#VALUE!</v>
      </c>
      <c r="FE1" s="52">
        <f>IF('&lt;Front_end&gt;_Syllabus'!$A22:$IV22,"AAAAAH7b/6A=",0)</f>
        <v>0</v>
      </c>
      <c r="FF1" s="52" t="e">
        <f>AND('&lt;Front_end&gt;_Syllabus'!A22,"AAAAAH7b/6E=")</f>
        <v>#VALUE!</v>
      </c>
      <c r="FG1" s="52" t="e">
        <f>AND('&lt;Front_end&gt;_Syllabus'!B22,"AAAAAH7b/6I=")</f>
        <v>#VALUE!</v>
      </c>
      <c r="FH1" s="52" t="e">
        <f>AND('&lt;Front_end&gt;_Syllabus'!C22,"AAAAAH7b/6M=")</f>
        <v>#VALUE!</v>
      </c>
      <c r="FI1" s="52" t="e">
        <f>AND('&lt;Front_end&gt;_Syllabus'!D22,"AAAAAH7b/6Q=")</f>
        <v>#VALUE!</v>
      </c>
      <c r="FJ1" s="52" t="e">
        <f>AND('&lt;Front_end&gt;_Syllabus'!E22,"AAAAAH7b/6U=")</f>
        <v>#VALUE!</v>
      </c>
      <c r="FK1" s="52" t="e">
        <f>AND('&lt;Front_end&gt;_Syllabus'!F22,"AAAAAH7b/6Y=")</f>
        <v>#VALUE!</v>
      </c>
      <c r="FL1" s="52" t="e">
        <f>AND('&lt;Front_end&gt;_Syllabus'!G22,"AAAAAH7b/6c=")</f>
        <v>#VALUE!</v>
      </c>
      <c r="FM1" s="52">
        <f>IF('&lt;Front_end&gt;_Syllabus'!$A23:$IV23,"AAAAAH7b/6g=",0)</f>
        <v>0</v>
      </c>
      <c r="FN1" s="52" t="e">
        <f>AND('&lt;Front_end&gt;_Syllabus'!A23,"AAAAAH7b/6k=")</f>
        <v>#VALUE!</v>
      </c>
      <c r="FO1" s="52" t="e">
        <f>AND('&lt;Front_end&gt;_Syllabus'!B23,"AAAAAH7b/6o=")</f>
        <v>#VALUE!</v>
      </c>
      <c r="FP1" s="52" t="e">
        <f>AND('&lt;Front_end&gt;_Syllabus'!C23,"AAAAAH7b/6s=")</f>
        <v>#VALUE!</v>
      </c>
      <c r="FQ1" s="52" t="e">
        <f>AND('&lt;Front_end&gt;_Syllabus'!D23,"AAAAAH7b/6w=")</f>
        <v>#VALUE!</v>
      </c>
      <c r="FR1" s="52" t="e">
        <f>AND('&lt;Front_end&gt;_Syllabus'!E23,"AAAAAH7b/60=")</f>
        <v>#VALUE!</v>
      </c>
      <c r="FS1" s="52" t="e">
        <f>AND('&lt;Front_end&gt;_Syllabus'!F23,"AAAAAH7b/64=")</f>
        <v>#VALUE!</v>
      </c>
      <c r="FT1" s="52" t="e">
        <f>AND('&lt;Front_end&gt;_Syllabus'!G23,"AAAAAH7b/68=")</f>
        <v>#VALUE!</v>
      </c>
      <c r="FU1" s="52">
        <f>IF('&lt;Front_end&gt;_Syllabus'!$A24:$IV24,"AAAAAH7b/7A=",0)</f>
        <v>0</v>
      </c>
      <c r="FV1" s="52" t="e">
        <f>AND('&lt;Front_end&gt;_Syllabus'!A24,"AAAAAH7b/7E=")</f>
        <v>#VALUE!</v>
      </c>
      <c r="FW1" s="52" t="e">
        <f>AND('&lt;Front_end&gt;_Syllabus'!B24,"AAAAAH7b/7I=")</f>
        <v>#VALUE!</v>
      </c>
      <c r="FX1" s="52" t="e">
        <f>AND('&lt;Front_end&gt;_Syllabus'!C24,"AAAAAH7b/7M=")</f>
        <v>#VALUE!</v>
      </c>
      <c r="FY1" s="52" t="e">
        <f>AND('&lt;Front_end&gt;_Syllabus'!D24,"AAAAAH7b/7Q=")</f>
        <v>#VALUE!</v>
      </c>
      <c r="FZ1" s="52" t="e">
        <f>AND('&lt;Front_end&gt;_Syllabus'!E24,"AAAAAH7b/7U=")</f>
        <v>#VALUE!</v>
      </c>
      <c r="GA1" s="52" t="e">
        <f>AND('&lt;Front_end&gt;_Syllabus'!F24,"AAAAAH7b/7Y=")</f>
        <v>#VALUE!</v>
      </c>
      <c r="GB1" s="52" t="e">
        <f>AND('&lt;Front_end&gt;_Syllabus'!G24,"AAAAAH7b/7c=")</f>
        <v>#VALUE!</v>
      </c>
      <c r="GC1" s="52">
        <f>IF('&lt;Front_end&gt;_Syllabus'!$A25:$IV25,"AAAAAH7b/7g=",0)</f>
        <v>0</v>
      </c>
      <c r="GD1" s="52" t="e">
        <f>AND('&lt;Front_end&gt;_Syllabus'!A25,"AAAAAH7b/7k=")</f>
        <v>#VALUE!</v>
      </c>
      <c r="GE1" s="52" t="e">
        <f>AND('&lt;Front_end&gt;_Syllabus'!B25,"AAAAAH7b/7o=")</f>
        <v>#VALUE!</v>
      </c>
      <c r="GF1" s="52" t="e">
        <f>AND('&lt;Front_end&gt;_Syllabus'!C25,"AAAAAH7b/7s=")</f>
        <v>#VALUE!</v>
      </c>
      <c r="GG1" s="52" t="e">
        <f>AND('&lt;Front_end&gt;_Syllabus'!D25,"AAAAAH7b/7w=")</f>
        <v>#VALUE!</v>
      </c>
      <c r="GH1" s="52" t="e">
        <f>AND('&lt;Front_end&gt;_Syllabus'!E25,"AAAAAH7b/70=")</f>
        <v>#VALUE!</v>
      </c>
      <c r="GI1" s="52" t="e">
        <f>AND('&lt;Front_end&gt;_Syllabus'!F25,"AAAAAH7b/74=")</f>
        <v>#VALUE!</v>
      </c>
      <c r="GJ1" s="52" t="e">
        <f>AND('&lt;Front_end&gt;_Syllabus'!G25,"AAAAAH7b/78=")</f>
        <v>#VALUE!</v>
      </c>
      <c r="GK1" s="52">
        <f>IF('&lt;Front_end&gt;_Syllabus'!$A26:$IV26,"AAAAAH7b/8A=",0)</f>
        <v>0</v>
      </c>
      <c r="GL1" s="52" t="e">
        <f>AND('&lt;Front_end&gt;_Syllabus'!A26,"AAAAAH7b/8E=")</f>
        <v>#VALUE!</v>
      </c>
      <c r="GM1" s="52" t="e">
        <f>AND('&lt;Front_end&gt;_Syllabus'!B26,"AAAAAH7b/8I=")</f>
        <v>#VALUE!</v>
      </c>
      <c r="GN1" s="52" t="e">
        <f>AND('&lt;Front_end&gt;_Syllabus'!C26,"AAAAAH7b/8M=")</f>
        <v>#VALUE!</v>
      </c>
      <c r="GO1" s="52" t="e">
        <f>AND('&lt;Front_end&gt;_Syllabus'!D26,"AAAAAH7b/8Q=")</f>
        <v>#VALUE!</v>
      </c>
      <c r="GP1" s="52" t="e">
        <f>AND('&lt;Front_end&gt;_Syllabus'!E26,"AAAAAH7b/8U=")</f>
        <v>#VALUE!</v>
      </c>
      <c r="GQ1" s="52" t="e">
        <f>AND('&lt;Front_end&gt;_Syllabus'!F26,"AAAAAH7b/8Y=")</f>
        <v>#VALUE!</v>
      </c>
      <c r="GR1" s="52" t="e">
        <f>AND('&lt;Front_end&gt;_Syllabus'!G26,"AAAAAH7b/8c=")</f>
        <v>#VALUE!</v>
      </c>
      <c r="GS1" s="52">
        <f>IF('&lt;Front_end&gt;_Syllabus'!$A27:$IV27,"AAAAAH7b/8g=",0)</f>
        <v>0</v>
      </c>
      <c r="GT1" s="52" t="e">
        <f>AND('&lt;Front_end&gt;_Syllabus'!A27,"AAAAAH7b/8k=")</f>
        <v>#VALUE!</v>
      </c>
      <c r="GU1" s="52" t="e">
        <f>AND('&lt;Front_end&gt;_Syllabus'!B27,"AAAAAH7b/8o=")</f>
        <v>#VALUE!</v>
      </c>
      <c r="GV1" s="52" t="e">
        <f>AND('&lt;Front_end&gt;_Syllabus'!C27,"AAAAAH7b/8s=")</f>
        <v>#VALUE!</v>
      </c>
      <c r="GW1" s="52" t="e">
        <f>AND('&lt;Front_end&gt;_Syllabus'!D27,"AAAAAH7b/8w=")</f>
        <v>#VALUE!</v>
      </c>
      <c r="GX1" s="52" t="e">
        <f>AND('&lt;Front_end&gt;_Syllabus'!E27,"AAAAAH7b/80=")</f>
        <v>#VALUE!</v>
      </c>
      <c r="GY1" s="52" t="e">
        <f>AND('&lt;Front_end&gt;_Syllabus'!F27,"AAAAAH7b/84=")</f>
        <v>#VALUE!</v>
      </c>
      <c r="GZ1" s="52" t="e">
        <f>AND('&lt;Front_end&gt;_Syllabus'!G27,"AAAAAH7b/88=")</f>
        <v>#VALUE!</v>
      </c>
      <c r="HA1" s="52">
        <f>IF('&lt;Front_end&gt;_Syllabus'!$A28:$IV28,"AAAAAH7b/9A=",0)</f>
        <v>0</v>
      </c>
      <c r="HB1" s="52" t="e">
        <f>AND('&lt;Front_end&gt;_Syllabus'!A28,"AAAAAH7b/9E=")</f>
        <v>#VALUE!</v>
      </c>
      <c r="HC1" s="52" t="e">
        <f>AND('&lt;Front_end&gt;_Syllabus'!B28,"AAAAAH7b/9I=")</f>
        <v>#VALUE!</v>
      </c>
      <c r="HD1" s="52" t="e">
        <f>AND('&lt;Front_end&gt;_Syllabus'!C28,"AAAAAH7b/9M=")</f>
        <v>#VALUE!</v>
      </c>
      <c r="HE1" s="52" t="e">
        <f>AND('&lt;Front_end&gt;_Syllabus'!D28,"AAAAAH7b/9Q=")</f>
        <v>#VALUE!</v>
      </c>
      <c r="HF1" s="52" t="e">
        <f>AND('&lt;Front_end&gt;_Syllabus'!E28,"AAAAAH7b/9U=")</f>
        <v>#VALUE!</v>
      </c>
      <c r="HG1" s="52" t="e">
        <f>AND('&lt;Front_end&gt;_Syllabus'!F28,"AAAAAH7b/9Y=")</f>
        <v>#VALUE!</v>
      </c>
      <c r="HH1" s="52" t="e">
        <f>AND('&lt;Front_end&gt;_Syllabus'!G28,"AAAAAH7b/9c=")</f>
        <v>#VALUE!</v>
      </c>
      <c r="HI1" s="52">
        <f>IF('&lt;Front_end&gt;_Syllabus'!$A29:$IV29,"AAAAAH7b/9g=",0)</f>
        <v>0</v>
      </c>
      <c r="HJ1" s="52" t="e">
        <f>AND('&lt;Front_end&gt;_Syllabus'!A29,"AAAAAH7b/9k=")</f>
        <v>#VALUE!</v>
      </c>
      <c r="HK1" s="52" t="e">
        <f>AND('&lt;Front_end&gt;_Syllabus'!B29,"AAAAAH7b/9o=")</f>
        <v>#VALUE!</v>
      </c>
      <c r="HL1" s="52" t="e">
        <f>AND('&lt;Front_end&gt;_Syllabus'!C29,"AAAAAH7b/9s=")</f>
        <v>#VALUE!</v>
      </c>
      <c r="HM1" s="52" t="e">
        <f>AND('&lt;Front_end&gt;_Syllabus'!D29,"AAAAAH7b/9w=")</f>
        <v>#VALUE!</v>
      </c>
      <c r="HN1" s="52" t="e">
        <f>AND('&lt;Front_end&gt;_Syllabus'!E29,"AAAAAH7b/90=")</f>
        <v>#VALUE!</v>
      </c>
      <c r="HO1" s="52" t="e">
        <f>AND('&lt;Front_end&gt;_Syllabus'!F29,"AAAAAH7b/94=")</f>
        <v>#VALUE!</v>
      </c>
      <c r="HP1" s="52" t="e">
        <f>AND('&lt;Front_end&gt;_Syllabus'!G29,"AAAAAH7b/98=")</f>
        <v>#VALUE!</v>
      </c>
      <c r="HQ1" s="52">
        <f>IF('&lt;Front_end&gt;_Syllabus'!$A30:$IV30,"AAAAAH7b/+A=",0)</f>
        <v>0</v>
      </c>
      <c r="HR1" s="52" t="e">
        <f>AND('&lt;Front_end&gt;_Syllabus'!A30,"AAAAAH7b/+E=")</f>
        <v>#VALUE!</v>
      </c>
      <c r="HS1" s="52" t="e">
        <f>AND('&lt;Front_end&gt;_Syllabus'!B30,"AAAAAH7b/+I=")</f>
        <v>#VALUE!</v>
      </c>
      <c r="HT1" s="52" t="e">
        <f>AND('&lt;Front_end&gt;_Syllabus'!C30,"AAAAAH7b/+M=")</f>
        <v>#VALUE!</v>
      </c>
      <c r="HU1" s="52" t="e">
        <f>AND('&lt;Front_end&gt;_Syllabus'!D30,"AAAAAH7b/+Q=")</f>
        <v>#VALUE!</v>
      </c>
      <c r="HV1" s="52" t="e">
        <f>AND('&lt;Front_end&gt;_Syllabus'!E30,"AAAAAH7b/+U=")</f>
        <v>#VALUE!</v>
      </c>
      <c r="HW1" s="52" t="e">
        <f>AND('&lt;Front_end&gt;_Syllabus'!F30,"AAAAAH7b/+Y=")</f>
        <v>#VALUE!</v>
      </c>
      <c r="HX1" s="52" t="e">
        <f>AND('&lt;Front_end&gt;_Syllabus'!G30,"AAAAAH7b/+c=")</f>
        <v>#VALUE!</v>
      </c>
      <c r="HY1" s="52">
        <f>IF('&lt;Front_end&gt;_Syllabus'!$A31:$IV31,"AAAAAH7b/+g=",0)</f>
        <v>0</v>
      </c>
      <c r="HZ1" s="52" t="e">
        <f>AND('&lt;Front_end&gt;_Syllabus'!A31,"AAAAAH7b/+k=")</f>
        <v>#VALUE!</v>
      </c>
      <c r="IA1" s="52" t="e">
        <f>AND('&lt;Front_end&gt;_Syllabus'!B31,"AAAAAH7b/+o=")</f>
        <v>#VALUE!</v>
      </c>
      <c r="IB1" s="52" t="e">
        <f>AND('&lt;Front_end&gt;_Syllabus'!C31,"AAAAAH7b/+s=")</f>
        <v>#VALUE!</v>
      </c>
      <c r="IC1" s="52" t="e">
        <f>AND('&lt;Front_end&gt;_Syllabus'!D31,"AAAAAH7b/+w=")</f>
        <v>#VALUE!</v>
      </c>
      <c r="ID1" s="52" t="e">
        <f>AND('&lt;Front_end&gt;_Syllabus'!E31,"AAAAAH7b/+0=")</f>
        <v>#VALUE!</v>
      </c>
      <c r="IE1" s="52" t="e">
        <f>AND('&lt;Front_end&gt;_Syllabus'!F31,"AAAAAH7b/+4=")</f>
        <v>#VALUE!</v>
      </c>
      <c r="IF1" s="52" t="e">
        <f>AND('&lt;Front_end&gt;_Syllabus'!G31,"AAAAAH7b/+8=")</f>
        <v>#VALUE!</v>
      </c>
      <c r="IG1" s="52">
        <f>IF('&lt;Front_end&gt;_Syllabus'!$A32:$IV32,"AAAAAH7b//A=",0)</f>
        <v>0</v>
      </c>
      <c r="IH1" s="52" t="e">
        <f>AND('&lt;Front_end&gt;_Syllabus'!A32,"AAAAAH7b//E=")</f>
        <v>#VALUE!</v>
      </c>
      <c r="II1" s="52" t="e">
        <f>AND('&lt;Front_end&gt;_Syllabus'!B32,"AAAAAH7b//I=")</f>
        <v>#VALUE!</v>
      </c>
      <c r="IJ1" s="52" t="e">
        <f>AND('&lt;Front_end&gt;_Syllabus'!C32,"AAAAAH7b//M=")</f>
        <v>#VALUE!</v>
      </c>
      <c r="IK1" s="52" t="e">
        <f>AND('&lt;Front_end&gt;_Syllabus'!D32,"AAAAAH7b//Q=")</f>
        <v>#VALUE!</v>
      </c>
      <c r="IL1" s="52" t="e">
        <f>AND('&lt;Front_end&gt;_Syllabus'!E32,"AAAAAH7b//U=")</f>
        <v>#VALUE!</v>
      </c>
      <c r="IM1" s="52" t="e">
        <f>AND('&lt;Front_end&gt;_Syllabus'!F32,"AAAAAH7b//Y=")</f>
        <v>#VALUE!</v>
      </c>
      <c r="IN1" s="52" t="e">
        <f>AND('&lt;Front_end&gt;_Syllabus'!G32,"AAAAAH7b//c=")</f>
        <v>#VALUE!</v>
      </c>
      <c r="IO1" s="52">
        <f>IF('&lt;Front_end&gt;_Syllabus'!$A33:$IV33,"AAAAAH7b//g=",0)</f>
        <v>0</v>
      </c>
      <c r="IP1" s="52" t="e">
        <f>AND('&lt;Front_end&gt;_Syllabus'!A33,"AAAAAH7b//k=")</f>
        <v>#VALUE!</v>
      </c>
      <c r="IQ1" s="52" t="e">
        <f>AND('&lt;Front_end&gt;_Syllabus'!B33,"AAAAAH7b//o=")</f>
        <v>#VALUE!</v>
      </c>
      <c r="IR1" s="52" t="e">
        <f>AND('&lt;Front_end&gt;_Syllabus'!C33,"AAAAAH7b//s=")</f>
        <v>#VALUE!</v>
      </c>
      <c r="IS1" s="52" t="e">
        <f>AND('&lt;Front_end&gt;_Syllabus'!D33,"AAAAAH7b//w=")</f>
        <v>#VALUE!</v>
      </c>
      <c r="IT1" s="52" t="e">
        <f>AND('&lt;Front_end&gt;_Syllabus'!E33,"AAAAAH7b//0=")</f>
        <v>#VALUE!</v>
      </c>
      <c r="IU1" s="52" t="e">
        <f>AND('&lt;Front_end&gt;_Syllabus'!F33,"AAAAAH7b//4=")</f>
        <v>#VALUE!</v>
      </c>
      <c r="IV1" s="52" t="e">
        <f>AND('&lt;Front_end&gt;_Syllabus'!G33,"AAAAAH7b//8=")</f>
        <v>#VALUE!</v>
      </c>
    </row>
    <row r="2" spans="1:256" ht="12.75" customHeight="1">
      <c r="A2" s="52">
        <f>IF('&lt;Front_end&gt;_Syllabus'!$A34:$IV34,"AAAAAH/vfwA=",0)</f>
        <v>0</v>
      </c>
      <c r="B2" s="52" t="e">
        <f>AND('&lt;Front_end&gt;_Syllabus'!A34,"AAAAAH/vfwE=")</f>
        <v>#VALUE!</v>
      </c>
      <c r="C2" s="52" t="e">
        <f>AND('&lt;Front_end&gt;_Syllabus'!B34,"AAAAAH/vfwI=")</f>
        <v>#VALUE!</v>
      </c>
      <c r="D2" s="52" t="e">
        <f>AND('&lt;Front_end&gt;_Syllabus'!C34,"AAAAAH/vfwM=")</f>
        <v>#VALUE!</v>
      </c>
      <c r="E2" s="52" t="e">
        <f>AND('&lt;Front_end&gt;_Syllabus'!D34,"AAAAAH/vfwQ=")</f>
        <v>#VALUE!</v>
      </c>
      <c r="F2" s="52" t="e">
        <f>AND('&lt;Front_end&gt;_Syllabus'!E34,"AAAAAH/vfwU=")</f>
        <v>#VALUE!</v>
      </c>
      <c r="G2" s="52" t="e">
        <f>AND('&lt;Front_end&gt;_Syllabus'!F34,"AAAAAH/vfwY=")</f>
        <v>#VALUE!</v>
      </c>
      <c r="H2" s="52" t="e">
        <f>AND('&lt;Front_end&gt;_Syllabus'!G34,"AAAAAH/vfwc=")</f>
        <v>#VALUE!</v>
      </c>
      <c r="I2" s="52">
        <f>IF('&lt;Front_end&gt;_Syllabus'!$A35:$IV35,"AAAAAH/vfwg=",0)</f>
        <v>0</v>
      </c>
      <c r="J2" s="52" t="e">
        <f>AND('&lt;Front_end&gt;_Syllabus'!A35,"AAAAAH/vfwk=")</f>
        <v>#VALUE!</v>
      </c>
      <c r="K2" s="52" t="e">
        <f>AND('&lt;Front_end&gt;_Syllabus'!B35,"AAAAAH/vfwo=")</f>
        <v>#VALUE!</v>
      </c>
      <c r="L2" s="52" t="e">
        <f>AND('&lt;Front_end&gt;_Syllabus'!C35,"AAAAAH/vfws=")</f>
        <v>#VALUE!</v>
      </c>
      <c r="M2" s="52" t="e">
        <f>AND('&lt;Front_end&gt;_Syllabus'!D35,"AAAAAH/vfww=")</f>
        <v>#VALUE!</v>
      </c>
      <c r="N2" s="52" t="e">
        <f>AND('&lt;Front_end&gt;_Syllabus'!E35,"AAAAAH/vfw0=")</f>
        <v>#VALUE!</v>
      </c>
      <c r="O2" s="52" t="e">
        <f>AND('&lt;Front_end&gt;_Syllabus'!F35,"AAAAAH/vfw4=")</f>
        <v>#VALUE!</v>
      </c>
      <c r="P2" s="52" t="e">
        <f>AND('&lt;Front_end&gt;_Syllabus'!G35,"AAAAAH/vfw8=")</f>
        <v>#VALUE!</v>
      </c>
      <c r="Q2" s="52" t="e">
        <f>IF('&lt;Front_end&gt;_Syllabus'!#REF!,"AAAAAH/vfxA=",0)</f>
        <v>#REF!</v>
      </c>
      <c r="R2" s="52" t="e">
        <f>IF('&lt;Front_end&gt;_Syllabus'!A:A,"AAAAAH/vfxE=",0)</f>
        <v>#VALUE!</v>
      </c>
      <c r="S2" s="52">
        <f>IF('&lt;Front_end&gt;_Syllabus'!B:B,"AAAAAH/vfxI=",0)</f>
        <v>0</v>
      </c>
      <c r="T2" s="52">
        <f>IF('&lt;Front_end&gt;_Syllabus'!C:C,"AAAAAH/vfxM=",0)</f>
        <v>0</v>
      </c>
      <c r="U2" s="52">
        <f>IF('&lt;Front_end&gt;_Syllabus'!D:D,"AAAAAH/vfxQ=",0)</f>
        <v>0</v>
      </c>
      <c r="V2" s="52">
        <f>IF('&lt;Front_end&gt;_Syllabus'!E:E,"AAAAAH/vfxU=",0)</f>
        <v>0</v>
      </c>
      <c r="W2" s="52">
        <f>IF('&lt;Front_end&gt;_Syllabus'!F:F,"AAAAAH/vfxY=",0)</f>
        <v>0</v>
      </c>
      <c r="X2" s="52">
        <f>IF('&lt;Front_end&gt;_Syllabus'!G:G,"AAAAAH/vfxc=",0)</f>
        <v>0</v>
      </c>
      <c r="Y2" s="52" t="e">
        <f>IF(#REF!,"AAAAAH/vfxg=",0)</f>
        <v>#REF!</v>
      </c>
      <c r="Z2" s="52" t="e">
        <f>AND(#REF!,"AAAAAH/vfxk=")</f>
        <v>#REF!</v>
      </c>
      <c r="AA2" s="52" t="e">
        <f>AND(#REF!,"AAAAAH/vfxo=")</f>
        <v>#REF!</v>
      </c>
      <c r="AB2" s="52" t="e">
        <f>AND(#REF!,"AAAAAH/vfxs=")</f>
        <v>#REF!</v>
      </c>
      <c r="AC2" s="52" t="e">
        <f>AND(#REF!,"AAAAAH/vfxw=")</f>
        <v>#REF!</v>
      </c>
      <c r="AD2" s="52" t="e">
        <f>AND(#REF!,"AAAAAH/vfx0=")</f>
        <v>#REF!</v>
      </c>
      <c r="AE2" s="52" t="e">
        <f>AND(#REF!,"AAAAAH/vfx4=")</f>
        <v>#REF!</v>
      </c>
      <c r="AF2" s="52" t="e">
        <f>IF(#REF!,"AAAAAH/vfx8=",0)</f>
        <v>#REF!</v>
      </c>
      <c r="AG2" s="52" t="e">
        <f>AND(#REF!,"AAAAAH/vfyA=")</f>
        <v>#REF!</v>
      </c>
      <c r="AH2" s="52" t="e">
        <f>AND(#REF!,"AAAAAH/vfyE=")</f>
        <v>#REF!</v>
      </c>
      <c r="AI2" s="52" t="e">
        <f>AND(#REF!,"AAAAAH/vfyI=")</f>
        <v>#REF!</v>
      </c>
      <c r="AJ2" s="52" t="e">
        <f>AND(#REF!,"AAAAAH/vfyM=")</f>
        <v>#REF!</v>
      </c>
      <c r="AK2" s="52" t="e">
        <f>AND(#REF!,"AAAAAH/vfyQ=")</f>
        <v>#REF!</v>
      </c>
      <c r="AL2" s="52" t="e">
        <f>AND(#REF!,"AAAAAH/vfyU=")</f>
        <v>#REF!</v>
      </c>
      <c r="AM2" s="52" t="e">
        <f>IF(#REF!,"AAAAAH/vfyY=",0)</f>
        <v>#REF!</v>
      </c>
      <c r="AN2" s="52" t="e">
        <f>AND(#REF!,"AAAAAH/vfyc=")</f>
        <v>#REF!</v>
      </c>
      <c r="AO2" s="52" t="e">
        <f>AND(#REF!,"AAAAAH/vfyg=")</f>
        <v>#REF!</v>
      </c>
      <c r="AP2" s="52" t="e">
        <f>AND(#REF!,"AAAAAH/vfyk=")</f>
        <v>#REF!</v>
      </c>
      <c r="AQ2" s="52" t="e">
        <f>AND(#REF!,"AAAAAH/vfyo=")</f>
        <v>#REF!</v>
      </c>
      <c r="AR2" s="52" t="e">
        <f>AND(#REF!,"AAAAAH/vfys=")</f>
        <v>#REF!</v>
      </c>
      <c r="AS2" s="52" t="e">
        <f>AND(#REF!,"AAAAAH/vfyw=")</f>
        <v>#REF!</v>
      </c>
      <c r="AT2" s="52" t="e">
        <f>IF(#REF!,"AAAAAH/vfy0=",0)</f>
        <v>#REF!</v>
      </c>
      <c r="AU2" s="52" t="e">
        <f>AND(#REF!,"AAAAAH/vfy4=")</f>
        <v>#REF!</v>
      </c>
      <c r="AV2" s="52" t="e">
        <f>AND(#REF!,"AAAAAH/vfy8=")</f>
        <v>#REF!</v>
      </c>
      <c r="AW2" s="52" t="e">
        <f>AND(#REF!,"AAAAAH/vfzA=")</f>
        <v>#REF!</v>
      </c>
      <c r="AX2" s="52" t="e">
        <f>AND(#REF!,"AAAAAH/vfzE=")</f>
        <v>#REF!</v>
      </c>
      <c r="AY2" s="52" t="e">
        <f>AND(#REF!,"AAAAAH/vfzI=")</f>
        <v>#REF!</v>
      </c>
      <c r="AZ2" s="52" t="e">
        <f>AND(#REF!,"AAAAAH/vfzM=")</f>
        <v>#REF!</v>
      </c>
      <c r="BA2" s="52" t="e">
        <f>IF(#REF!,"AAAAAH/vfzQ=",0)</f>
        <v>#REF!</v>
      </c>
      <c r="BB2" s="52" t="e">
        <f>AND(#REF!,"AAAAAH/vfzU=")</f>
        <v>#REF!</v>
      </c>
      <c r="BC2" s="52" t="e">
        <f>AND(#REF!,"AAAAAH/vfzY=")</f>
        <v>#REF!</v>
      </c>
      <c r="BD2" s="52" t="e">
        <f>AND(#REF!,"AAAAAH/vfzc=")</f>
        <v>#REF!</v>
      </c>
      <c r="BE2" s="52" t="e">
        <f>AND(#REF!,"AAAAAH/vfzg=")</f>
        <v>#REF!</v>
      </c>
      <c r="BF2" s="52" t="e">
        <f>AND(#REF!,"AAAAAH/vfzk=")</f>
        <v>#REF!</v>
      </c>
      <c r="BG2" s="52" t="e">
        <f>AND(#REF!,"AAAAAH/vfzo=")</f>
        <v>#REF!</v>
      </c>
      <c r="BH2" s="52" t="e">
        <f>IF(#REF!,"AAAAAH/vfzs=",0)</f>
        <v>#REF!</v>
      </c>
      <c r="BI2" s="52" t="e">
        <f>AND(#REF!,"AAAAAH/vfzw=")</f>
        <v>#REF!</v>
      </c>
      <c r="BJ2" s="52" t="e">
        <f>AND(#REF!,"AAAAAH/vfz0=")</f>
        <v>#REF!</v>
      </c>
      <c r="BK2" s="52" t="e">
        <f>AND(#REF!,"AAAAAH/vfz4=")</f>
        <v>#REF!</v>
      </c>
      <c r="BL2" s="52" t="e">
        <f>AND(#REF!,"AAAAAH/vfz8=")</f>
        <v>#REF!</v>
      </c>
      <c r="BM2" s="52" t="e">
        <f>AND(#REF!,"AAAAAH/vf0A=")</f>
        <v>#REF!</v>
      </c>
      <c r="BN2" s="52" t="e">
        <f>AND(#REF!,"AAAAAH/vf0E=")</f>
        <v>#REF!</v>
      </c>
      <c r="BO2" s="52" t="e">
        <f>IF(#REF!,"AAAAAH/vf0I=",0)</f>
        <v>#REF!</v>
      </c>
      <c r="BP2" s="52" t="e">
        <f>AND(#REF!,"AAAAAH/vf0M=")</f>
        <v>#REF!</v>
      </c>
      <c r="BQ2" s="52" t="e">
        <f>AND(#REF!,"AAAAAH/vf0Q=")</f>
        <v>#REF!</v>
      </c>
      <c r="BR2" s="52" t="e">
        <f>AND(#REF!,"AAAAAH/vf0U=")</f>
        <v>#REF!</v>
      </c>
      <c r="BS2" s="52" t="e">
        <f>AND(#REF!,"AAAAAH/vf0Y=")</f>
        <v>#REF!</v>
      </c>
      <c r="BT2" s="52" t="e">
        <f>AND(#REF!,"AAAAAH/vf0c=")</f>
        <v>#REF!</v>
      </c>
      <c r="BU2" s="52" t="e">
        <f>AND(#REF!,"AAAAAH/vf0g=")</f>
        <v>#REF!</v>
      </c>
      <c r="BV2" s="52" t="e">
        <f>IF(#REF!,"AAAAAH/vf0k=",0)</f>
        <v>#REF!</v>
      </c>
      <c r="BW2" s="52" t="e">
        <f>AND(#REF!,"AAAAAH/vf0o=")</f>
        <v>#REF!</v>
      </c>
      <c r="BX2" s="52" t="e">
        <f>AND(#REF!,"AAAAAH/vf0s=")</f>
        <v>#REF!</v>
      </c>
      <c r="BY2" s="52" t="e">
        <f>AND(#REF!,"AAAAAH/vf0w=")</f>
        <v>#REF!</v>
      </c>
      <c r="BZ2" s="52" t="e">
        <f>AND(#REF!,"AAAAAH/vf00=")</f>
        <v>#REF!</v>
      </c>
      <c r="CA2" s="52" t="e">
        <f>AND(#REF!,"AAAAAH/vf04=")</f>
        <v>#REF!</v>
      </c>
      <c r="CB2" s="52" t="e">
        <f>AND(#REF!,"AAAAAH/vf08=")</f>
        <v>#REF!</v>
      </c>
      <c r="CC2" s="52" t="e">
        <f>IF(#REF!,"AAAAAH/vf1A=",0)</f>
        <v>#REF!</v>
      </c>
      <c r="CD2" s="52" t="e">
        <f>AND(#REF!,"AAAAAH/vf1E=")</f>
        <v>#REF!</v>
      </c>
      <c r="CE2" s="52" t="e">
        <f>AND(#REF!,"AAAAAH/vf1I=")</f>
        <v>#REF!</v>
      </c>
      <c r="CF2" s="52" t="e">
        <f>AND(#REF!,"AAAAAH/vf1M=")</f>
        <v>#REF!</v>
      </c>
      <c r="CG2" s="52" t="e">
        <f>AND(#REF!,"AAAAAH/vf1Q=")</f>
        <v>#REF!</v>
      </c>
      <c r="CH2" s="52" t="e">
        <f>AND(#REF!,"AAAAAH/vf1U=")</f>
        <v>#REF!</v>
      </c>
      <c r="CI2" s="52" t="e">
        <f>AND(#REF!,"AAAAAH/vf1Y=")</f>
        <v>#REF!</v>
      </c>
      <c r="CJ2" s="52" t="e">
        <f>IF(#REF!,"AAAAAH/vf1c=",0)</f>
        <v>#REF!</v>
      </c>
      <c r="CK2" s="52" t="e">
        <f>AND(#REF!,"AAAAAH/vf1g=")</f>
        <v>#REF!</v>
      </c>
      <c r="CL2" s="52" t="e">
        <f>AND(#REF!,"AAAAAH/vf1k=")</f>
        <v>#REF!</v>
      </c>
      <c r="CM2" s="52" t="e">
        <f>AND(#REF!,"AAAAAH/vf1o=")</f>
        <v>#REF!</v>
      </c>
      <c r="CN2" s="52" t="e">
        <f>AND(#REF!,"AAAAAH/vf1s=")</f>
        <v>#REF!</v>
      </c>
      <c r="CO2" s="52" t="e">
        <f>AND(#REF!,"AAAAAH/vf1w=")</f>
        <v>#REF!</v>
      </c>
      <c r="CP2" s="52" t="e">
        <f>AND(#REF!,"AAAAAH/vf10=")</f>
        <v>#REF!</v>
      </c>
      <c r="CQ2" s="52" t="e">
        <f>IF(#REF!,"AAAAAH/vf14=",0)</f>
        <v>#REF!</v>
      </c>
      <c r="CR2" s="52" t="e">
        <f>AND(#REF!,"AAAAAH/vf18=")</f>
        <v>#REF!</v>
      </c>
      <c r="CS2" s="52" t="e">
        <f>AND(#REF!,"AAAAAH/vf2A=")</f>
        <v>#REF!</v>
      </c>
      <c r="CT2" s="52" t="e">
        <f>AND(#REF!,"AAAAAH/vf2E=")</f>
        <v>#REF!</v>
      </c>
      <c r="CU2" s="52" t="e">
        <f>AND(#REF!,"AAAAAH/vf2I=")</f>
        <v>#REF!</v>
      </c>
      <c r="CV2" s="52" t="e">
        <f>AND(#REF!,"AAAAAH/vf2M=")</f>
        <v>#REF!</v>
      </c>
      <c r="CW2" s="52" t="e">
        <f>AND(#REF!,"AAAAAH/vf2Q=")</f>
        <v>#REF!</v>
      </c>
      <c r="CX2" s="52" t="e">
        <f>IF(#REF!,"AAAAAH/vf2U=",0)</f>
        <v>#REF!</v>
      </c>
      <c r="CY2" s="52" t="e">
        <f>AND(#REF!,"AAAAAH/vf2Y=")</f>
        <v>#REF!</v>
      </c>
      <c r="CZ2" s="52" t="e">
        <f>AND(#REF!,"AAAAAH/vf2c=")</f>
        <v>#REF!</v>
      </c>
      <c r="DA2" s="52" t="e">
        <f>AND(#REF!,"AAAAAH/vf2g=")</f>
        <v>#REF!</v>
      </c>
      <c r="DB2" s="52" t="e">
        <f>AND(#REF!,"AAAAAH/vf2k=")</f>
        <v>#REF!</v>
      </c>
      <c r="DC2" s="52" t="e">
        <f>AND(#REF!,"AAAAAH/vf2o=")</f>
        <v>#REF!</v>
      </c>
      <c r="DD2" s="52" t="e">
        <f>AND(#REF!,"AAAAAH/vf2s=")</f>
        <v>#REF!</v>
      </c>
      <c r="DE2" s="52" t="e">
        <f>IF(#REF!,"AAAAAH/vf2w=",0)</f>
        <v>#REF!</v>
      </c>
      <c r="DF2" s="52" t="e">
        <f>AND(#REF!,"AAAAAH/vf20=")</f>
        <v>#REF!</v>
      </c>
      <c r="DG2" s="52" t="e">
        <f>AND(#REF!,"AAAAAH/vf24=")</f>
        <v>#REF!</v>
      </c>
      <c r="DH2" s="52" t="e">
        <f>AND(#REF!,"AAAAAH/vf28=")</f>
        <v>#REF!</v>
      </c>
      <c r="DI2" s="52" t="e">
        <f>AND(#REF!,"AAAAAH/vf3A=")</f>
        <v>#REF!</v>
      </c>
      <c r="DJ2" s="52" t="e">
        <f>AND(#REF!,"AAAAAH/vf3E=")</f>
        <v>#REF!</v>
      </c>
      <c r="DK2" s="52" t="e">
        <f>AND(#REF!,"AAAAAH/vf3I=")</f>
        <v>#REF!</v>
      </c>
      <c r="DL2" s="52" t="e">
        <f>IF(#REF!,"AAAAAH/vf3M=",0)</f>
        <v>#REF!</v>
      </c>
      <c r="DM2" s="52" t="e">
        <f>AND(#REF!,"AAAAAH/vf3Q=")</f>
        <v>#REF!</v>
      </c>
      <c r="DN2" s="52" t="e">
        <f>AND(#REF!,"AAAAAH/vf3U=")</f>
        <v>#REF!</v>
      </c>
      <c r="DO2" s="52" t="e">
        <f>AND(#REF!,"AAAAAH/vf3Y=")</f>
        <v>#REF!</v>
      </c>
      <c r="DP2" s="52" t="e">
        <f>AND(#REF!,"AAAAAH/vf3c=")</f>
        <v>#REF!</v>
      </c>
      <c r="DQ2" s="52" t="e">
        <f>AND(#REF!,"AAAAAH/vf3g=")</f>
        <v>#REF!</v>
      </c>
      <c r="DR2" s="52" t="e">
        <f>AND(#REF!,"AAAAAH/vf3k=")</f>
        <v>#REF!</v>
      </c>
      <c r="DS2" s="52" t="e">
        <f>IF(#REF!,"AAAAAH/vf3o=",0)</f>
        <v>#REF!</v>
      </c>
      <c r="DT2" s="52" t="e">
        <f>AND(#REF!,"AAAAAH/vf3s=")</f>
        <v>#REF!</v>
      </c>
      <c r="DU2" s="52" t="e">
        <f>AND(#REF!,"AAAAAH/vf3w=")</f>
        <v>#REF!</v>
      </c>
      <c r="DV2" s="52" t="e">
        <f>AND(#REF!,"AAAAAH/vf30=")</f>
        <v>#REF!</v>
      </c>
      <c r="DW2" s="52" t="e">
        <f>AND(#REF!,"AAAAAH/vf34=")</f>
        <v>#REF!</v>
      </c>
      <c r="DX2" s="52" t="e">
        <f>AND(#REF!,"AAAAAH/vf38=")</f>
        <v>#REF!</v>
      </c>
      <c r="DY2" s="52" t="e">
        <f>AND(#REF!,"AAAAAH/vf4A=")</f>
        <v>#REF!</v>
      </c>
      <c r="DZ2" s="52" t="e">
        <f>IF(#REF!,"AAAAAH/vf4E=",0)</f>
        <v>#REF!</v>
      </c>
      <c r="EA2" s="52" t="e">
        <f>AND(#REF!,"AAAAAH/vf4I=")</f>
        <v>#REF!</v>
      </c>
      <c r="EB2" s="52" t="e">
        <f>AND(#REF!,"AAAAAH/vf4M=")</f>
        <v>#REF!</v>
      </c>
      <c r="EC2" s="52" t="e">
        <f>AND(#REF!,"AAAAAH/vf4Q=")</f>
        <v>#REF!</v>
      </c>
      <c r="ED2" s="52" t="e">
        <f>AND(#REF!,"AAAAAH/vf4U=")</f>
        <v>#REF!</v>
      </c>
      <c r="EE2" s="52" t="e">
        <f>AND(#REF!,"AAAAAH/vf4Y=")</f>
        <v>#REF!</v>
      </c>
      <c r="EF2" s="52" t="e">
        <f>AND(#REF!,"AAAAAH/vf4c=")</f>
        <v>#REF!</v>
      </c>
      <c r="EG2" s="52" t="e">
        <f>IF(#REF!,"AAAAAH/vf4g=",0)</f>
        <v>#REF!</v>
      </c>
      <c r="EH2" s="52" t="e">
        <f>AND(#REF!,"AAAAAH/vf4k=")</f>
        <v>#REF!</v>
      </c>
      <c r="EI2" s="52" t="e">
        <f>AND(#REF!,"AAAAAH/vf4o=")</f>
        <v>#REF!</v>
      </c>
      <c r="EJ2" s="52" t="e">
        <f>AND(#REF!,"AAAAAH/vf4s=")</f>
        <v>#REF!</v>
      </c>
      <c r="EK2" s="52" t="e">
        <f>AND(#REF!,"AAAAAH/vf4w=")</f>
        <v>#REF!</v>
      </c>
      <c r="EL2" s="52" t="e">
        <f>AND(#REF!,"AAAAAH/vf40=")</f>
        <v>#REF!</v>
      </c>
      <c r="EM2" s="52" t="e">
        <f>AND(#REF!,"AAAAAH/vf44=")</f>
        <v>#REF!</v>
      </c>
      <c r="EN2" s="52" t="e">
        <f>IF(#REF!,"AAAAAH/vf48=",0)</f>
        <v>#REF!</v>
      </c>
      <c r="EO2" s="52" t="e">
        <f>AND(#REF!,"AAAAAH/vf5A=")</f>
        <v>#REF!</v>
      </c>
      <c r="EP2" s="52" t="e">
        <f>AND(#REF!,"AAAAAH/vf5E=")</f>
        <v>#REF!</v>
      </c>
      <c r="EQ2" s="52" t="e">
        <f>AND(#REF!,"AAAAAH/vf5I=")</f>
        <v>#REF!</v>
      </c>
      <c r="ER2" s="52" t="e">
        <f>AND(#REF!,"AAAAAH/vf5M=")</f>
        <v>#REF!</v>
      </c>
      <c r="ES2" s="52" t="e">
        <f>AND(#REF!,"AAAAAH/vf5Q=")</f>
        <v>#REF!</v>
      </c>
      <c r="ET2" s="52" t="e">
        <f>AND(#REF!,"AAAAAH/vf5U=")</f>
        <v>#REF!</v>
      </c>
      <c r="EU2" s="52" t="e">
        <f>IF(#REF!,"AAAAAH/vf5Y=",0)</f>
        <v>#REF!</v>
      </c>
      <c r="EV2" s="52" t="e">
        <f>AND(#REF!,"AAAAAH/vf5c=")</f>
        <v>#REF!</v>
      </c>
      <c r="EW2" s="52" t="e">
        <f>AND(#REF!,"AAAAAH/vf5g=")</f>
        <v>#REF!</v>
      </c>
      <c r="EX2" s="52" t="e">
        <f>AND(#REF!,"AAAAAH/vf5k=")</f>
        <v>#REF!</v>
      </c>
      <c r="EY2" s="52" t="e">
        <f>AND(#REF!,"AAAAAH/vf5o=")</f>
        <v>#REF!</v>
      </c>
      <c r="EZ2" s="52" t="e">
        <f>AND(#REF!,"AAAAAH/vf5s=")</f>
        <v>#REF!</v>
      </c>
      <c r="FA2" s="52" t="e">
        <f>AND(#REF!,"AAAAAH/vf5w=")</f>
        <v>#REF!</v>
      </c>
      <c r="FB2" s="52" t="e">
        <f>IF(#REF!,"AAAAAH/vf50=",0)</f>
        <v>#REF!</v>
      </c>
      <c r="FC2" s="52" t="e">
        <f>AND(#REF!,"AAAAAH/vf54=")</f>
        <v>#REF!</v>
      </c>
      <c r="FD2" s="52" t="e">
        <f>AND(#REF!,"AAAAAH/vf58=")</f>
        <v>#REF!</v>
      </c>
      <c r="FE2" s="52" t="e">
        <f>AND(#REF!,"AAAAAH/vf6A=")</f>
        <v>#REF!</v>
      </c>
      <c r="FF2" s="52" t="e">
        <f>AND(#REF!,"AAAAAH/vf6E=")</f>
        <v>#REF!</v>
      </c>
      <c r="FG2" s="52" t="e">
        <f>AND(#REF!,"AAAAAH/vf6I=")</f>
        <v>#REF!</v>
      </c>
      <c r="FH2" s="52" t="e">
        <f>AND(#REF!,"AAAAAH/vf6M=")</f>
        <v>#REF!</v>
      </c>
      <c r="FI2" s="52" t="e">
        <f>IF(#REF!,"AAAAAH/vf6Q=",0)</f>
        <v>#REF!</v>
      </c>
      <c r="FJ2" s="52" t="e">
        <f>AND(#REF!,"AAAAAH/vf6U=")</f>
        <v>#REF!</v>
      </c>
      <c r="FK2" s="52" t="e">
        <f>AND(#REF!,"AAAAAH/vf6Y=")</f>
        <v>#REF!</v>
      </c>
      <c r="FL2" s="52" t="e">
        <f>AND(#REF!,"AAAAAH/vf6c=")</f>
        <v>#REF!</v>
      </c>
      <c r="FM2" s="52" t="e">
        <f>AND(#REF!,"AAAAAH/vf6g=")</f>
        <v>#REF!</v>
      </c>
      <c r="FN2" s="52" t="e">
        <f>AND(#REF!,"AAAAAH/vf6k=")</f>
        <v>#REF!</v>
      </c>
      <c r="FO2" s="52" t="e">
        <f>AND(#REF!,"AAAAAH/vf6o=")</f>
        <v>#REF!</v>
      </c>
      <c r="FP2" s="52" t="e">
        <f>IF(#REF!,"AAAAAH/vf6s=",0)</f>
        <v>#REF!</v>
      </c>
      <c r="FQ2" s="52" t="e">
        <f>AND(#REF!,"AAAAAH/vf6w=")</f>
        <v>#REF!</v>
      </c>
      <c r="FR2" s="52" t="e">
        <f>AND(#REF!,"AAAAAH/vf60=")</f>
        <v>#REF!</v>
      </c>
      <c r="FS2" s="52" t="e">
        <f>AND(#REF!,"AAAAAH/vf64=")</f>
        <v>#REF!</v>
      </c>
      <c r="FT2" s="52" t="e">
        <f>AND(#REF!,"AAAAAH/vf68=")</f>
        <v>#REF!</v>
      </c>
      <c r="FU2" s="52" t="e">
        <f>AND(#REF!,"AAAAAH/vf7A=")</f>
        <v>#REF!</v>
      </c>
      <c r="FV2" s="52" t="e">
        <f>AND(#REF!,"AAAAAH/vf7E=")</f>
        <v>#REF!</v>
      </c>
      <c r="FW2" s="52" t="e">
        <f>IF(#REF!,"AAAAAH/vf7I=",0)</f>
        <v>#REF!</v>
      </c>
      <c r="FX2" s="52" t="e">
        <f>AND(#REF!,"AAAAAH/vf7M=")</f>
        <v>#REF!</v>
      </c>
      <c r="FY2" s="52" t="e">
        <f>AND(#REF!,"AAAAAH/vf7Q=")</f>
        <v>#REF!</v>
      </c>
      <c r="FZ2" s="52" t="e">
        <f>AND(#REF!,"AAAAAH/vf7U=")</f>
        <v>#REF!</v>
      </c>
      <c r="GA2" s="52" t="e">
        <f>AND(#REF!,"AAAAAH/vf7Y=")</f>
        <v>#REF!</v>
      </c>
      <c r="GB2" s="52" t="e">
        <f>AND(#REF!,"AAAAAH/vf7c=")</f>
        <v>#REF!</v>
      </c>
      <c r="GC2" s="52" t="e">
        <f>AND(#REF!,"AAAAAH/vf7g=")</f>
        <v>#REF!</v>
      </c>
      <c r="GD2" s="52" t="e">
        <f>IF(#REF!,"AAAAAH/vf7k=",0)</f>
        <v>#REF!</v>
      </c>
      <c r="GE2" s="52" t="e">
        <f>AND(#REF!,"AAAAAH/vf7o=")</f>
        <v>#REF!</v>
      </c>
      <c r="GF2" s="52" t="e">
        <f>AND(#REF!,"AAAAAH/vf7s=")</f>
        <v>#REF!</v>
      </c>
      <c r="GG2" s="52" t="e">
        <f>AND(#REF!,"AAAAAH/vf7w=")</f>
        <v>#REF!</v>
      </c>
      <c r="GH2" s="52" t="e">
        <f>AND(#REF!,"AAAAAH/vf70=")</f>
        <v>#REF!</v>
      </c>
      <c r="GI2" s="52" t="e">
        <f>AND(#REF!,"AAAAAH/vf74=")</f>
        <v>#REF!</v>
      </c>
      <c r="GJ2" s="52" t="e">
        <f>AND(#REF!,"AAAAAH/vf78=")</f>
        <v>#REF!</v>
      </c>
      <c r="GK2" s="52" t="e">
        <f>IF(#REF!,"AAAAAH/vf8A=",0)</f>
        <v>#REF!</v>
      </c>
      <c r="GL2" s="52" t="e">
        <f>AND(#REF!,"AAAAAH/vf8E=")</f>
        <v>#REF!</v>
      </c>
      <c r="GM2" s="52" t="e">
        <f>AND(#REF!,"AAAAAH/vf8I=")</f>
        <v>#REF!</v>
      </c>
      <c r="GN2" s="52" t="e">
        <f>AND(#REF!,"AAAAAH/vf8M=")</f>
        <v>#REF!</v>
      </c>
      <c r="GO2" s="52" t="e">
        <f>AND(#REF!,"AAAAAH/vf8Q=")</f>
        <v>#REF!</v>
      </c>
      <c r="GP2" s="52" t="e">
        <f>AND(#REF!,"AAAAAH/vf8U=")</f>
        <v>#REF!</v>
      </c>
      <c r="GQ2" s="52" t="e">
        <f>AND(#REF!,"AAAAAH/vf8Y=")</f>
        <v>#REF!</v>
      </c>
      <c r="GR2" s="52" t="e">
        <f>IF(#REF!,"AAAAAH/vf8c=",0)</f>
        <v>#REF!</v>
      </c>
      <c r="GS2" s="52" t="e">
        <f>AND(#REF!,"AAAAAH/vf8g=")</f>
        <v>#REF!</v>
      </c>
      <c r="GT2" s="52" t="e">
        <f>AND(#REF!,"AAAAAH/vf8k=")</f>
        <v>#REF!</v>
      </c>
      <c r="GU2" s="52" t="e">
        <f>AND(#REF!,"AAAAAH/vf8o=")</f>
        <v>#REF!</v>
      </c>
      <c r="GV2" s="52" t="e">
        <f>AND(#REF!,"AAAAAH/vf8s=")</f>
        <v>#REF!</v>
      </c>
      <c r="GW2" s="52" t="e">
        <f>AND(#REF!,"AAAAAH/vf8w=")</f>
        <v>#REF!</v>
      </c>
      <c r="GX2" s="52" t="e">
        <f>AND(#REF!,"AAAAAH/vf80=")</f>
        <v>#REF!</v>
      </c>
      <c r="GY2" s="52" t="e">
        <f>IF(#REF!,"AAAAAH/vf84=",0)</f>
        <v>#REF!</v>
      </c>
      <c r="GZ2" s="52" t="e">
        <f>AND(#REF!,"AAAAAH/vf88=")</f>
        <v>#REF!</v>
      </c>
      <c r="HA2" s="52" t="e">
        <f>AND(#REF!,"AAAAAH/vf9A=")</f>
        <v>#REF!</v>
      </c>
      <c r="HB2" s="52" t="e">
        <f>AND(#REF!,"AAAAAH/vf9E=")</f>
        <v>#REF!</v>
      </c>
      <c r="HC2" s="52" t="e">
        <f>AND(#REF!,"AAAAAH/vf9I=")</f>
        <v>#REF!</v>
      </c>
      <c r="HD2" s="52" t="e">
        <f>AND(#REF!,"AAAAAH/vf9M=")</f>
        <v>#REF!</v>
      </c>
      <c r="HE2" s="52" t="e">
        <f>AND(#REF!,"AAAAAH/vf9Q=")</f>
        <v>#REF!</v>
      </c>
      <c r="HF2" s="52" t="e">
        <f>IF(#REF!,"AAAAAH/vf9U=",0)</f>
        <v>#REF!</v>
      </c>
      <c r="HG2" s="52" t="e">
        <f>AND(#REF!,"AAAAAH/vf9Y=")</f>
        <v>#REF!</v>
      </c>
      <c r="HH2" s="52" t="e">
        <f>AND(#REF!,"AAAAAH/vf9c=")</f>
        <v>#REF!</v>
      </c>
      <c r="HI2" s="52" t="e">
        <f>AND(#REF!,"AAAAAH/vf9g=")</f>
        <v>#REF!</v>
      </c>
      <c r="HJ2" s="52" t="e">
        <f>AND(#REF!,"AAAAAH/vf9k=")</f>
        <v>#REF!</v>
      </c>
      <c r="HK2" s="52" t="e">
        <f>AND(#REF!,"AAAAAH/vf9o=")</f>
        <v>#REF!</v>
      </c>
      <c r="HL2" s="52" t="e">
        <f>AND(#REF!,"AAAAAH/vf9s=")</f>
        <v>#REF!</v>
      </c>
      <c r="HM2" s="52" t="e">
        <f>IF(#REF!,"AAAAAH/vf9w=",0)</f>
        <v>#REF!</v>
      </c>
      <c r="HN2" s="52" t="e">
        <f>AND(#REF!,"AAAAAH/vf90=")</f>
        <v>#REF!</v>
      </c>
      <c r="HO2" s="52" t="e">
        <f>AND(#REF!,"AAAAAH/vf94=")</f>
        <v>#REF!</v>
      </c>
      <c r="HP2" s="52" t="e">
        <f>AND(#REF!,"AAAAAH/vf98=")</f>
        <v>#REF!</v>
      </c>
      <c r="HQ2" s="52" t="e">
        <f>AND(#REF!,"AAAAAH/vf+A=")</f>
        <v>#REF!</v>
      </c>
      <c r="HR2" s="52" t="e">
        <f>AND(#REF!,"AAAAAH/vf+E=")</f>
        <v>#REF!</v>
      </c>
      <c r="HS2" s="52" t="e">
        <f>AND(#REF!,"AAAAAH/vf+I=")</f>
        <v>#REF!</v>
      </c>
      <c r="HT2" s="52" t="e">
        <f>IF(#REF!,"AAAAAH/vf+M=",0)</f>
        <v>#REF!</v>
      </c>
      <c r="HU2" s="52" t="e">
        <f>AND(#REF!,"AAAAAH/vf+Q=")</f>
        <v>#REF!</v>
      </c>
      <c r="HV2" s="52" t="e">
        <f>AND(#REF!,"AAAAAH/vf+U=")</f>
        <v>#REF!</v>
      </c>
      <c r="HW2" s="52" t="e">
        <f>AND(#REF!,"AAAAAH/vf+Y=")</f>
        <v>#REF!</v>
      </c>
      <c r="HX2" s="52" t="e">
        <f>AND(#REF!,"AAAAAH/vf+c=")</f>
        <v>#REF!</v>
      </c>
      <c r="HY2" s="52" t="e">
        <f>AND(#REF!,"AAAAAH/vf+g=")</f>
        <v>#REF!</v>
      </c>
      <c r="HZ2" s="52" t="e">
        <f>AND(#REF!,"AAAAAH/vf+k=")</f>
        <v>#REF!</v>
      </c>
      <c r="IA2" s="52" t="e">
        <f>IF(#REF!,"AAAAAH/vf+o=",0)</f>
        <v>#REF!</v>
      </c>
      <c r="IB2" s="52" t="e">
        <f>AND(#REF!,"AAAAAH/vf+s=")</f>
        <v>#REF!</v>
      </c>
      <c r="IC2" s="52" t="e">
        <f>AND(#REF!,"AAAAAH/vf+w=")</f>
        <v>#REF!</v>
      </c>
      <c r="ID2" s="52" t="e">
        <f>AND(#REF!,"AAAAAH/vf+0=")</f>
        <v>#REF!</v>
      </c>
      <c r="IE2" s="52" t="e">
        <f>AND(#REF!,"AAAAAH/vf+4=")</f>
        <v>#REF!</v>
      </c>
      <c r="IF2" s="52" t="e">
        <f>AND(#REF!,"AAAAAH/vf+8=")</f>
        <v>#REF!</v>
      </c>
      <c r="IG2" s="52" t="e">
        <f>AND(#REF!,"AAAAAH/vf/A=")</f>
        <v>#REF!</v>
      </c>
      <c r="IH2" s="52" t="e">
        <f>IF(#REF!,"AAAAAH/vf/E=",0)</f>
        <v>#REF!</v>
      </c>
      <c r="II2" s="52" t="e">
        <f>AND(#REF!,"AAAAAH/vf/I=")</f>
        <v>#REF!</v>
      </c>
      <c r="IJ2" s="52" t="e">
        <f>AND(#REF!,"AAAAAH/vf/M=")</f>
        <v>#REF!</v>
      </c>
      <c r="IK2" s="52" t="e">
        <f>AND(#REF!,"AAAAAH/vf/Q=")</f>
        <v>#REF!</v>
      </c>
      <c r="IL2" s="52" t="e">
        <f>AND(#REF!,"AAAAAH/vf/U=")</f>
        <v>#REF!</v>
      </c>
      <c r="IM2" s="52" t="e">
        <f>AND(#REF!,"AAAAAH/vf/Y=")</f>
        <v>#REF!</v>
      </c>
      <c r="IN2" s="52" t="e">
        <f>AND(#REF!,"AAAAAH/vf/c=")</f>
        <v>#REF!</v>
      </c>
      <c r="IO2" s="52" t="e">
        <f>IF(#REF!,"AAAAAH/vf/g=",0)</f>
        <v>#REF!</v>
      </c>
      <c r="IP2" s="52" t="e">
        <f>AND(#REF!,"AAAAAH/vf/k=")</f>
        <v>#REF!</v>
      </c>
      <c r="IQ2" s="52" t="e">
        <f>AND(#REF!,"AAAAAH/vf/o=")</f>
        <v>#REF!</v>
      </c>
      <c r="IR2" s="52" t="e">
        <f>AND(#REF!,"AAAAAH/vf/s=")</f>
        <v>#REF!</v>
      </c>
      <c r="IS2" s="52" t="e">
        <f>AND(#REF!,"AAAAAH/vf/w=")</f>
        <v>#REF!</v>
      </c>
      <c r="IT2" s="52" t="e">
        <f>AND(#REF!,"AAAAAH/vf/0=")</f>
        <v>#REF!</v>
      </c>
      <c r="IU2" s="52" t="e">
        <f>AND(#REF!,"AAAAAH/vf/4=")</f>
        <v>#REF!</v>
      </c>
      <c r="IV2" s="52" t="e">
        <f>IF(#REF!,"AAAAAH/vf/8=",0)</f>
        <v>#REF!</v>
      </c>
    </row>
    <row r="3" spans="1:256" ht="12.75" customHeight="1">
      <c r="A3" s="52" t="e">
        <f>AND(#REF!,"AAAAABPz/wA=")</f>
        <v>#REF!</v>
      </c>
      <c r="B3" s="52" t="e">
        <f>AND(#REF!,"AAAAABPz/wE=")</f>
        <v>#REF!</v>
      </c>
      <c r="C3" s="52" t="e">
        <f>AND(#REF!,"AAAAABPz/wI=")</f>
        <v>#REF!</v>
      </c>
      <c r="D3" s="52" t="e">
        <f>AND(#REF!,"AAAAABPz/wM=")</f>
        <v>#REF!</v>
      </c>
      <c r="E3" s="52" t="e">
        <f>AND(#REF!,"AAAAABPz/wQ=")</f>
        <v>#REF!</v>
      </c>
      <c r="F3" s="52" t="e">
        <f>AND(#REF!,"AAAAABPz/wU=")</f>
        <v>#REF!</v>
      </c>
      <c r="G3" s="52" t="e">
        <f>IF(#REF!,"AAAAABPz/wY=",0)</f>
        <v>#REF!</v>
      </c>
      <c r="H3" s="52" t="e">
        <f>AND(#REF!,"AAAAABPz/wc=")</f>
        <v>#REF!</v>
      </c>
      <c r="I3" s="52" t="e">
        <f>AND(#REF!,"AAAAABPz/wg=")</f>
        <v>#REF!</v>
      </c>
      <c r="J3" s="52" t="e">
        <f>AND(#REF!,"AAAAABPz/wk=")</f>
        <v>#REF!</v>
      </c>
      <c r="K3" s="52" t="e">
        <f>AND(#REF!,"AAAAABPz/wo=")</f>
        <v>#REF!</v>
      </c>
      <c r="L3" s="52" t="e">
        <f>AND(#REF!,"AAAAABPz/ws=")</f>
        <v>#REF!</v>
      </c>
      <c r="M3" s="52" t="e">
        <f>AND(#REF!,"AAAAABPz/ww=")</f>
        <v>#REF!</v>
      </c>
      <c r="N3" s="52" t="e">
        <f>IF(#REF!,"AAAAABPz/w0=",0)</f>
        <v>#REF!</v>
      </c>
      <c r="O3" s="52" t="e">
        <f>AND(#REF!,"AAAAABPz/w4=")</f>
        <v>#REF!</v>
      </c>
      <c r="P3" s="52" t="e">
        <f>AND(#REF!,"AAAAABPz/w8=")</f>
        <v>#REF!</v>
      </c>
      <c r="Q3" s="52" t="e">
        <f>AND(#REF!,"AAAAABPz/xA=")</f>
        <v>#REF!</v>
      </c>
      <c r="R3" s="52" t="e">
        <f>AND(#REF!,"AAAAABPz/xE=")</f>
        <v>#REF!</v>
      </c>
      <c r="S3" s="52" t="e">
        <f>AND(#REF!,"AAAAABPz/xI=")</f>
        <v>#REF!</v>
      </c>
      <c r="T3" s="52" t="e">
        <f>AND(#REF!,"AAAAABPz/xM=")</f>
        <v>#REF!</v>
      </c>
      <c r="U3" s="52" t="e">
        <f>IF(#REF!,"AAAAABPz/xQ=",0)</f>
        <v>#REF!</v>
      </c>
      <c r="V3" s="52" t="e">
        <f>AND(#REF!,"AAAAABPz/xU=")</f>
        <v>#REF!</v>
      </c>
      <c r="W3" s="52" t="e">
        <f>AND(#REF!,"AAAAABPz/xY=")</f>
        <v>#REF!</v>
      </c>
      <c r="X3" s="52" t="e">
        <f>AND(#REF!,"AAAAABPz/xc=")</f>
        <v>#REF!</v>
      </c>
      <c r="Y3" s="52" t="e">
        <f>AND(#REF!,"AAAAABPz/xg=")</f>
        <v>#REF!</v>
      </c>
      <c r="Z3" s="52" t="e">
        <f>AND(#REF!,"AAAAABPz/xk=")</f>
        <v>#REF!</v>
      </c>
      <c r="AA3" s="52" t="e">
        <f>AND(#REF!,"AAAAABPz/xo=")</f>
        <v>#REF!</v>
      </c>
      <c r="AB3" s="52" t="e">
        <f>IF(#REF!,"AAAAABPz/xs=",0)</f>
        <v>#REF!</v>
      </c>
      <c r="AC3" s="52" t="e">
        <f>AND(#REF!,"AAAAABPz/xw=")</f>
        <v>#REF!</v>
      </c>
      <c r="AD3" s="52" t="e">
        <f>AND(#REF!,"AAAAABPz/x0=")</f>
        <v>#REF!</v>
      </c>
      <c r="AE3" s="52" t="e">
        <f>AND(#REF!,"AAAAABPz/x4=")</f>
        <v>#REF!</v>
      </c>
      <c r="AF3" s="52" t="e">
        <f>AND(#REF!,"AAAAABPz/x8=")</f>
        <v>#REF!</v>
      </c>
      <c r="AG3" s="52" t="e">
        <f>AND(#REF!,"AAAAABPz/yA=")</f>
        <v>#REF!</v>
      </c>
      <c r="AH3" s="52" t="e">
        <f>AND(#REF!,"AAAAABPz/yE=")</f>
        <v>#REF!</v>
      </c>
      <c r="AI3" s="52" t="e">
        <f>IF(#REF!,"AAAAABPz/yI=",0)</f>
        <v>#REF!</v>
      </c>
      <c r="AJ3" s="52" t="e">
        <f>AND(#REF!,"AAAAABPz/yM=")</f>
        <v>#REF!</v>
      </c>
      <c r="AK3" s="52" t="e">
        <f>AND(#REF!,"AAAAABPz/yQ=")</f>
        <v>#REF!</v>
      </c>
      <c r="AL3" s="52" t="e">
        <f>AND(#REF!,"AAAAABPz/yU=")</f>
        <v>#REF!</v>
      </c>
      <c r="AM3" s="52" t="e">
        <f>AND(#REF!,"AAAAABPz/yY=")</f>
        <v>#REF!</v>
      </c>
      <c r="AN3" s="52" t="e">
        <f>AND(#REF!,"AAAAABPz/yc=")</f>
        <v>#REF!</v>
      </c>
      <c r="AO3" s="52" t="e">
        <f>AND(#REF!,"AAAAABPz/yg=")</f>
        <v>#REF!</v>
      </c>
      <c r="AP3" s="52" t="e">
        <f>IF(#REF!,"AAAAABPz/yk=",0)</f>
        <v>#REF!</v>
      </c>
      <c r="AQ3" s="52" t="e">
        <f>AND(#REF!,"AAAAABPz/yo=")</f>
        <v>#REF!</v>
      </c>
      <c r="AR3" s="52" t="e">
        <f>AND(#REF!,"AAAAABPz/ys=")</f>
        <v>#REF!</v>
      </c>
      <c r="AS3" s="52" t="e">
        <f>AND(#REF!,"AAAAABPz/yw=")</f>
        <v>#REF!</v>
      </c>
      <c r="AT3" s="52" t="e">
        <f>AND(#REF!,"AAAAABPz/y0=")</f>
        <v>#REF!</v>
      </c>
      <c r="AU3" s="52" t="e">
        <f>AND(#REF!,"AAAAABPz/y4=")</f>
        <v>#REF!</v>
      </c>
      <c r="AV3" s="52" t="e">
        <f>AND(#REF!,"AAAAABPz/y8=")</f>
        <v>#REF!</v>
      </c>
      <c r="AW3" s="52" t="e">
        <f>IF(#REF!,"AAAAABPz/zA=",0)</f>
        <v>#REF!</v>
      </c>
      <c r="AX3" s="52" t="e">
        <f>AND(#REF!,"AAAAABPz/zE=")</f>
        <v>#REF!</v>
      </c>
      <c r="AY3" s="52" t="e">
        <f>AND(#REF!,"AAAAABPz/zI=")</f>
        <v>#REF!</v>
      </c>
      <c r="AZ3" s="52" t="e">
        <f>AND(#REF!,"AAAAABPz/zM=")</f>
        <v>#REF!</v>
      </c>
      <c r="BA3" s="52" t="e">
        <f>AND(#REF!,"AAAAABPz/zQ=")</f>
        <v>#REF!</v>
      </c>
      <c r="BB3" s="52" t="e">
        <f>AND(#REF!,"AAAAABPz/zU=")</f>
        <v>#REF!</v>
      </c>
      <c r="BC3" s="52" t="e">
        <f>AND(#REF!,"AAAAABPz/zY=")</f>
        <v>#REF!</v>
      </c>
      <c r="BD3" s="52" t="e">
        <f>IF(#REF!,"AAAAABPz/zc=",0)</f>
        <v>#REF!</v>
      </c>
      <c r="BE3" s="52" t="e">
        <f>AND(#REF!,"AAAAABPz/zg=")</f>
        <v>#REF!</v>
      </c>
      <c r="BF3" s="52" t="e">
        <f>AND(#REF!,"AAAAABPz/zk=")</f>
        <v>#REF!</v>
      </c>
      <c r="BG3" s="52" t="e">
        <f>AND(#REF!,"AAAAABPz/zo=")</f>
        <v>#REF!</v>
      </c>
      <c r="BH3" s="52" t="e">
        <f>AND(#REF!,"AAAAABPz/zs=")</f>
        <v>#REF!</v>
      </c>
      <c r="BI3" s="52" t="e">
        <f>AND(#REF!,"AAAAABPz/zw=")</f>
        <v>#REF!</v>
      </c>
      <c r="BJ3" s="52" t="e">
        <f>AND(#REF!,"AAAAABPz/z0=")</f>
        <v>#REF!</v>
      </c>
      <c r="BK3" s="52" t="e">
        <f>IF(#REF!,"AAAAABPz/z4=",0)</f>
        <v>#REF!</v>
      </c>
      <c r="BL3" s="52" t="e">
        <f>AND(#REF!,"AAAAABPz/z8=")</f>
        <v>#REF!</v>
      </c>
      <c r="BM3" s="52" t="e">
        <f>AND(#REF!,"AAAAABPz/0A=")</f>
        <v>#REF!</v>
      </c>
      <c r="BN3" s="52" t="e">
        <f>AND(#REF!,"AAAAABPz/0E=")</f>
        <v>#REF!</v>
      </c>
      <c r="BO3" s="52" t="e">
        <f>AND(#REF!,"AAAAABPz/0I=")</f>
        <v>#REF!</v>
      </c>
      <c r="BP3" s="52" t="e">
        <f>AND(#REF!,"AAAAABPz/0M=")</f>
        <v>#REF!</v>
      </c>
      <c r="BQ3" s="52" t="e">
        <f>AND(#REF!,"AAAAABPz/0Q=")</f>
        <v>#REF!</v>
      </c>
      <c r="BR3" s="52" t="e">
        <f>IF(#REF!,"AAAAABPz/0U=",0)</f>
        <v>#REF!</v>
      </c>
      <c r="BS3" s="52" t="e">
        <f>AND(#REF!,"AAAAABPz/0Y=")</f>
        <v>#REF!</v>
      </c>
      <c r="BT3" s="52" t="e">
        <f>AND(#REF!,"AAAAABPz/0c=")</f>
        <v>#REF!</v>
      </c>
      <c r="BU3" s="52" t="e">
        <f>AND(#REF!,"AAAAABPz/0g=")</f>
        <v>#REF!</v>
      </c>
      <c r="BV3" s="52" t="e">
        <f>AND(#REF!,"AAAAABPz/0k=")</f>
        <v>#REF!</v>
      </c>
      <c r="BW3" s="52" t="e">
        <f>AND(#REF!,"AAAAABPz/0o=")</f>
        <v>#REF!</v>
      </c>
      <c r="BX3" s="52" t="e">
        <f>AND(#REF!,"AAAAABPz/0s=")</f>
        <v>#REF!</v>
      </c>
      <c r="BY3" s="52" t="e">
        <f>IF(#REF!,"AAAAABPz/0w=",0)</f>
        <v>#REF!</v>
      </c>
      <c r="BZ3" s="52" t="e">
        <f>AND(#REF!,"AAAAABPz/00=")</f>
        <v>#REF!</v>
      </c>
      <c r="CA3" s="52" t="e">
        <f>AND(#REF!,"AAAAABPz/04=")</f>
        <v>#REF!</v>
      </c>
      <c r="CB3" s="52" t="e">
        <f>AND(#REF!,"AAAAABPz/08=")</f>
        <v>#REF!</v>
      </c>
      <c r="CC3" s="52" t="e">
        <f>AND(#REF!,"AAAAABPz/1A=")</f>
        <v>#REF!</v>
      </c>
      <c r="CD3" s="52" t="e">
        <f>AND(#REF!,"AAAAABPz/1E=")</f>
        <v>#REF!</v>
      </c>
      <c r="CE3" s="52" t="e">
        <f>AND(#REF!,"AAAAABPz/1I=")</f>
        <v>#REF!</v>
      </c>
      <c r="CF3" s="52" t="e">
        <f>IF(#REF!,"AAAAABPz/1M=",0)</f>
        <v>#REF!</v>
      </c>
      <c r="CG3" s="52" t="e">
        <f>AND(#REF!,"AAAAABPz/1Q=")</f>
        <v>#REF!</v>
      </c>
      <c r="CH3" s="52" t="e">
        <f>AND(#REF!,"AAAAABPz/1U=")</f>
        <v>#REF!</v>
      </c>
      <c r="CI3" s="52" t="e">
        <f>AND(#REF!,"AAAAABPz/1Y=")</f>
        <v>#REF!</v>
      </c>
      <c r="CJ3" s="52" t="e">
        <f>AND(#REF!,"AAAAABPz/1c=")</f>
        <v>#REF!</v>
      </c>
      <c r="CK3" s="52" t="e">
        <f>AND(#REF!,"AAAAABPz/1g=")</f>
        <v>#REF!</v>
      </c>
      <c r="CL3" s="52" t="e">
        <f>AND(#REF!,"AAAAABPz/1k=")</f>
        <v>#REF!</v>
      </c>
      <c r="CM3" s="52" t="e">
        <f>IF(#REF!,"AAAAABPz/1o=",0)</f>
        <v>#REF!</v>
      </c>
      <c r="CN3" s="52" t="e">
        <f>AND(#REF!,"AAAAABPz/1s=")</f>
        <v>#REF!</v>
      </c>
      <c r="CO3" s="52" t="e">
        <f>AND(#REF!,"AAAAABPz/1w=")</f>
        <v>#REF!</v>
      </c>
      <c r="CP3" s="52" t="e">
        <f>AND(#REF!,"AAAAABPz/10=")</f>
        <v>#REF!</v>
      </c>
      <c r="CQ3" s="52" t="e">
        <f>AND(#REF!,"AAAAABPz/14=")</f>
        <v>#REF!</v>
      </c>
      <c r="CR3" s="52" t="e">
        <f>AND(#REF!,"AAAAABPz/18=")</f>
        <v>#REF!</v>
      </c>
      <c r="CS3" s="52" t="e">
        <f>AND(#REF!,"AAAAABPz/2A=")</f>
        <v>#REF!</v>
      </c>
      <c r="CT3" s="52" t="e">
        <f>IF(#REF!,"AAAAABPz/2E=",0)</f>
        <v>#REF!</v>
      </c>
      <c r="CU3" s="52" t="e">
        <f>AND(#REF!,"AAAAABPz/2I=")</f>
        <v>#REF!</v>
      </c>
      <c r="CV3" s="52" t="e">
        <f>AND(#REF!,"AAAAABPz/2M=")</f>
        <v>#REF!</v>
      </c>
      <c r="CW3" s="52" t="e">
        <f>AND(#REF!,"AAAAABPz/2Q=")</f>
        <v>#REF!</v>
      </c>
      <c r="CX3" s="52" t="e">
        <f>AND(#REF!,"AAAAABPz/2U=")</f>
        <v>#REF!</v>
      </c>
      <c r="CY3" s="52" t="e">
        <f>AND(#REF!,"AAAAABPz/2Y=")</f>
        <v>#REF!</v>
      </c>
      <c r="CZ3" s="52" t="e">
        <f>AND(#REF!,"AAAAABPz/2c=")</f>
        <v>#REF!</v>
      </c>
      <c r="DA3" s="52" t="e">
        <f>IF(#REF!,"AAAAABPz/2g=",0)</f>
        <v>#REF!</v>
      </c>
      <c r="DB3" s="52" t="e">
        <f>AND(#REF!,"AAAAABPz/2k=")</f>
        <v>#REF!</v>
      </c>
      <c r="DC3" s="52" t="e">
        <f>AND(#REF!,"AAAAABPz/2o=")</f>
        <v>#REF!</v>
      </c>
      <c r="DD3" s="52" t="e">
        <f>AND(#REF!,"AAAAABPz/2s=")</f>
        <v>#REF!</v>
      </c>
      <c r="DE3" s="52" t="e">
        <f>AND(#REF!,"AAAAABPz/2w=")</f>
        <v>#REF!</v>
      </c>
      <c r="DF3" s="52" t="e">
        <f>AND(#REF!,"AAAAABPz/20=")</f>
        <v>#REF!</v>
      </c>
      <c r="DG3" s="52" t="e">
        <f>AND(#REF!,"AAAAABPz/24=")</f>
        <v>#REF!</v>
      </c>
      <c r="DH3" s="52" t="e">
        <f>IF(#REF!,"AAAAABPz/28=",0)</f>
        <v>#REF!</v>
      </c>
      <c r="DI3" s="52" t="e">
        <f>AND(#REF!,"AAAAABPz/3A=")</f>
        <v>#REF!</v>
      </c>
      <c r="DJ3" s="52" t="e">
        <f>AND(#REF!,"AAAAABPz/3E=")</f>
        <v>#REF!</v>
      </c>
      <c r="DK3" s="52" t="e">
        <f>AND(#REF!,"AAAAABPz/3I=")</f>
        <v>#REF!</v>
      </c>
      <c r="DL3" s="52" t="e">
        <f>AND(#REF!,"AAAAABPz/3M=")</f>
        <v>#REF!</v>
      </c>
      <c r="DM3" s="52" t="e">
        <f>AND(#REF!,"AAAAABPz/3Q=")</f>
        <v>#REF!</v>
      </c>
      <c r="DN3" s="52" t="e">
        <f>AND(#REF!,"AAAAABPz/3U=")</f>
        <v>#REF!</v>
      </c>
      <c r="DO3" s="52" t="e">
        <f>IF(#REF!,"AAAAABPz/3Y=",0)</f>
        <v>#REF!</v>
      </c>
      <c r="DP3" s="52" t="e">
        <f>AND(#REF!,"AAAAABPz/3c=")</f>
        <v>#REF!</v>
      </c>
      <c r="DQ3" s="52" t="e">
        <f>AND(#REF!,"AAAAABPz/3g=")</f>
        <v>#REF!</v>
      </c>
      <c r="DR3" s="52" t="e">
        <f>AND(#REF!,"AAAAABPz/3k=")</f>
        <v>#REF!</v>
      </c>
      <c r="DS3" s="52" t="e">
        <f>AND(#REF!,"AAAAABPz/3o=")</f>
        <v>#REF!</v>
      </c>
      <c r="DT3" s="52" t="e">
        <f>AND(#REF!,"AAAAABPz/3s=")</f>
        <v>#REF!</v>
      </c>
      <c r="DU3" s="52" t="e">
        <f>IF(#REF!,"AAAAABPz/3w=",0)</f>
        <v>#REF!</v>
      </c>
      <c r="DV3" s="52" t="e">
        <f>IF(#REF!,"AAAAABPz/30=",0)</f>
        <v>#REF!</v>
      </c>
      <c r="DW3" s="52" t="e">
        <f>IF(#REF!,"AAAAABPz/34=",0)</f>
        <v>#REF!</v>
      </c>
      <c r="DX3" s="52" t="e">
        <f>IF(#REF!,"AAAAABPz/38=",0)</f>
        <v>#REF!</v>
      </c>
      <c r="DY3" s="52" t="e">
        <f>IF(#REF!,"AAAAABPz/4A=",0)</f>
        <v>#REF!</v>
      </c>
      <c r="DZ3" s="52" t="e">
        <f>IF(#REF!,"AAAAABPz/4E=",0)</f>
        <v>#REF!</v>
      </c>
      <c r="EA3" s="52" t="e">
        <f>IF(#REF!,"AAAAABPz/4I=",0)</f>
        <v>#REF!</v>
      </c>
      <c r="EB3" s="52">
        <f>IF('Author and Rec of Changes'!$A1:$IV1,"AAAAABPz/4M=",0)</f>
        <v>0</v>
      </c>
      <c r="EC3" s="52" t="e">
        <f>AND('Author and Rec of Changes'!A1,"AAAAABPz/4Q=")</f>
        <v>#VALUE!</v>
      </c>
      <c r="ED3" s="52" t="e">
        <f>AND('Author and Rec of Changes'!B1,"AAAAABPz/4U=")</f>
        <v>#VALUE!</v>
      </c>
      <c r="EE3" s="52" t="e">
        <f>AND('Author and Rec of Changes'!C1,"AAAAABPz/4Y=")</f>
        <v>#VALUE!</v>
      </c>
      <c r="EF3" s="52" t="e">
        <f>AND('Author and Rec of Changes'!E1,"AAAAABPz/4c=")</f>
        <v>#VALUE!</v>
      </c>
      <c r="EG3" s="52" t="e">
        <f>AND('Author and Rec of Changes'!F1,"AAAAABPz/4g=")</f>
        <v>#VALUE!</v>
      </c>
      <c r="EH3" s="52" t="e">
        <f>AND('Author and Rec of Changes'!G1,"AAAAABPz/4k=")</f>
        <v>#VALUE!</v>
      </c>
      <c r="EI3" s="52" t="e">
        <f>IF('Author and Rec of Changes'!#REF!,"AAAAABPz/4o=",0)</f>
        <v>#REF!</v>
      </c>
      <c r="EJ3" s="52" t="e">
        <f>AND('Author and Rec of Changes'!#REF!,"AAAAABPz/4s=")</f>
        <v>#REF!</v>
      </c>
      <c r="EK3" s="52" t="e">
        <f>AND('Author and Rec of Changes'!#REF!,"AAAAABPz/4w=")</f>
        <v>#REF!</v>
      </c>
      <c r="EL3" s="52" t="e">
        <f>AND('Author and Rec of Changes'!#REF!,"AAAAABPz/40=")</f>
        <v>#REF!</v>
      </c>
      <c r="EM3" s="52" t="e">
        <f>AND('Author and Rec of Changes'!#REF!,"AAAAABPz/44=")</f>
        <v>#REF!</v>
      </c>
      <c r="EN3" s="52" t="e">
        <f>AND('Author and Rec of Changes'!#REF!,"AAAAABPz/48=")</f>
        <v>#REF!</v>
      </c>
      <c r="EO3" s="52" t="e">
        <f>AND('Author and Rec of Changes'!#REF!,"AAAAABPz/5A=")</f>
        <v>#REF!</v>
      </c>
      <c r="EP3" s="52">
        <f>IF('Author and Rec of Changes'!$A2:$IV2,"AAAAABPz/5E=",0)</f>
        <v>0</v>
      </c>
      <c r="EQ3" s="52" t="e">
        <f>AND('Author and Rec of Changes'!A2,"AAAAABPz/5I=")</f>
        <v>#VALUE!</v>
      </c>
      <c r="ER3" s="52" t="e">
        <f>AND('Author and Rec of Changes'!B2,"AAAAABPz/5M=")</f>
        <v>#VALUE!</v>
      </c>
      <c r="ES3" s="52" t="e">
        <f>AND('Author and Rec of Changes'!C2,"AAAAABPz/5Q=")</f>
        <v>#VALUE!</v>
      </c>
      <c r="ET3" s="52" t="e">
        <f>AND('Author and Rec of Changes'!E2,"AAAAABPz/5U=")</f>
        <v>#VALUE!</v>
      </c>
      <c r="EU3" s="52" t="e">
        <f>AND('Author and Rec of Changes'!F2,"AAAAABPz/5Y=")</f>
        <v>#VALUE!</v>
      </c>
      <c r="EV3" s="52" t="e">
        <f>AND('Author and Rec of Changes'!G2,"AAAAABPz/5c=")</f>
        <v>#VALUE!</v>
      </c>
      <c r="EW3" s="52">
        <f>IF('Author and Rec of Changes'!$A3:$IV3,"AAAAABPz/5g=",0)</f>
        <v>0</v>
      </c>
      <c r="EX3" s="52" t="e">
        <f>AND('Author and Rec of Changes'!A3,"AAAAABPz/5k=")</f>
        <v>#VALUE!</v>
      </c>
      <c r="EY3" s="52" t="e">
        <f>AND('Author and Rec of Changes'!B3,"AAAAABPz/5o=")</f>
        <v>#VALUE!</v>
      </c>
      <c r="EZ3" s="52" t="e">
        <f>AND('Author and Rec of Changes'!C3,"AAAAABPz/5s=")</f>
        <v>#VALUE!</v>
      </c>
      <c r="FA3" s="52" t="e">
        <f>AND('Author and Rec of Changes'!E3,"AAAAABPz/5w=")</f>
        <v>#VALUE!</v>
      </c>
      <c r="FB3" s="52" t="e">
        <f>AND('Author and Rec of Changes'!F3,"AAAAABPz/50=")</f>
        <v>#VALUE!</v>
      </c>
      <c r="FC3" s="52" t="e">
        <f>AND('Author and Rec of Changes'!G3,"AAAAABPz/54=")</f>
        <v>#VALUE!</v>
      </c>
      <c r="FD3" s="52" t="e">
        <f>IF('Author and Rec of Changes'!#REF!,"AAAAABPz/58=",0)</f>
        <v>#REF!</v>
      </c>
      <c r="FE3" s="52" t="e">
        <f>AND('Author and Rec of Changes'!#REF!,"AAAAABPz/6A=")</f>
        <v>#REF!</v>
      </c>
      <c r="FF3" s="52" t="e">
        <f>AND('Author and Rec of Changes'!#REF!,"AAAAABPz/6E=")</f>
        <v>#REF!</v>
      </c>
      <c r="FG3" s="52" t="e">
        <f>AND('Author and Rec of Changes'!#REF!,"AAAAABPz/6I=")</f>
        <v>#REF!</v>
      </c>
      <c r="FH3" s="52" t="e">
        <f>AND('Author and Rec of Changes'!#REF!,"AAAAABPz/6M=")</f>
        <v>#REF!</v>
      </c>
      <c r="FI3" s="52" t="e">
        <f>AND('Author and Rec of Changes'!#REF!,"AAAAABPz/6Q=")</f>
        <v>#REF!</v>
      </c>
      <c r="FJ3" s="52" t="e">
        <f>AND('Author and Rec of Changes'!#REF!,"AAAAABPz/6U=")</f>
        <v>#REF!</v>
      </c>
      <c r="FK3" s="52" t="e">
        <f>IF('Author and Rec of Changes'!#REF!,"AAAAABPz/6Y=",0)</f>
        <v>#REF!</v>
      </c>
      <c r="FL3" s="52" t="e">
        <f>AND('Author and Rec of Changes'!#REF!,"AAAAABPz/6c=")</f>
        <v>#REF!</v>
      </c>
      <c r="FM3" s="52" t="e">
        <f>AND('Author and Rec of Changes'!#REF!,"AAAAABPz/6g=")</f>
        <v>#REF!</v>
      </c>
      <c r="FN3" s="52" t="e">
        <f>AND('Author and Rec of Changes'!#REF!,"AAAAABPz/6k=")</f>
        <v>#REF!</v>
      </c>
      <c r="FO3" s="52" t="e">
        <f>AND('Author and Rec of Changes'!#REF!,"AAAAABPz/6o=")</f>
        <v>#REF!</v>
      </c>
      <c r="FP3" s="52" t="e">
        <f>AND('Author and Rec of Changes'!#REF!,"AAAAABPz/6s=")</f>
        <v>#REF!</v>
      </c>
      <c r="FQ3" s="52" t="e">
        <f>AND('Author and Rec of Changes'!#REF!,"AAAAABPz/6w=")</f>
        <v>#REF!</v>
      </c>
      <c r="FR3" s="52">
        <f>IF('Author and Rec of Changes'!$A4:$IV4,"AAAAABPz/60=",0)</f>
        <v>0</v>
      </c>
      <c r="FS3" s="52" t="e">
        <f>AND('Author and Rec of Changes'!A4,"AAAAABPz/64=")</f>
        <v>#VALUE!</v>
      </c>
      <c r="FT3" s="52" t="e">
        <f>AND('Author and Rec of Changes'!B4,"AAAAABPz/68=")</f>
        <v>#VALUE!</v>
      </c>
      <c r="FU3" s="52" t="e">
        <f>AND('Author and Rec of Changes'!C4,"AAAAABPz/7A=")</f>
        <v>#VALUE!</v>
      </c>
      <c r="FV3" s="52" t="e">
        <f>AND('Author and Rec of Changes'!E4,"AAAAABPz/7E=")</f>
        <v>#VALUE!</v>
      </c>
      <c r="FW3" s="52" t="e">
        <f>AND('Author and Rec of Changes'!F4,"AAAAABPz/7I=")</f>
        <v>#VALUE!</v>
      </c>
      <c r="FX3" s="52" t="e">
        <f>AND('Author and Rec of Changes'!G4,"AAAAABPz/7M=")</f>
        <v>#VALUE!</v>
      </c>
      <c r="FY3" s="52" t="e">
        <f>IF('Author and Rec of Changes'!#REF!,"AAAAABPz/7Q=",0)</f>
        <v>#REF!</v>
      </c>
      <c r="FZ3" s="52" t="e">
        <f>AND('Author and Rec of Changes'!#REF!,"AAAAABPz/7U=")</f>
        <v>#REF!</v>
      </c>
      <c r="GA3" s="52" t="e">
        <f>AND('Author and Rec of Changes'!#REF!,"AAAAABPz/7Y=")</f>
        <v>#REF!</v>
      </c>
      <c r="GB3" s="52" t="e">
        <f>AND('Author and Rec of Changes'!#REF!,"AAAAABPz/7c=")</f>
        <v>#REF!</v>
      </c>
      <c r="GC3" s="52" t="e">
        <f>AND('Author and Rec of Changes'!#REF!,"AAAAABPz/7g=")</f>
        <v>#REF!</v>
      </c>
      <c r="GD3" s="52" t="e">
        <f>AND('Author and Rec of Changes'!#REF!,"AAAAABPz/7k=")</f>
        <v>#REF!</v>
      </c>
      <c r="GE3" s="52" t="e">
        <f>AND('Author and Rec of Changes'!#REF!,"AAAAABPz/7o=")</f>
        <v>#REF!</v>
      </c>
      <c r="GF3" s="52" t="e">
        <f>IF('Author and Rec of Changes'!#REF!,"AAAAABPz/7s=",0)</f>
        <v>#REF!</v>
      </c>
      <c r="GG3" s="52" t="e">
        <f>AND('Author and Rec of Changes'!#REF!,"AAAAABPz/7w=")</f>
        <v>#REF!</v>
      </c>
      <c r="GH3" s="52" t="e">
        <f>AND('Author and Rec of Changes'!#REF!,"AAAAABPz/70=")</f>
        <v>#REF!</v>
      </c>
      <c r="GI3" s="52" t="e">
        <f>AND('Author and Rec of Changes'!#REF!,"AAAAABPz/74=")</f>
        <v>#REF!</v>
      </c>
      <c r="GJ3" s="52" t="e">
        <f>AND('Author and Rec of Changes'!#REF!,"AAAAABPz/78=")</f>
        <v>#REF!</v>
      </c>
      <c r="GK3" s="52" t="e">
        <f>AND('Author and Rec of Changes'!#REF!,"AAAAABPz/8A=")</f>
        <v>#REF!</v>
      </c>
      <c r="GL3" s="52" t="e">
        <f>AND('Author and Rec of Changes'!#REF!,"AAAAABPz/8E=")</f>
        <v>#REF!</v>
      </c>
      <c r="GM3" s="52" t="e">
        <f>IF('Author and Rec of Changes'!#REF!,"AAAAABPz/8I=",0)</f>
        <v>#REF!</v>
      </c>
      <c r="GN3" s="52" t="e">
        <f>AND('Author and Rec of Changes'!#REF!,"AAAAABPz/8M=")</f>
        <v>#REF!</v>
      </c>
      <c r="GO3" s="52" t="e">
        <f>AND('Author and Rec of Changes'!#REF!,"AAAAABPz/8Q=")</f>
        <v>#REF!</v>
      </c>
      <c r="GP3" s="52" t="e">
        <f>AND('Author and Rec of Changes'!#REF!,"AAAAABPz/8U=")</f>
        <v>#REF!</v>
      </c>
      <c r="GQ3" s="52" t="e">
        <f>AND('Author and Rec of Changes'!#REF!,"AAAAABPz/8Y=")</f>
        <v>#REF!</v>
      </c>
      <c r="GR3" s="52" t="e">
        <f>AND('Author and Rec of Changes'!#REF!,"AAAAABPz/8c=")</f>
        <v>#REF!</v>
      </c>
      <c r="GS3" s="52" t="e">
        <f>AND('Author and Rec of Changes'!#REF!,"AAAAABPz/8g=")</f>
        <v>#REF!</v>
      </c>
      <c r="GT3" s="52" t="e">
        <f>IF('Author and Rec of Changes'!#REF!,"AAAAABPz/8k=",0)</f>
        <v>#REF!</v>
      </c>
      <c r="GU3" s="52" t="e">
        <f>AND('Author and Rec of Changes'!#REF!,"AAAAABPz/8o=")</f>
        <v>#REF!</v>
      </c>
      <c r="GV3" s="52" t="e">
        <f>AND('Author and Rec of Changes'!#REF!,"AAAAABPz/8s=")</f>
        <v>#REF!</v>
      </c>
      <c r="GW3" s="52" t="e">
        <f>AND('Author and Rec of Changes'!#REF!,"AAAAABPz/8w=")</f>
        <v>#REF!</v>
      </c>
      <c r="GX3" s="52" t="e">
        <f>AND('Author and Rec of Changes'!#REF!,"AAAAABPz/80=")</f>
        <v>#REF!</v>
      </c>
      <c r="GY3" s="52" t="e">
        <f>AND('Author and Rec of Changes'!#REF!,"AAAAABPz/84=")</f>
        <v>#REF!</v>
      </c>
      <c r="GZ3" s="52" t="e">
        <f>AND('Author and Rec of Changes'!#REF!,"AAAAABPz/88=")</f>
        <v>#REF!</v>
      </c>
      <c r="HA3" s="52" t="e">
        <f>IF('Author and Rec of Changes'!#REF!,"AAAAABPz/9A=",0)</f>
        <v>#REF!</v>
      </c>
      <c r="HB3" s="52" t="e">
        <f>AND('Author and Rec of Changes'!#REF!,"AAAAABPz/9E=")</f>
        <v>#REF!</v>
      </c>
      <c r="HC3" s="52" t="e">
        <f>AND('Author and Rec of Changes'!#REF!,"AAAAABPz/9I=")</f>
        <v>#REF!</v>
      </c>
      <c r="HD3" s="52" t="e">
        <f>AND('Author and Rec of Changes'!#REF!,"AAAAABPz/9M=")</f>
        <v>#REF!</v>
      </c>
      <c r="HE3" s="52" t="e">
        <f>AND('Author and Rec of Changes'!#REF!,"AAAAABPz/9Q=")</f>
        <v>#REF!</v>
      </c>
      <c r="HF3" s="52" t="e">
        <f>AND('Author and Rec of Changes'!#REF!,"AAAAABPz/9U=")</f>
        <v>#REF!</v>
      </c>
      <c r="HG3" s="52" t="e">
        <f>AND('Author and Rec of Changes'!#REF!,"AAAAABPz/9Y=")</f>
        <v>#REF!</v>
      </c>
      <c r="HH3" s="52" t="e">
        <f>IF('Author and Rec of Changes'!#REF!,"AAAAABPz/9c=",0)</f>
        <v>#REF!</v>
      </c>
      <c r="HI3" s="52" t="e">
        <f>AND('Author and Rec of Changes'!#REF!,"AAAAABPz/9g=")</f>
        <v>#REF!</v>
      </c>
      <c r="HJ3" s="52" t="e">
        <f>AND('Author and Rec of Changes'!#REF!,"AAAAABPz/9k=")</f>
        <v>#REF!</v>
      </c>
      <c r="HK3" s="52" t="e">
        <f>AND('Author and Rec of Changes'!#REF!,"AAAAABPz/9o=")</f>
        <v>#REF!</v>
      </c>
      <c r="HL3" s="52" t="e">
        <f>AND('Author and Rec of Changes'!#REF!,"AAAAABPz/9s=")</f>
        <v>#REF!</v>
      </c>
      <c r="HM3" s="52" t="e">
        <f>AND('Author and Rec of Changes'!#REF!,"AAAAABPz/9w=")</f>
        <v>#REF!</v>
      </c>
      <c r="HN3" s="52" t="e">
        <f>AND('Author and Rec of Changes'!#REF!,"AAAAABPz/90=")</f>
        <v>#REF!</v>
      </c>
      <c r="HO3" s="52" t="e">
        <f>IF('Author and Rec of Changes'!#REF!,"AAAAABPz/94=",0)</f>
        <v>#REF!</v>
      </c>
      <c r="HP3" s="52" t="e">
        <f>AND('Author and Rec of Changes'!#REF!,"AAAAABPz/98=")</f>
        <v>#REF!</v>
      </c>
      <c r="HQ3" s="52" t="e">
        <f>AND('Author and Rec of Changes'!#REF!,"AAAAABPz/+A=")</f>
        <v>#REF!</v>
      </c>
      <c r="HR3" s="52" t="e">
        <f>AND('Author and Rec of Changes'!#REF!,"AAAAABPz/+E=")</f>
        <v>#REF!</v>
      </c>
      <c r="HS3" s="52" t="e">
        <f>AND('Author and Rec of Changes'!#REF!,"AAAAABPz/+I=")</f>
        <v>#REF!</v>
      </c>
      <c r="HT3" s="52" t="e">
        <f>AND('Author and Rec of Changes'!#REF!,"AAAAABPz/+M=")</f>
        <v>#REF!</v>
      </c>
      <c r="HU3" s="52" t="e">
        <f>AND('Author and Rec of Changes'!#REF!,"AAAAABPz/+Q=")</f>
        <v>#REF!</v>
      </c>
      <c r="HV3" s="52">
        <f>IF('Author and Rec of Changes'!$A5:$IV5,"AAAAABPz/+U=",0)</f>
        <v>0</v>
      </c>
      <c r="HW3" s="52" t="e">
        <f>AND('Author and Rec of Changes'!A5,"AAAAABPz/+Y=")</f>
        <v>#VALUE!</v>
      </c>
      <c r="HX3" s="52" t="e">
        <f>AND('Author and Rec of Changes'!B5,"AAAAABPz/+c=")</f>
        <v>#VALUE!</v>
      </c>
      <c r="HY3" s="52" t="e">
        <f>AND('Author and Rec of Changes'!C5,"AAAAABPz/+g=")</f>
        <v>#VALUE!</v>
      </c>
      <c r="HZ3" s="52" t="e">
        <f>AND('Author and Rec of Changes'!E5,"AAAAABPz/+k=")</f>
        <v>#VALUE!</v>
      </c>
      <c r="IA3" s="52" t="e">
        <f>AND('Author and Rec of Changes'!F5,"AAAAABPz/+o=")</f>
        <v>#VALUE!</v>
      </c>
      <c r="IB3" s="52" t="e">
        <f>AND('Author and Rec of Changes'!G5,"AAAAABPz/+s=")</f>
        <v>#VALUE!</v>
      </c>
      <c r="IC3" s="52" t="e">
        <f>IF('Author and Rec of Changes'!#REF!,"AAAAABPz/+w=",0)</f>
        <v>#REF!</v>
      </c>
      <c r="ID3" s="52" t="e">
        <f>AND('Author and Rec of Changes'!#REF!,"AAAAABPz/+0=")</f>
        <v>#REF!</v>
      </c>
      <c r="IE3" s="52" t="e">
        <f>AND('Author and Rec of Changes'!#REF!,"AAAAABPz/+4=")</f>
        <v>#REF!</v>
      </c>
      <c r="IF3" s="52" t="e">
        <f>AND('Author and Rec of Changes'!#REF!,"AAAAABPz/+8=")</f>
        <v>#REF!</v>
      </c>
      <c r="IG3" s="52" t="e">
        <f>AND('Author and Rec of Changes'!#REF!,"AAAAABPz//A=")</f>
        <v>#REF!</v>
      </c>
      <c r="IH3" s="52" t="e">
        <f>AND('Author and Rec of Changes'!#REF!,"AAAAABPz//E=")</f>
        <v>#REF!</v>
      </c>
      <c r="II3" s="52" t="e">
        <f>AND('Author and Rec of Changes'!#REF!,"AAAAABPz//I=")</f>
        <v>#REF!</v>
      </c>
      <c r="IJ3" s="52" t="e">
        <f>IF('Author and Rec of Changes'!#REF!,"AAAAABPz//M=",0)</f>
        <v>#REF!</v>
      </c>
      <c r="IK3" s="52" t="e">
        <f>AND('Author and Rec of Changes'!#REF!,"AAAAABPz//Q=")</f>
        <v>#REF!</v>
      </c>
      <c r="IL3" s="52" t="e">
        <f>AND('Author and Rec of Changes'!#REF!,"AAAAABPz//U=")</f>
        <v>#REF!</v>
      </c>
      <c r="IM3" s="52" t="e">
        <f>AND('Author and Rec of Changes'!#REF!,"AAAAABPz//Y=")</f>
        <v>#REF!</v>
      </c>
      <c r="IN3" s="52" t="e">
        <f>AND('Author and Rec of Changes'!#REF!,"AAAAABPz//c=")</f>
        <v>#REF!</v>
      </c>
      <c r="IO3" s="52" t="e">
        <f>AND('Author and Rec of Changes'!#REF!,"AAAAABPz//g=")</f>
        <v>#REF!</v>
      </c>
      <c r="IP3" s="52" t="e">
        <f>AND('Author and Rec of Changes'!#REF!,"AAAAABPz//k=")</f>
        <v>#REF!</v>
      </c>
      <c r="IQ3" s="52">
        <f>IF('Author and Rec of Changes'!$A6:$IV6,"AAAAABPz//o=",0)</f>
        <v>0</v>
      </c>
      <c r="IR3" s="52" t="e">
        <f>AND('Author and Rec of Changes'!A6,"AAAAABPz//s=")</f>
        <v>#VALUE!</v>
      </c>
      <c r="IS3" s="52" t="e">
        <f>AND('Author and Rec of Changes'!B6,"AAAAABPz//w=")</f>
        <v>#VALUE!</v>
      </c>
      <c r="IT3" s="52" t="e">
        <f>AND('Author and Rec of Changes'!C6,"AAAAABPz//0=")</f>
        <v>#VALUE!</v>
      </c>
      <c r="IU3" s="52" t="e">
        <f>AND('Author and Rec of Changes'!E6,"AAAAABPz//4=")</f>
        <v>#VALUE!</v>
      </c>
      <c r="IV3" s="52" t="e">
        <f>AND('Author and Rec of Changes'!F6,"AAAAABPz//8=")</f>
        <v>#VALUE!</v>
      </c>
    </row>
    <row r="4" spans="1:256" ht="15" customHeight="1">
      <c r="A4" s="52" t="e">
        <f>AND('Author and Rec of Changes'!G6,"AAAAAH/rVAA=")</f>
        <v>#VALUE!</v>
      </c>
      <c r="B4" s="52">
        <f>IF('Author and Rec of Changes'!$A7:$IV7,"AAAAAH/rVAE=",0)</f>
        <v>0</v>
      </c>
      <c r="C4" s="52" t="e">
        <f>AND('Author and Rec of Changes'!A7,"AAAAAH/rVAI=")</f>
        <v>#VALUE!</v>
      </c>
      <c r="D4" s="52" t="e">
        <f>AND('Author and Rec of Changes'!B7,"AAAAAH/rVAM=")</f>
        <v>#VALUE!</v>
      </c>
      <c r="E4" s="52" t="e">
        <f>AND('Author and Rec of Changes'!C7,"AAAAAH/rVAQ=")</f>
        <v>#VALUE!</v>
      </c>
      <c r="F4" s="52" t="e">
        <f>AND('Author and Rec of Changes'!E7,"AAAAAH/rVAU=")</f>
        <v>#VALUE!</v>
      </c>
      <c r="G4" s="52" t="e">
        <f>AND('Author and Rec of Changes'!F7,"AAAAAH/rVAY=")</f>
        <v>#VALUE!</v>
      </c>
      <c r="H4" s="52" t="e">
        <f>AND('Author and Rec of Changes'!G7,"AAAAAH/rVAc=")</f>
        <v>#VALUE!</v>
      </c>
      <c r="I4" s="52">
        <f>IF('Author and Rec of Changes'!$A8:$IV8,"AAAAAH/rVAg=",0)</f>
        <v>0</v>
      </c>
      <c r="J4" s="52" t="e">
        <f>AND('Author and Rec of Changes'!A8,"AAAAAH/rVAk=")</f>
        <v>#VALUE!</v>
      </c>
      <c r="K4" s="52" t="e">
        <f>AND('Author and Rec of Changes'!B8,"AAAAAH/rVAo=")</f>
        <v>#VALUE!</v>
      </c>
      <c r="L4" s="52" t="e">
        <f>AND('Author and Rec of Changes'!C8,"AAAAAH/rVAs=")</f>
        <v>#VALUE!</v>
      </c>
      <c r="M4" s="52" t="e">
        <f>AND('Author and Rec of Changes'!E8,"AAAAAH/rVAw=")</f>
        <v>#VALUE!</v>
      </c>
      <c r="N4" s="52" t="e">
        <f>AND('Author and Rec of Changes'!F8,"AAAAAH/rVA0=")</f>
        <v>#VALUE!</v>
      </c>
      <c r="O4" s="52" t="e">
        <f>AND('Author and Rec of Changes'!G8,"AAAAAH/rVA4=")</f>
        <v>#VALUE!</v>
      </c>
      <c r="P4" s="52">
        <f>IF('Author and Rec of Changes'!$A9:$IV9,"AAAAAH/rVA8=",0)</f>
        <v>0</v>
      </c>
      <c r="Q4" s="52" t="e">
        <f>AND('Author and Rec of Changes'!A9,"AAAAAH/rVBA=")</f>
        <v>#VALUE!</v>
      </c>
      <c r="R4" s="52" t="e">
        <f>AND('Author and Rec of Changes'!B9,"AAAAAH/rVBE=")</f>
        <v>#VALUE!</v>
      </c>
      <c r="S4" s="52" t="e">
        <f>AND('Author and Rec of Changes'!C9,"AAAAAH/rVBI=")</f>
        <v>#VALUE!</v>
      </c>
      <c r="T4" s="52" t="e">
        <f>AND('Author and Rec of Changes'!E9,"AAAAAH/rVBM=")</f>
        <v>#VALUE!</v>
      </c>
      <c r="U4" s="52" t="e">
        <f>AND('Author and Rec of Changes'!F9,"AAAAAH/rVBQ=")</f>
        <v>#VALUE!</v>
      </c>
      <c r="V4" s="52" t="e">
        <f>AND('Author and Rec of Changes'!G9,"AAAAAH/rVBU=")</f>
        <v>#VALUE!</v>
      </c>
      <c r="W4" s="52">
        <f>IF('Author and Rec of Changes'!$A10:$IV10,"AAAAAH/rVBY=",0)</f>
        <v>0</v>
      </c>
      <c r="X4" s="52">
        <f>IF('Author and Rec of Changes'!$A11:$IV11,"AAAAAH/rVBc=",0)</f>
        <v>0</v>
      </c>
      <c r="Y4" s="52">
        <f>IF('Author and Rec of Changes'!$A12:$IV12,"AAAAAH/rVBg=",0)</f>
        <v>0</v>
      </c>
      <c r="Z4" s="52">
        <f>IF('Author and Rec of Changes'!$A13:$IV13,"AAAAAH/rVBk=",0)</f>
        <v>0</v>
      </c>
      <c r="AA4" s="52">
        <f>IF('Author and Rec of Changes'!$A14:$IV14,"AAAAAH/rVBo=",0)</f>
        <v>0</v>
      </c>
      <c r="AB4" s="52">
        <f>IF('Author and Rec of Changes'!$A15:$IV15,"AAAAAH/rVBs=",0)</f>
        <v>0</v>
      </c>
      <c r="AC4" s="52">
        <f>IF('Author and Rec of Changes'!$A16:$IV16,"AAAAAH/rVBw=",0)</f>
        <v>0</v>
      </c>
      <c r="AD4" s="52">
        <f>IF('Author and Rec of Changes'!A:A,"AAAAAH/rVB0=",0)</f>
        <v>0</v>
      </c>
      <c r="AE4" s="52" t="e">
        <f>IF('Author and Rec of Changes'!B:B,"AAAAAH/rVB4=",0)</f>
        <v>#VALUE!</v>
      </c>
      <c r="AF4" s="52">
        <f>IF('Author and Rec of Changes'!C:C,"AAAAAH/rVB8=",0)</f>
        <v>0</v>
      </c>
      <c r="AG4" s="52">
        <f>IF('Author and Rec of Changes'!E:E,"AAAAAH/rVCA=",0)</f>
        <v>0</v>
      </c>
      <c r="AH4" s="52">
        <f>IF('Author and Rec of Changes'!F:F,"AAAAAH/rVCE=",0)</f>
        <v>0</v>
      </c>
      <c r="AI4" s="52">
        <f>IF('Author and Rec of Changes'!G:G,"AAAAAH/rVCI=",0)</f>
        <v>0</v>
      </c>
      <c r="AJ4" s="52" t="s">
        <v>208</v>
      </c>
      <c r="AK4" s="53" t="s">
        <v>209</v>
      </c>
      <c r="AL4" s="54" t="s">
        <v>210</v>
      </c>
      <c r="AM4" s="52" t="e">
        <f>IF("N",_xlnm._filterdatabase,"AAAAAH/rVCY=")</f>
        <v>#VALUE!</v>
      </c>
    </row>
    <row r="5" spans="1:256" ht="12.75" customHeight="1">
      <c r="A5" s="52" t="e">
        <f>AND('&lt;Front_end&gt;_Syllabus'!A1,"AAAAACvx+wA=")</f>
        <v>#VALUE!</v>
      </c>
      <c r="B5" s="52" t="e">
        <f>IF('&lt;Front_end&gt;_Syllabus'!#REF!,"AAAAACvx+wE=",0)</f>
        <v>#REF!</v>
      </c>
      <c r="C5" s="52" t="e">
        <f>AND('&lt;Front_end&gt;_Syllabus'!#REF!,"AAAAACvx+wI=")</f>
        <v>#REF!</v>
      </c>
      <c r="D5" s="52" t="e">
        <f>AND('&lt;Front_end&gt;_Syllabus'!#REF!,"AAAAACvx+wM=")</f>
        <v>#REF!</v>
      </c>
      <c r="E5" s="52" t="e">
        <f>AND('&lt;Front_end&gt;_Syllabus'!#REF!,"AAAAACvx+wQ=")</f>
        <v>#REF!</v>
      </c>
      <c r="F5" s="52" t="e">
        <f>AND('&lt;Front_end&gt;_Syllabus'!#REF!,"AAAAACvx+wU=")</f>
        <v>#REF!</v>
      </c>
      <c r="G5" s="52" t="e">
        <f>AND('&lt;Front_end&gt;_Syllabus'!#REF!,"AAAAACvx+wY=")</f>
        <v>#REF!</v>
      </c>
      <c r="H5" s="52" t="e">
        <f>AND('&lt;Front_end&gt;_Syllabus'!#REF!,"AAAAACvx+wc=")</f>
        <v>#REF!</v>
      </c>
      <c r="I5" s="52" t="e">
        <f>AND('&lt;Front_end&gt;_Syllabus'!#REF!,"AAAAACvx+wg=")</f>
        <v>#REF!</v>
      </c>
      <c r="J5" s="52">
        <f>IF('&lt;Front_end&gt;_Syllabus'!$A3:$IV3,"AAAAACvx+wk=",0)</f>
        <v>0</v>
      </c>
      <c r="K5" s="52" t="e">
        <f>AND('&lt;Front_end&gt;_Syllabus'!A3,"AAAAACvx+wo=")</f>
        <v>#VALUE!</v>
      </c>
      <c r="L5" s="52" t="e">
        <f>AND('&lt;Front_end&gt;_Syllabus'!B3,"AAAAACvx+ws=")</f>
        <v>#VALUE!</v>
      </c>
      <c r="M5" s="52" t="e">
        <f>AND('&lt;Front_end&gt;_Syllabus'!C3,"AAAAACvx+ww=")</f>
        <v>#VALUE!</v>
      </c>
      <c r="N5" s="52" t="e">
        <f>AND('&lt;Front_end&gt;_Syllabus'!D3,"AAAAACvx+w0=")</f>
        <v>#VALUE!</v>
      </c>
      <c r="O5" s="52" t="e">
        <f>AND('&lt;Front_end&gt;_Syllabus'!E3,"AAAAACvx+w4=")</f>
        <v>#VALUE!</v>
      </c>
      <c r="P5" s="52" t="e">
        <f>AND('&lt;Front_end&gt;_Syllabus'!F3,"AAAAACvx+w8=")</f>
        <v>#VALUE!</v>
      </c>
      <c r="Q5" s="52" t="e">
        <f>AND('&lt;Front_end&gt;_Syllabus'!G3,"AAAAACvx+xA=")</f>
        <v>#VALUE!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Normal="100" workbookViewId="0"/>
  </sheetViews>
  <sheetFormatPr defaultRowHeight="12.75"/>
  <cols>
    <col min="1" max="1" width="17.28515625"/>
    <col min="2" max="26" width="7.85546875"/>
    <col min="27" max="1025" width="14.140625"/>
  </cols>
  <sheetData>
    <row r="1" spans="1:3" ht="15" customHeight="1">
      <c r="A1" s="55" t="s">
        <v>60</v>
      </c>
      <c r="B1" s="56" t="s">
        <v>211</v>
      </c>
      <c r="C1" s="56" t="s">
        <v>56</v>
      </c>
    </row>
    <row r="2" spans="1:3" ht="15" customHeight="1">
      <c r="A2" s="53" t="s">
        <v>19</v>
      </c>
      <c r="B2" s="53" t="s">
        <v>212</v>
      </c>
      <c r="C2" s="52" t="s">
        <v>213</v>
      </c>
    </row>
    <row r="3" spans="1:3" ht="15" customHeight="1">
      <c r="A3" s="53" t="s">
        <v>22</v>
      </c>
      <c r="B3" s="53" t="s">
        <v>69</v>
      </c>
      <c r="C3" s="52" t="s">
        <v>214</v>
      </c>
    </row>
    <row r="4" spans="1:3" ht="15" customHeight="1">
      <c r="A4" s="53" t="s">
        <v>107</v>
      </c>
      <c r="B4" s="53" t="s">
        <v>215</v>
      </c>
      <c r="C4" s="52" t="s">
        <v>216</v>
      </c>
    </row>
    <row r="5" spans="1:3" ht="15" customHeight="1">
      <c r="A5" s="53" t="s">
        <v>26</v>
      </c>
      <c r="B5" s="53"/>
      <c r="C5" s="52" t="s">
        <v>217</v>
      </c>
    </row>
    <row r="6" spans="1:3" ht="15" customHeight="1">
      <c r="A6" s="53" t="s">
        <v>24</v>
      </c>
      <c r="B6" s="53"/>
      <c r="C6" s="52" t="s">
        <v>218</v>
      </c>
    </row>
    <row r="7" spans="1:3" ht="15" customHeight="1">
      <c r="A7" s="53" t="s">
        <v>219</v>
      </c>
      <c r="B7" s="53"/>
      <c r="C7" s="52" t="s">
        <v>220</v>
      </c>
    </row>
    <row r="8" spans="1:3" ht="15" customHeight="1">
      <c r="A8" s="53" t="s">
        <v>221</v>
      </c>
      <c r="B8" s="53"/>
      <c r="C8" s="52" t="s">
        <v>222</v>
      </c>
    </row>
    <row r="9" spans="1:3" ht="12.75" customHeight="1">
      <c r="A9" s="52"/>
      <c r="B9" s="52"/>
      <c r="C9" s="52" t="s">
        <v>223</v>
      </c>
    </row>
    <row r="10" spans="1:3" ht="12.75" customHeight="1">
      <c r="A10" s="52"/>
      <c r="B10" s="52"/>
      <c r="C10" s="52" t="s">
        <v>224</v>
      </c>
    </row>
    <row r="11" spans="1:3" ht="12.75" customHeight="1">
      <c r="A11" s="52"/>
      <c r="B11" s="52"/>
      <c r="C11" s="52" t="s">
        <v>225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&lt;Front_end&gt;_Syllabus</vt:lpstr>
      <vt:lpstr>&lt;Front_end&gt;_Schedule</vt:lpstr>
      <vt:lpstr>&lt;Front_end&gt;_Reactjs_Schedule</vt:lpstr>
      <vt:lpstr>Author and Rec of Changes</vt:lpstr>
      <vt:lpstr>DV-IDENTITY-0</vt:lpstr>
      <vt:lpstr>Sheet2</vt:lpstr>
      <vt:lpstr>'&lt;Front_end&gt;_Reactjs_Schedule'!_FilterDatabase</vt:lpstr>
      <vt:lpstr>'&lt;Front_end&gt;_Schedule'!_FilterDatabase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Nguyen Duc Duy (FSU1.BU10)</cp:lastModifiedBy>
  <cp:revision>3</cp:revision>
  <dcterms:modified xsi:type="dcterms:W3CDTF">2017-07-04T08:29:46Z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