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2991\Desktop\Newsletter Apresentação\2022\Março\OPD - Aula 8  - Crédito Privado\"/>
    </mc:Choice>
  </mc:AlternateContent>
  <xr:revisionPtr revIDLastSave="0" documentId="8_{4ACFA2BD-BF40-46E4-874F-08B87EB101BF}" xr6:coauthVersionLast="36" xr6:coauthVersionMax="36" xr10:uidLastSave="{00000000-0000-0000-0000-000000000000}"/>
  <bookViews>
    <workbookView xWindow="0" yWindow="0" windowWidth="20490" windowHeight="7545" xr2:uid="{CFFD39D1-560B-4B21-B49E-82CD981891B7}"/>
  </bookViews>
  <sheets>
    <sheet name="Cálc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K12" i="1"/>
  <c r="E30" i="1" s="1"/>
  <c r="L13" i="1" l="1"/>
  <c r="L14" i="1" s="1"/>
  <c r="L15" i="1" s="1"/>
  <c r="L16" i="1" s="1"/>
  <c r="L17" i="1" s="1"/>
  <c r="L29" i="1"/>
  <c r="E6" i="1"/>
  <c r="M13" i="1"/>
  <c r="E37" i="1"/>
  <c r="O13" i="1" l="1"/>
  <c r="K13" i="1"/>
  <c r="M14" i="1" s="1"/>
  <c r="F37" i="1"/>
  <c r="F38" i="1" s="1"/>
  <c r="F30" i="1" s="1"/>
  <c r="E39" i="1"/>
  <c r="E40" i="1" s="1"/>
  <c r="G37" i="1" l="1"/>
  <c r="G38" i="1" s="1"/>
  <c r="G30" i="1" s="1"/>
  <c r="K14" i="1"/>
  <c r="O14" i="1"/>
  <c r="N13" i="1"/>
  <c r="H37" i="1" l="1"/>
  <c r="H38" i="1" s="1"/>
  <c r="H30" i="1" s="1"/>
  <c r="F39" i="1"/>
  <c r="G39" i="1"/>
  <c r="N14" i="1"/>
  <c r="M15" i="1"/>
  <c r="K15" i="1"/>
  <c r="O15" i="1"/>
  <c r="G6" i="1" l="1"/>
  <c r="G40" i="1"/>
  <c r="F6" i="1"/>
  <c r="F40" i="1"/>
  <c r="H39" i="1"/>
  <c r="N15" i="1"/>
  <c r="M16" i="1"/>
  <c r="K16" i="1"/>
  <c r="O16" i="1"/>
  <c r="H6" i="1" l="1"/>
  <c r="H40" i="1"/>
  <c r="M17" i="1"/>
  <c r="M18" i="1" s="1"/>
  <c r="H9" i="1" s="1"/>
  <c r="O17" i="1"/>
  <c r="O18" i="1" s="1"/>
  <c r="N16" i="1"/>
  <c r="K17" i="1"/>
  <c r="H29" i="1" l="1"/>
  <c r="H31" i="1" s="1"/>
  <c r="G29" i="1"/>
  <c r="G31" i="1" s="1"/>
  <c r="F29" i="1"/>
  <c r="F31" i="1" s="1"/>
  <c r="E29" i="1"/>
  <c r="E9" i="1"/>
  <c r="F9" i="1"/>
  <c r="G9" i="1"/>
  <c r="G7" i="1"/>
  <c r="G8" i="1" s="1"/>
  <c r="E7" i="1"/>
  <c r="E8" i="1" s="1"/>
  <c r="H7" i="1"/>
  <c r="H8" i="1" s="1"/>
  <c r="F7" i="1"/>
  <c r="F8" i="1" s="1"/>
  <c r="E11" i="1"/>
  <c r="F11" i="1"/>
  <c r="G11" i="1"/>
  <c r="H11" i="1"/>
  <c r="N17" i="1"/>
  <c r="N18" i="1" s="1"/>
  <c r="L18" i="1"/>
  <c r="F33" i="1" l="1"/>
  <c r="F12" i="1"/>
  <c r="G12" i="1"/>
  <c r="G33" i="1"/>
  <c r="H12" i="1"/>
  <c r="H33" i="1"/>
  <c r="F10" i="1"/>
  <c r="G10" i="1"/>
  <c r="H10" i="1"/>
  <c r="E10" i="1"/>
  <c r="F14" i="1" l="1"/>
  <c r="H14" i="1"/>
  <c r="G14" i="1"/>
  <c r="E31" i="1"/>
  <c r="E33" i="1" l="1"/>
  <c r="E12" i="1"/>
  <c r="E14" i="1" s="1"/>
</calcChain>
</file>

<file path=xl/sharedStrings.xml><?xml version="1.0" encoding="utf-8"?>
<sst xmlns="http://schemas.openxmlformats.org/spreadsheetml/2006/main" count="51" uniqueCount="42">
  <si>
    <t>Valor do Carro</t>
  </si>
  <si>
    <t>Valor do Carro 0km</t>
  </si>
  <si>
    <t>Taxa (a.m)</t>
  </si>
  <si>
    <t>2º Ano</t>
  </si>
  <si>
    <t>1º Ano</t>
  </si>
  <si>
    <t>Ano 0</t>
  </si>
  <si>
    <t>3º Ano</t>
  </si>
  <si>
    <t>4º Ano</t>
  </si>
  <si>
    <t>5º Ano</t>
  </si>
  <si>
    <t>Depreciação Média</t>
  </si>
  <si>
    <t>Depreciação em 5 anos</t>
  </si>
  <si>
    <t>À vista</t>
  </si>
  <si>
    <t>Financiamento 70%</t>
  </si>
  <si>
    <t>Financiamento 50%</t>
  </si>
  <si>
    <t>Financiamento 100%</t>
  </si>
  <si>
    <t>Valor total pago</t>
  </si>
  <si>
    <t>Média</t>
  </si>
  <si>
    <t>Valor da Prestação</t>
  </si>
  <si>
    <t>Valor depois de 5 anos</t>
  </si>
  <si>
    <t>Valor pago em 5 anos</t>
  </si>
  <si>
    <t>Seguro</t>
  </si>
  <si>
    <t>Manutenção/Revisão</t>
  </si>
  <si>
    <t>Manutenção/Rev.em 5 anos</t>
  </si>
  <si>
    <t>IPVA</t>
  </si>
  <si>
    <t>IPVA Acumulado 5 anos</t>
  </si>
  <si>
    <t>Desvalorização em 5 anos</t>
  </si>
  <si>
    <t>Seguro (4%)</t>
  </si>
  <si>
    <t>Patrimônio em 5 anos</t>
  </si>
  <si>
    <t>Média Mês</t>
  </si>
  <si>
    <t>Custo médio por mês</t>
  </si>
  <si>
    <t>De acordo com o Banco Central Brasileiro</t>
  </si>
  <si>
    <t>Juros financiamento</t>
  </si>
  <si>
    <t>Taxa (a.a)</t>
  </si>
  <si>
    <t>Juros Pagos</t>
  </si>
  <si>
    <t>Custo (deixar de investir)</t>
  </si>
  <si>
    <t>Custo de não investir</t>
  </si>
  <si>
    <t>Cálculos - Custos implícitos e explícitos de se adquirir um veículo</t>
  </si>
  <si>
    <t>Valor do veículo</t>
  </si>
  <si>
    <r>
      <rPr>
        <b/>
        <sz val="14"/>
        <color rgb="FFFF0000"/>
        <rFont val="Calibri"/>
        <family val="2"/>
        <scheme val="minor"/>
      </rPr>
      <t>1º Passo</t>
    </r>
    <r>
      <rPr>
        <sz val="11"/>
        <color theme="0"/>
        <rFont val="Calibri"/>
        <family val="2"/>
        <scheme val="minor"/>
      </rPr>
      <t xml:space="preserve"> - Na célula "Valor do veículo" coloque o valor do veículo que você está pensando em adquirir.</t>
    </r>
  </si>
  <si>
    <r>
      <rPr>
        <b/>
        <sz val="14"/>
        <color rgb="FFFF0000"/>
        <rFont val="Calibri"/>
        <family val="2"/>
        <scheme val="minor"/>
      </rPr>
      <t>2º Passo</t>
    </r>
    <r>
      <rPr>
        <sz val="11"/>
        <color theme="0"/>
        <rFont val="Calibri"/>
        <family val="2"/>
        <scheme val="minor"/>
      </rPr>
      <t xml:space="preserve"> - Nas células destacadas em amarelo, na linha "Custo médio por mês" você consegue verificar o custo total por adquirir um veículo em 4 diferentes modos, são eles; à vista, finaciado 100%, financiado 70% e financiado 50%.</t>
    </r>
  </si>
  <si>
    <r>
      <rPr>
        <b/>
        <sz val="14"/>
        <color rgb="FFFF0000"/>
        <rFont val="Calibri"/>
        <family val="2"/>
        <scheme val="minor"/>
      </rPr>
      <t>3º Passo</t>
    </r>
    <r>
      <rPr>
        <sz val="11"/>
        <color theme="0"/>
        <rFont val="Calibri"/>
        <family val="2"/>
        <scheme val="minor"/>
      </rPr>
      <t xml:space="preserve"> - Compare as opções de custos mensais que você tem acesso nas diferentes operadoras de veículos por assinatura com o custo médio por mês apontado nessas células. O valor mais baixo leva vantagem financeira sobre a outra opção, e do ponto de vista financeiro, deveria ser a sua escolha.</t>
    </r>
  </si>
  <si>
    <t>Como interpretar a tabela?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</si>
</sst>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8" fontId="6" fillId="0" borderId="1" xfId="1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7" fillId="0" borderId="6" xfId="2" applyNumberFormat="1" applyFont="1" applyBorder="1" applyAlignment="1">
      <alignment horizontal="center" vertical="center"/>
    </xf>
    <xf numFmtId="10" fontId="7" fillId="0" borderId="7" xfId="2" applyNumberFormat="1" applyFont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164" fontId="0" fillId="9" borderId="0" xfId="0" applyNumberFormat="1" applyFill="1" applyAlignment="1">
      <alignment vertical="center"/>
    </xf>
    <xf numFmtId="10" fontId="16" fillId="9" borderId="0" xfId="2" applyNumberFormat="1" applyFont="1" applyFill="1"/>
    <xf numFmtId="10" fontId="6" fillId="0" borderId="6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8" fontId="14" fillId="0" borderId="1" xfId="0" applyNumberFormat="1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8D0-A3E4-47AE-9D2B-1F0FCB89BA9F}">
  <dimension ref="A1:W57"/>
  <sheetViews>
    <sheetView showGridLines="0" tabSelected="1" zoomScale="115" zoomScaleNormal="115" workbookViewId="0">
      <selection activeCell="B10" sqref="B10"/>
    </sheetView>
  </sheetViews>
  <sheetFormatPr defaultRowHeight="15" x14ac:dyDescent="0.25"/>
  <cols>
    <col min="2" max="2" width="19.5703125" customWidth="1"/>
    <col min="3" max="3" width="5" customWidth="1"/>
    <col min="4" max="4" width="33.85546875" bestFit="1" customWidth="1"/>
    <col min="5" max="5" width="25.5703125" customWidth="1"/>
    <col min="6" max="6" width="27" customWidth="1"/>
    <col min="7" max="7" width="25.7109375" customWidth="1"/>
    <col min="8" max="8" width="24.42578125" customWidth="1"/>
    <col min="9" max="10" width="24.140625" customWidth="1"/>
    <col min="11" max="12" width="19.140625" bestFit="1" customWidth="1"/>
    <col min="13" max="13" width="12.85546875" customWidth="1"/>
    <col min="14" max="14" width="18.28515625" bestFit="1" customWidth="1"/>
    <col min="15" max="15" width="11.7109375" bestFit="1" customWidth="1"/>
    <col min="16" max="16" width="20.140625" bestFit="1" customWidth="1"/>
    <col min="17" max="17" width="11.7109375" bestFit="1" customWidth="1"/>
  </cols>
  <sheetData>
    <row r="1" spans="1:23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25">
      <c r="A2" s="51" t="s">
        <v>37</v>
      </c>
      <c r="B2" s="51"/>
      <c r="C2" s="36"/>
      <c r="D2" s="36"/>
      <c r="E2" s="50" t="s">
        <v>36</v>
      </c>
      <c r="F2" s="50"/>
      <c r="G2" s="50"/>
      <c r="H2" s="50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1:23" x14ac:dyDescent="0.25">
      <c r="A3" s="51"/>
      <c r="B3" s="51"/>
      <c r="C3" s="36"/>
      <c r="D3" s="36"/>
      <c r="E3" s="50"/>
      <c r="F3" s="50"/>
      <c r="G3" s="50"/>
      <c r="H3" s="50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51"/>
      <c r="B4" s="51"/>
      <c r="C4" s="36"/>
      <c r="D4" s="36"/>
      <c r="E4" s="50"/>
      <c r="F4" s="50"/>
      <c r="G4" s="50"/>
      <c r="H4" s="50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18.75" x14ac:dyDescent="0.25">
      <c r="A5" s="52">
        <v>80000</v>
      </c>
      <c r="B5" s="52"/>
      <c r="C5" s="36"/>
      <c r="D5" s="37"/>
      <c r="E5" s="7" t="s">
        <v>11</v>
      </c>
      <c r="F5" s="7" t="s">
        <v>14</v>
      </c>
      <c r="G5" s="7" t="s">
        <v>12</v>
      </c>
      <c r="H5" s="7" t="s">
        <v>13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 ht="19.5" customHeight="1" x14ac:dyDescent="0.25">
      <c r="A6" s="52"/>
      <c r="B6" s="52"/>
      <c r="C6" s="36"/>
      <c r="D6" s="21" t="s">
        <v>19</v>
      </c>
      <c r="E6" s="15">
        <f>K12</f>
        <v>80000</v>
      </c>
      <c r="F6" s="25">
        <f>F39</f>
        <v>127083.55898080632</v>
      </c>
      <c r="G6" s="25">
        <f>G39</f>
        <v>112958.49128656443</v>
      </c>
      <c r="H6" s="25">
        <f>H39</f>
        <v>103541.77949040316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 ht="19.5" customHeight="1" x14ac:dyDescent="0.25">
      <c r="A7" s="52"/>
      <c r="B7" s="52"/>
      <c r="C7" s="36"/>
      <c r="D7" s="21" t="s">
        <v>18</v>
      </c>
      <c r="E7" s="25">
        <f>$K$17</f>
        <v>48232.645186896007</v>
      </c>
      <c r="F7" s="25">
        <f>$K$17</f>
        <v>48232.645186896007</v>
      </c>
      <c r="G7" s="25">
        <f>$K$17</f>
        <v>48232.645186896007</v>
      </c>
      <c r="H7" s="25">
        <f>$K$17</f>
        <v>48232.645186896007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 ht="19.5" customHeight="1" x14ac:dyDescent="0.25">
      <c r="A8" s="36"/>
      <c r="B8" s="36"/>
      <c r="C8" s="36"/>
      <c r="D8" s="21" t="s">
        <v>25</v>
      </c>
      <c r="E8" s="26">
        <f>E7-E6</f>
        <v>-31767.354813103993</v>
      </c>
      <c r="F8" s="35">
        <f>F7-F6</f>
        <v>-78850.913793910324</v>
      </c>
      <c r="G8" s="35">
        <f>G7-G6</f>
        <v>-64725.846099668423</v>
      </c>
      <c r="H8" s="35">
        <f>H7-H6</f>
        <v>-55309.134303507155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 ht="19.5" customHeight="1" x14ac:dyDescent="0.25">
      <c r="A9" s="36"/>
      <c r="B9" s="36"/>
      <c r="C9" s="36"/>
      <c r="D9" s="23" t="s">
        <v>26</v>
      </c>
      <c r="E9" s="26">
        <f>$M$18*-1</f>
        <v>-12782.16774403113</v>
      </c>
      <c r="F9" s="26">
        <f>$M$18*-1</f>
        <v>-12782.16774403113</v>
      </c>
      <c r="G9" s="26">
        <f>$M$18*-1</f>
        <v>-12782.16774403113</v>
      </c>
      <c r="H9" s="26">
        <f>$M$18*-1</f>
        <v>-12782.16774403113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9.5" customHeight="1" x14ac:dyDescent="0.25">
      <c r="A10" s="36"/>
      <c r="B10" s="36"/>
      <c r="C10" s="36"/>
      <c r="D10" s="23" t="s">
        <v>22</v>
      </c>
      <c r="E10" s="26">
        <f>$N$18*-1</f>
        <v>-8633.6051636302273</v>
      </c>
      <c r="F10" s="26">
        <f>$N$18*-1</f>
        <v>-8633.6051636302273</v>
      </c>
      <c r="G10" s="26">
        <f>$N$18*-1</f>
        <v>-8633.6051636302273</v>
      </c>
      <c r="H10" s="26">
        <f>$N$18*-1</f>
        <v>-8633.6051636302273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3" ht="19.5" customHeight="1" x14ac:dyDescent="0.25">
      <c r="A11" s="36"/>
      <c r="B11" s="36"/>
      <c r="C11" s="36"/>
      <c r="D11" s="23" t="s">
        <v>24</v>
      </c>
      <c r="E11" s="26">
        <f>$O$18*-1</f>
        <v>-12782.16774403113</v>
      </c>
      <c r="F11" s="26">
        <f>$O$18*-1</f>
        <v>-12782.16774403113</v>
      </c>
      <c r="G11" s="26">
        <f>$O$18*-1</f>
        <v>-12782.16774403113</v>
      </c>
      <c r="H11" s="26">
        <f>$O$18*-1</f>
        <v>-12782.16774403113</v>
      </c>
      <c r="I11" s="36"/>
      <c r="J11" s="40"/>
      <c r="K11" s="30" t="s">
        <v>1</v>
      </c>
      <c r="L11" s="31" t="s">
        <v>9</v>
      </c>
      <c r="M11" s="31" t="s">
        <v>20</v>
      </c>
      <c r="N11" s="31" t="s">
        <v>21</v>
      </c>
      <c r="O11" s="31" t="s">
        <v>23</v>
      </c>
      <c r="P11" s="36"/>
      <c r="Q11" s="36"/>
      <c r="R11" s="36"/>
      <c r="S11" s="36"/>
      <c r="T11" s="36"/>
      <c r="U11" s="36"/>
      <c r="V11" s="36"/>
      <c r="W11" s="36"/>
    </row>
    <row r="12" spans="1:23" s="20" customFormat="1" ht="19.5" customHeight="1" x14ac:dyDescent="0.25">
      <c r="A12" s="38"/>
      <c r="B12" s="38"/>
      <c r="C12" s="38"/>
      <c r="D12" s="23" t="s">
        <v>34</v>
      </c>
      <c r="E12" s="26">
        <f>E31</f>
        <v>-92754.689469104051</v>
      </c>
      <c r="F12" s="29">
        <f>F31</f>
        <v>-121934.93202477973</v>
      </c>
      <c r="G12" s="26">
        <f>G31</f>
        <v>-115103.10316447698</v>
      </c>
      <c r="H12" s="26">
        <f>H31</f>
        <v>-110548.55059094183</v>
      </c>
      <c r="I12" s="38"/>
      <c r="J12" s="17" t="s">
        <v>5</v>
      </c>
      <c r="K12" s="18">
        <f>A5</f>
        <v>80000</v>
      </c>
      <c r="L12" s="19">
        <v>0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s="20" customFormat="1" ht="22.5" customHeight="1" x14ac:dyDescent="0.25">
      <c r="A13" s="38"/>
      <c r="B13" s="38"/>
      <c r="C13" s="38"/>
      <c r="D13" s="38"/>
      <c r="E13" s="39"/>
      <c r="F13" s="39"/>
      <c r="G13" s="39"/>
      <c r="H13" s="39"/>
      <c r="I13" s="38"/>
      <c r="J13" s="17" t="s">
        <v>4</v>
      </c>
      <c r="K13" s="22">
        <f>K12*(1-L13)</f>
        <v>69648</v>
      </c>
      <c r="L13" s="28">
        <f>(7%+18.88%)/2</f>
        <v>0.12940000000000002</v>
      </c>
      <c r="M13" s="22">
        <f>K12*0.04</f>
        <v>3200</v>
      </c>
      <c r="N13" s="22">
        <f>K13*0.03</f>
        <v>2089.44</v>
      </c>
      <c r="O13" s="22">
        <f>K12*0.04</f>
        <v>3200</v>
      </c>
      <c r="P13" s="38"/>
      <c r="Q13" s="38"/>
      <c r="R13" s="38"/>
      <c r="S13" s="38"/>
      <c r="T13" s="38"/>
      <c r="U13" s="38"/>
      <c r="V13" s="38"/>
      <c r="W13" s="38"/>
    </row>
    <row r="14" spans="1:23" s="20" customFormat="1" ht="22.5" customHeight="1" x14ac:dyDescent="0.25">
      <c r="A14" s="38"/>
      <c r="B14" s="38"/>
      <c r="C14" s="38"/>
      <c r="D14" s="23" t="s">
        <v>29</v>
      </c>
      <c r="E14" s="27">
        <f>SUM(E8:E12)/60</f>
        <v>-2645.3330822316757</v>
      </c>
      <c r="F14" s="27">
        <f>SUM(F8:F12)/60</f>
        <v>-3916.3964411730421</v>
      </c>
      <c r="G14" s="27">
        <f>SUM(G8:G12)/60</f>
        <v>-3567.1148319306317</v>
      </c>
      <c r="H14" s="27">
        <f>SUM(H8:H12)/60</f>
        <v>-3334.2604257690246</v>
      </c>
      <c r="I14" s="38"/>
      <c r="J14" s="17" t="s">
        <v>3</v>
      </c>
      <c r="K14" s="22">
        <f t="shared" ref="K14:K17" si="0">K13*(1-L14)</f>
        <v>61987.41648</v>
      </c>
      <c r="L14" s="28">
        <f>L13*0.85</f>
        <v>0.10999</v>
      </c>
      <c r="M14" s="22">
        <f>K13*0.04</f>
        <v>2785.92</v>
      </c>
      <c r="N14" s="22">
        <f t="shared" ref="N14:N17" si="1">K14*0.03</f>
        <v>1859.6224943999998</v>
      </c>
      <c r="O14" s="22">
        <f t="shared" ref="O14:O16" si="2">K13*0.04</f>
        <v>2785.92</v>
      </c>
      <c r="P14" s="38"/>
      <c r="Q14" s="38"/>
      <c r="R14" s="38"/>
      <c r="S14" s="38"/>
      <c r="T14" s="38"/>
      <c r="U14" s="38"/>
      <c r="V14" s="38"/>
      <c r="W14" s="38"/>
    </row>
    <row r="15" spans="1:23" s="20" customFormat="1" ht="22.5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17" t="s">
        <v>6</v>
      </c>
      <c r="K15" s="22">
        <f t="shared" si="0"/>
        <v>56192.119932160072</v>
      </c>
      <c r="L15" s="28">
        <f>L14*0.85</f>
        <v>9.3491500000000005E-2</v>
      </c>
      <c r="M15" s="22">
        <f>K14*0.04</f>
        <v>2479.4966592000001</v>
      </c>
      <c r="N15" s="22">
        <f t="shared" si="1"/>
        <v>1685.7635979648021</v>
      </c>
      <c r="O15" s="22">
        <f t="shared" si="2"/>
        <v>2479.4966592000001</v>
      </c>
      <c r="P15" s="38"/>
      <c r="Q15" s="38"/>
      <c r="R15" s="38"/>
      <c r="S15" s="38"/>
      <c r="T15" s="38"/>
      <c r="U15" s="38"/>
      <c r="V15" s="38"/>
      <c r="W15" s="38"/>
    </row>
    <row r="16" spans="1:23" s="20" customFormat="1" ht="22.5" customHeight="1" x14ac:dyDescent="0.25">
      <c r="A16" s="38"/>
      <c r="B16" s="38"/>
      <c r="C16" s="38"/>
      <c r="D16" s="47" t="s">
        <v>41</v>
      </c>
      <c r="E16" s="47"/>
      <c r="F16" s="47"/>
      <c r="G16" s="47"/>
      <c r="H16" s="47"/>
      <c r="I16" s="38"/>
      <c r="J16" s="17" t="s">
        <v>7</v>
      </c>
      <c r="K16" s="22">
        <f t="shared" si="0"/>
        <v>51726.657188618163</v>
      </c>
      <c r="L16" s="28">
        <f>L15*0.85</f>
        <v>7.9467775000000004E-2</v>
      </c>
      <c r="M16" s="22">
        <f>K15*0.04</f>
        <v>2247.684797286403</v>
      </c>
      <c r="N16" s="22">
        <f t="shared" si="1"/>
        <v>1551.7997156585448</v>
      </c>
      <c r="O16" s="22">
        <f t="shared" si="2"/>
        <v>2247.684797286403</v>
      </c>
      <c r="P16" s="38"/>
      <c r="Q16" s="38"/>
      <c r="R16" s="38"/>
      <c r="S16" s="38"/>
      <c r="T16" s="38"/>
      <c r="U16" s="38"/>
      <c r="V16" s="38"/>
      <c r="W16" s="38"/>
    </row>
    <row r="17" spans="1:23" s="20" customFormat="1" ht="22.5" customHeight="1" x14ac:dyDescent="0.25">
      <c r="A17" s="38"/>
      <c r="B17" s="38"/>
      <c r="C17" s="38"/>
      <c r="D17" s="48" t="s">
        <v>38</v>
      </c>
      <c r="E17" s="48"/>
      <c r="F17" s="48"/>
      <c r="G17" s="48"/>
      <c r="H17" s="48"/>
      <c r="I17" s="38"/>
      <c r="J17" s="17" t="s">
        <v>8</v>
      </c>
      <c r="K17" s="22">
        <f t="shared" si="0"/>
        <v>48232.645186896007</v>
      </c>
      <c r="L17" s="28">
        <f>L16*0.85</f>
        <v>6.7547608750000002E-2</v>
      </c>
      <c r="M17" s="22">
        <f>K16*0.04</f>
        <v>2069.0662875447265</v>
      </c>
      <c r="N17" s="22">
        <f t="shared" si="1"/>
        <v>1446.9793556068801</v>
      </c>
      <c r="O17" s="22">
        <f>K16*0.04</f>
        <v>2069.0662875447265</v>
      </c>
      <c r="P17" s="38"/>
      <c r="Q17" s="38"/>
      <c r="R17" s="38"/>
      <c r="S17" s="38"/>
      <c r="T17" s="38"/>
      <c r="U17" s="38"/>
      <c r="V17" s="38"/>
      <c r="W17" s="38"/>
    </row>
    <row r="18" spans="1:23" s="20" customFormat="1" ht="22.5" customHeight="1" x14ac:dyDescent="0.25">
      <c r="A18" s="38"/>
      <c r="B18" s="38"/>
      <c r="C18" s="38"/>
      <c r="D18" s="49" t="s">
        <v>39</v>
      </c>
      <c r="E18" s="49"/>
      <c r="F18" s="49"/>
      <c r="G18" s="49"/>
      <c r="H18" s="49"/>
      <c r="I18" s="38"/>
      <c r="J18" s="10" t="s">
        <v>10</v>
      </c>
      <c r="K18" s="11"/>
      <c r="L18" s="33">
        <f>K17/K12-1</f>
        <v>-0.39709193516379993</v>
      </c>
      <c r="M18" s="24">
        <f>SUM(M13:M17)</f>
        <v>12782.16774403113</v>
      </c>
      <c r="N18" s="24">
        <f>SUM(N13:N17)</f>
        <v>8633.6051636302273</v>
      </c>
      <c r="O18" s="24">
        <f>SUM(O13:O17)</f>
        <v>12782.16774403113</v>
      </c>
      <c r="P18" s="38"/>
      <c r="Q18" s="38"/>
      <c r="R18" s="38"/>
      <c r="S18" s="38"/>
      <c r="T18" s="38"/>
      <c r="U18" s="38"/>
      <c r="V18" s="38"/>
      <c r="W18" s="38"/>
    </row>
    <row r="19" spans="1:23" s="20" customFormat="1" ht="22.5" customHeight="1" x14ac:dyDescent="0.25">
      <c r="A19" s="38"/>
      <c r="B19" s="38"/>
      <c r="C19" s="38"/>
      <c r="D19" s="49"/>
      <c r="E19" s="49"/>
      <c r="F19" s="49"/>
      <c r="G19" s="49"/>
      <c r="H19" s="49"/>
      <c r="I19" s="38"/>
      <c r="J19" s="12"/>
      <c r="K19" s="13"/>
      <c r="L19" s="34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s="20" customFormat="1" ht="22.5" customHeight="1" x14ac:dyDescent="0.25">
      <c r="A20" s="38"/>
      <c r="B20" s="38"/>
      <c r="C20" s="38"/>
      <c r="D20" s="49" t="s">
        <v>40</v>
      </c>
      <c r="E20" s="49"/>
      <c r="F20" s="49"/>
      <c r="G20" s="49"/>
      <c r="H20" s="49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x14ac:dyDescent="0.25">
      <c r="A21" s="36"/>
      <c r="B21" s="36"/>
      <c r="C21" s="36"/>
      <c r="D21" s="49"/>
      <c r="E21" s="49"/>
      <c r="F21" s="49"/>
      <c r="G21" s="49"/>
      <c r="H21" s="49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spans="1:23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spans="1:23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spans="1:23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spans="1:23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spans="1:23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spans="1:23" s="3" customFormat="1" ht="30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s="3" customFormat="1" ht="30" customHeight="1" x14ac:dyDescent="0.25">
      <c r="A28" s="37"/>
      <c r="B28" s="37"/>
      <c r="C28" s="37"/>
      <c r="D28" s="37"/>
      <c r="E28" s="8" t="s">
        <v>11</v>
      </c>
      <c r="F28" s="8" t="s">
        <v>14</v>
      </c>
      <c r="G28" s="8" t="s">
        <v>12</v>
      </c>
      <c r="H28" s="8" t="s">
        <v>13</v>
      </c>
      <c r="I28" s="36"/>
      <c r="J28" s="1" t="s">
        <v>31</v>
      </c>
      <c r="K28" s="1" t="s">
        <v>32</v>
      </c>
      <c r="L28" s="1" t="s">
        <v>2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s="3" customFormat="1" ht="30" customHeight="1" x14ac:dyDescent="0.3">
      <c r="A29" s="37"/>
      <c r="B29" s="37"/>
      <c r="C29" s="37"/>
      <c r="D29" s="6" t="s">
        <v>0</v>
      </c>
      <c r="E29" s="15">
        <f>$K$17</f>
        <v>48232.645186896007</v>
      </c>
      <c r="F29" s="15">
        <f>$K$17</f>
        <v>48232.645186896007</v>
      </c>
      <c r="G29" s="15">
        <f>$K$17</f>
        <v>48232.645186896007</v>
      </c>
      <c r="H29" s="15">
        <f>$K$17</f>
        <v>48232.645186896007</v>
      </c>
      <c r="I29" s="36"/>
      <c r="J29" s="2" t="s">
        <v>16</v>
      </c>
      <c r="K29" s="44">
        <v>0.219</v>
      </c>
      <c r="L29" s="44">
        <f>(1+K29)^(1/12)-1</f>
        <v>1.6639490435672588E-2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ht="18.75" x14ac:dyDescent="0.25">
      <c r="A30" s="36"/>
      <c r="B30" s="36"/>
      <c r="C30" s="36"/>
      <c r="D30" s="32" t="s">
        <v>27</v>
      </c>
      <c r="E30" s="15">
        <f>K12*(1+12%)^5</f>
        <v>140987.33465600005</v>
      </c>
      <c r="F30" s="15">
        <f>FV($F$35,60,F$38)*-1</f>
        <v>170167.57721167573</v>
      </c>
      <c r="G30" s="15">
        <f>0.3*K12*(1+13%)^5+(FV(F35,60,G38,0)*-1)</f>
        <v>163335.74835137298</v>
      </c>
      <c r="H30" s="15">
        <f>0.5*K12*(1+13%)^5+(FV(F35,60,H38,0)*-1)</f>
        <v>158781.19577783783</v>
      </c>
      <c r="I30" s="36"/>
      <c r="J30" s="53" t="s">
        <v>30</v>
      </c>
      <c r="K30" s="45"/>
      <c r="L30" s="4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spans="1:23" ht="18.75" x14ac:dyDescent="0.25">
      <c r="A31" s="36"/>
      <c r="B31" s="36"/>
      <c r="C31" s="36"/>
      <c r="D31" s="5" t="s">
        <v>35</v>
      </c>
      <c r="E31" s="26">
        <f>E29-E30</f>
        <v>-92754.689469104051</v>
      </c>
      <c r="F31" s="26">
        <f>F29-F30</f>
        <v>-121934.93202477973</v>
      </c>
      <c r="G31" s="26">
        <f t="shared" ref="G31:H31" si="3">G29-G30</f>
        <v>-115103.10316447698</v>
      </c>
      <c r="H31" s="26">
        <f t="shared" si="3"/>
        <v>-110548.55059094183</v>
      </c>
      <c r="I31" s="36"/>
      <c r="J31" s="54"/>
      <c r="K31" s="45"/>
      <c r="L31" s="45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spans="1:23" x14ac:dyDescent="0.25">
      <c r="A32" s="36"/>
      <c r="B32" s="36"/>
      <c r="C32" s="36"/>
      <c r="D32" s="41"/>
      <c r="E32" s="42"/>
      <c r="F32" s="42"/>
      <c r="G32" s="42"/>
      <c r="H32" s="42"/>
      <c r="I32" s="36"/>
      <c r="J32" s="55"/>
      <c r="K32" s="46"/>
      <c r="L32" s="4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spans="1:23" ht="39.75" customHeight="1" x14ac:dyDescent="0.25">
      <c r="A33" s="36"/>
      <c r="B33" s="36"/>
      <c r="C33" s="36"/>
      <c r="D33" s="5" t="s">
        <v>28</v>
      </c>
      <c r="E33" s="26">
        <f>E31/60</f>
        <v>-1545.9114911517343</v>
      </c>
      <c r="F33" s="26">
        <f>F31/60</f>
        <v>-2032.2488670796622</v>
      </c>
      <c r="G33" s="26">
        <f t="shared" ref="G33:H33" si="4">G31/60</f>
        <v>-1918.3850527412831</v>
      </c>
      <c r="H33" s="26">
        <f t="shared" si="4"/>
        <v>-1842.4758431823639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spans="1:23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 spans="1:23" x14ac:dyDescent="0.25">
      <c r="A35" s="36"/>
      <c r="B35" s="36"/>
      <c r="C35" s="36"/>
      <c r="D35" s="36"/>
      <c r="E35" s="36"/>
      <c r="F35" s="43">
        <f>(1+12%)^(1/12)-1</f>
        <v>9.4887929345830457E-3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spans="1:23" ht="18.75" x14ac:dyDescent="0.25">
      <c r="A36" s="36"/>
      <c r="B36" s="36"/>
      <c r="C36" s="36"/>
      <c r="D36" s="37"/>
      <c r="E36" s="4" t="s">
        <v>11</v>
      </c>
      <c r="F36" s="4" t="s">
        <v>14</v>
      </c>
      <c r="G36" s="4" t="s">
        <v>12</v>
      </c>
      <c r="H36" s="4" t="s">
        <v>13</v>
      </c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spans="1:23" ht="18.75" x14ac:dyDescent="0.25">
      <c r="A37" s="36"/>
      <c r="B37" s="36"/>
      <c r="C37" s="36"/>
      <c r="D37" s="6" t="s">
        <v>0</v>
      </c>
      <c r="E37" s="9">
        <f>K12</f>
        <v>80000</v>
      </c>
      <c r="F37" s="9">
        <f>E37</f>
        <v>80000</v>
      </c>
      <c r="G37" s="9">
        <f>F37</f>
        <v>80000</v>
      </c>
      <c r="H37" s="9">
        <f>G37</f>
        <v>80000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spans="1:23" ht="18.75" x14ac:dyDescent="0.25">
      <c r="A38" s="36"/>
      <c r="B38" s="36"/>
      <c r="C38" s="36"/>
      <c r="D38" s="4" t="s">
        <v>17</v>
      </c>
      <c r="E38" s="14">
        <v>0</v>
      </c>
      <c r="F38" s="14">
        <f>PMT($L$29,60,-$F$37,,)</f>
        <v>2118.059316346772</v>
      </c>
      <c r="G38" s="14">
        <f>PMT($L$29,60,-$G$37*0.7,,)</f>
        <v>1482.6415214427404</v>
      </c>
      <c r="H38" s="14">
        <f>PMT($L$29,60,-$H$37/2,,)</f>
        <v>1059.029658173386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spans="1:23" ht="18.75" x14ac:dyDescent="0.25">
      <c r="A39" s="36"/>
      <c r="B39" s="36"/>
      <c r="C39" s="36"/>
      <c r="D39" s="4" t="s">
        <v>15</v>
      </c>
      <c r="E39" s="15">
        <f>E37</f>
        <v>80000</v>
      </c>
      <c r="F39" s="15">
        <f>F38*60</f>
        <v>127083.55898080632</v>
      </c>
      <c r="G39" s="15">
        <f>G38*60+G37*0.3</f>
        <v>112958.49128656443</v>
      </c>
      <c r="H39" s="15">
        <f>H38*60+0.5*H37</f>
        <v>103541.77949040316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spans="1:23" ht="18.75" x14ac:dyDescent="0.25">
      <c r="A40" s="36"/>
      <c r="B40" s="36"/>
      <c r="C40" s="36"/>
      <c r="D40" s="5" t="s">
        <v>33</v>
      </c>
      <c r="E40" s="15">
        <f>E39-E37</f>
        <v>0</v>
      </c>
      <c r="F40" s="16">
        <f>F39-F37</f>
        <v>47083.558980806323</v>
      </c>
      <c r="G40" s="16">
        <f>G39-G37</f>
        <v>32958.491286564429</v>
      </c>
      <c r="H40" s="16">
        <f>H39-H37</f>
        <v>23541.779490403162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spans="1:23" ht="18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3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spans="1:23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3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spans="1:23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spans="1:23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  <row r="51" spans="1:23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 spans="1:23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 spans="1:23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 spans="1:23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spans="1:23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  <row r="56" spans="1:23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 spans="1:23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</row>
  </sheetData>
  <sheetProtection algorithmName="SHA-512" hashValue="UjV/ibUA2dvGWA4gYsjQG0fh42FICTrmPD15pWUzN3D52PLnhTCdvzS4hAclNBaeFaKkw4reZFk9HTla4uoP0w==" saltValue="GAMgHL65UpHBeXYbzGtxig==" spinCount="100000" sheet="1" objects="1" scenarios="1"/>
  <mergeCells count="10">
    <mergeCell ref="E2:H4"/>
    <mergeCell ref="A2:B4"/>
    <mergeCell ref="A5:B7"/>
    <mergeCell ref="J30:J32"/>
    <mergeCell ref="K29:K32"/>
    <mergeCell ref="L29:L32"/>
    <mergeCell ref="D16:H16"/>
    <mergeCell ref="D17:H17"/>
    <mergeCell ref="D18:H19"/>
    <mergeCell ref="D20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Cadonhotto</dc:creator>
  <cp:lastModifiedBy>Guilherme Cadonhotto</cp:lastModifiedBy>
  <dcterms:created xsi:type="dcterms:W3CDTF">2021-02-26T14:36:02Z</dcterms:created>
  <dcterms:modified xsi:type="dcterms:W3CDTF">2022-03-24T19:44:38Z</dcterms:modified>
</cp:coreProperties>
</file>