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</cols>
  <sheetData>
    <row r="1">
      <c r="A1" t="str">
        <f>IFERROR(__xludf.DUMMYFUNCTION("importxml(""https://www.boxofficemojo.com/yearly/chart/?view=releasedate&amp;view2=domestic&amp;yr=2015&amp;sort=gross&amp;order=DESC&amp;p=.htm"", ""//*[@id='body']/table[3]/tr/td[1]/table[1]/tr/td[2]/table[1]/tr/td/table[1]/tr/td/table[1]/tr"")"),"Total Gross /Theaters")</f>
        <v>Total Gross /Theaters</v>
      </c>
      <c r="B1" t="str">
        <f>IFERROR(__xludf.DUMMYFUNCTION("""COMPUTED_VALUE"""),"Opening /Theaters")</f>
        <v>Opening /Theaters</v>
      </c>
      <c r="C1" t="str">
        <f>IFERROR(__xludf.DUMMYFUNCTION("""COMPUTED_VALUE"""),"Open")</f>
        <v>Open</v>
      </c>
      <c r="D1" t="str">
        <f>IFERROR(__xludf.DUMMYFUNCTION("""COMPUTED_VALUE"""),"Close")</f>
        <v>Close</v>
      </c>
      <c r="E1" t="str">
        <f>IFERROR(__xludf.DUMMYFUNCTION("""COMPUTED_VALUE"""),"")</f>
        <v/>
      </c>
      <c r="F1" t="str">
        <f>IFERROR(__xludf.DUMMYFUNCTION("""COMPUTED_VALUE"""),"")</f>
        <v/>
      </c>
      <c r="G1" t="str">
        <f>IFERROR(__xludf.DUMMYFUNCTION("""COMPUTED_VALUE"""),"")</f>
        <v/>
      </c>
      <c r="H1" t="str">
        <f>IFERROR(__xludf.DUMMYFUNCTION("""COMPUTED_VALUE"""),"")</f>
        <v/>
      </c>
      <c r="I1" t="str">
        <f>IFERROR(__xludf.DUMMYFUNCTION("""COMPUTED_VALUE"""),"")</f>
        <v/>
      </c>
    </row>
    <row r="2">
      <c r="A2">
        <f>IFERROR(__xludf.DUMMYFUNCTION("""COMPUTED_VALUE"""),1.0)</f>
        <v>1</v>
      </c>
      <c r="B2" t="str">
        <f>IFERROR(__xludf.DUMMYFUNCTION("""COMPUTED_VALUE"""),"Star Wars: The Force Awakens")</f>
        <v>Star Wars: The Force Awakens</v>
      </c>
      <c r="C2" t="str">
        <f>IFERROR(__xludf.DUMMYFUNCTION("""COMPUTED_VALUE"""),"BV")</f>
        <v>BV</v>
      </c>
      <c r="D2" t="str">
        <f>IFERROR(__xludf.DUMMYFUNCTION("""COMPUTED_VALUE"""),"$936,662,225")</f>
        <v>$936,662,225</v>
      </c>
      <c r="E2" s="1">
        <f>IFERROR(__xludf.DUMMYFUNCTION("""COMPUTED_VALUE"""),4134.0)</f>
        <v>4134</v>
      </c>
      <c r="F2" t="str">
        <f>IFERROR(__xludf.DUMMYFUNCTION("""COMPUTED_VALUE"""),"$247,966,675")</f>
        <v>$247,966,675</v>
      </c>
      <c r="G2" s="1">
        <f>IFERROR(__xludf.DUMMYFUNCTION("""COMPUTED_VALUE"""),4134.0)</f>
        <v>4134</v>
      </c>
      <c r="H2" s="2">
        <f>IFERROR(__xludf.DUMMYFUNCTION("""COMPUTED_VALUE"""),43452.0)</f>
        <v>43452</v>
      </c>
      <c r="I2" s="2">
        <f>IFERROR(__xludf.DUMMYFUNCTION("""COMPUTED_VALUE"""),43253.0)</f>
        <v>43253</v>
      </c>
    </row>
    <row r="3">
      <c r="A3">
        <f>IFERROR(__xludf.DUMMYFUNCTION("""COMPUTED_VALUE"""),2.0)</f>
        <v>2</v>
      </c>
      <c r="B3" t="str">
        <f>IFERROR(__xludf.DUMMYFUNCTION("""COMPUTED_VALUE"""),"Jurassic World")</f>
        <v>Jurassic World</v>
      </c>
      <c r="C3" t="str">
        <f>IFERROR(__xludf.DUMMYFUNCTION("""COMPUTED_VALUE"""),"Uni.")</f>
        <v>Uni.</v>
      </c>
      <c r="D3" t="str">
        <f>IFERROR(__xludf.DUMMYFUNCTION("""COMPUTED_VALUE"""),"$652,270,625")</f>
        <v>$652,270,625</v>
      </c>
      <c r="E3" s="1">
        <f>IFERROR(__xludf.DUMMYFUNCTION("""COMPUTED_VALUE"""),4291.0)</f>
        <v>4291</v>
      </c>
      <c r="F3" t="str">
        <f>IFERROR(__xludf.DUMMYFUNCTION("""COMPUTED_VALUE"""),"$208,806,270")</f>
        <v>$208,806,270</v>
      </c>
      <c r="G3" s="1">
        <f>IFERROR(__xludf.DUMMYFUNCTION("""COMPUTED_VALUE"""),4274.0)</f>
        <v>4274</v>
      </c>
      <c r="H3" s="2">
        <f>IFERROR(__xludf.DUMMYFUNCTION("""COMPUTED_VALUE"""),43263.0)</f>
        <v>43263</v>
      </c>
      <c r="I3" s="2">
        <f>IFERROR(__xludf.DUMMYFUNCTION("""COMPUTED_VALUE"""),43423.0)</f>
        <v>43423</v>
      </c>
    </row>
    <row r="4">
      <c r="A4">
        <f>IFERROR(__xludf.DUMMYFUNCTION("""COMPUTED_VALUE"""),3.0)</f>
        <v>3</v>
      </c>
      <c r="B4" t="str">
        <f>IFERROR(__xludf.DUMMYFUNCTION("""COMPUTED_VALUE"""),"Avengers: Age of Ultron")</f>
        <v>Avengers: Age of Ultron</v>
      </c>
      <c r="C4" t="str">
        <f>IFERROR(__xludf.DUMMYFUNCTION("""COMPUTED_VALUE"""),"BV")</f>
        <v>BV</v>
      </c>
      <c r="D4" t="str">
        <f>IFERROR(__xludf.DUMMYFUNCTION("""COMPUTED_VALUE"""),"$459,005,868")</f>
        <v>$459,005,868</v>
      </c>
      <c r="E4" s="1">
        <f>IFERROR(__xludf.DUMMYFUNCTION("""COMPUTED_VALUE"""),4276.0)</f>
        <v>4276</v>
      </c>
      <c r="F4" t="str">
        <f>IFERROR(__xludf.DUMMYFUNCTION("""COMPUTED_VALUE"""),"$191,271,109")</f>
        <v>$191,271,109</v>
      </c>
      <c r="G4" s="1">
        <f>IFERROR(__xludf.DUMMYFUNCTION("""COMPUTED_VALUE"""),4276.0)</f>
        <v>4276</v>
      </c>
      <c r="H4" s="2">
        <f>IFERROR(__xludf.DUMMYFUNCTION("""COMPUTED_VALUE"""),43221.0)</f>
        <v>43221</v>
      </c>
      <c r="I4" s="2">
        <f>IFERROR(__xludf.DUMMYFUNCTION("""COMPUTED_VALUE"""),43381.0)</f>
        <v>43381</v>
      </c>
    </row>
    <row r="5">
      <c r="A5">
        <f>IFERROR(__xludf.DUMMYFUNCTION("""COMPUTED_VALUE"""),4.0)</f>
        <v>4</v>
      </c>
      <c r="B5" t="str">
        <f>IFERROR(__xludf.DUMMYFUNCTION("""COMPUTED_VALUE"""),"Inside Out")</f>
        <v>Inside Out</v>
      </c>
      <c r="C5" t="str">
        <f>IFERROR(__xludf.DUMMYFUNCTION("""COMPUTED_VALUE"""),"BV")</f>
        <v>BV</v>
      </c>
      <c r="D5" t="str">
        <f>IFERROR(__xludf.DUMMYFUNCTION("""COMPUTED_VALUE"""),"$356,461,711")</f>
        <v>$356,461,711</v>
      </c>
      <c r="E5" s="1">
        <f>IFERROR(__xludf.DUMMYFUNCTION("""COMPUTED_VALUE"""),4158.0)</f>
        <v>4158</v>
      </c>
      <c r="F5" t="str">
        <f>IFERROR(__xludf.DUMMYFUNCTION("""COMPUTED_VALUE"""),"$90,440,272")</f>
        <v>$90,440,272</v>
      </c>
      <c r="G5" s="1">
        <f>IFERROR(__xludf.DUMMYFUNCTION("""COMPUTED_VALUE"""),3946.0)</f>
        <v>3946</v>
      </c>
      <c r="H5" s="2">
        <f>IFERROR(__xludf.DUMMYFUNCTION("""COMPUTED_VALUE"""),43270.0)</f>
        <v>43270</v>
      </c>
      <c r="I5" s="2">
        <f>IFERROR(__xludf.DUMMYFUNCTION("""COMPUTED_VALUE"""),43444.0)</f>
        <v>43444</v>
      </c>
    </row>
    <row r="6">
      <c r="A6">
        <f>IFERROR(__xludf.DUMMYFUNCTION("""COMPUTED_VALUE"""),5.0)</f>
        <v>5</v>
      </c>
      <c r="B6" t="str">
        <f>IFERROR(__xludf.DUMMYFUNCTION("""COMPUTED_VALUE"""),"Furious 7")</f>
        <v>Furious 7</v>
      </c>
      <c r="C6" t="str">
        <f>IFERROR(__xludf.DUMMYFUNCTION("""COMPUTED_VALUE"""),"Uni.")</f>
        <v>Uni.</v>
      </c>
      <c r="D6" t="str">
        <f>IFERROR(__xludf.DUMMYFUNCTION("""COMPUTED_VALUE"""),"$353,007,020")</f>
        <v>$353,007,020</v>
      </c>
      <c r="E6" s="1">
        <f>IFERROR(__xludf.DUMMYFUNCTION("""COMPUTED_VALUE"""),4022.0)</f>
        <v>4022</v>
      </c>
      <c r="F6" t="str">
        <f>IFERROR(__xludf.DUMMYFUNCTION("""COMPUTED_VALUE"""),"$147,187,040")</f>
        <v>$147,187,040</v>
      </c>
      <c r="G6" s="1">
        <f>IFERROR(__xludf.DUMMYFUNCTION("""COMPUTED_VALUE"""),4004.0)</f>
        <v>4004</v>
      </c>
      <c r="H6" s="2">
        <f>IFERROR(__xludf.DUMMYFUNCTION("""COMPUTED_VALUE"""),43193.0)</f>
        <v>43193</v>
      </c>
      <c r="I6" s="2">
        <f>IFERROR(__xludf.DUMMYFUNCTION("""COMPUTED_VALUE"""),43305.0)</f>
        <v>43305</v>
      </c>
    </row>
    <row r="7">
      <c r="A7">
        <f>IFERROR(__xludf.DUMMYFUNCTION("""COMPUTED_VALUE"""),6.0)</f>
        <v>6</v>
      </c>
      <c r="B7" t="str">
        <f>IFERROR(__xludf.DUMMYFUNCTION("""COMPUTED_VALUE"""),"Minions")</f>
        <v>Minions</v>
      </c>
      <c r="C7" t="str">
        <f>IFERROR(__xludf.DUMMYFUNCTION("""COMPUTED_VALUE"""),"Uni.")</f>
        <v>Uni.</v>
      </c>
      <c r="D7" t="str">
        <f>IFERROR(__xludf.DUMMYFUNCTION("""COMPUTED_VALUE"""),"$336,045,770")</f>
        <v>$336,045,770</v>
      </c>
      <c r="E7" s="1">
        <f>IFERROR(__xludf.DUMMYFUNCTION("""COMPUTED_VALUE"""),4311.0)</f>
        <v>4311</v>
      </c>
      <c r="F7" t="str">
        <f>IFERROR(__xludf.DUMMYFUNCTION("""COMPUTED_VALUE"""),"$115,718,405")</f>
        <v>$115,718,405</v>
      </c>
      <c r="G7" s="1">
        <f>IFERROR(__xludf.DUMMYFUNCTION("""COMPUTED_VALUE"""),4301.0)</f>
        <v>4301</v>
      </c>
      <c r="H7" s="2">
        <f>IFERROR(__xludf.DUMMYFUNCTION("""COMPUTED_VALUE"""),43291.0)</f>
        <v>43291</v>
      </c>
      <c r="I7" s="2">
        <f>IFERROR(__xludf.DUMMYFUNCTION("""COMPUTED_VALUE"""),43451.0)</f>
        <v>43451</v>
      </c>
    </row>
    <row r="8">
      <c r="A8">
        <f>IFERROR(__xludf.DUMMYFUNCTION("""COMPUTED_VALUE"""),7.0)</f>
        <v>7</v>
      </c>
      <c r="B8" t="str">
        <f>IFERROR(__xludf.DUMMYFUNCTION("""COMPUTED_VALUE"""),"The Hunger Games: Mockingjay - Part 2")</f>
        <v>The Hunger Games: Mockingjay - Part 2</v>
      </c>
      <c r="C8" t="str">
        <f>IFERROR(__xludf.DUMMYFUNCTION("""COMPUTED_VALUE"""),"LGF")</f>
        <v>LGF</v>
      </c>
      <c r="D8" t="str">
        <f>IFERROR(__xludf.DUMMYFUNCTION("""COMPUTED_VALUE"""),"$281,723,902")</f>
        <v>$281,723,902</v>
      </c>
      <c r="E8" s="1">
        <f>IFERROR(__xludf.DUMMYFUNCTION("""COMPUTED_VALUE"""),4175.0)</f>
        <v>4175</v>
      </c>
      <c r="F8" t="str">
        <f>IFERROR(__xludf.DUMMYFUNCTION("""COMPUTED_VALUE"""),"$102,665,981")</f>
        <v>$102,665,981</v>
      </c>
      <c r="G8" s="1">
        <f>IFERROR(__xludf.DUMMYFUNCTION("""COMPUTED_VALUE"""),4175.0)</f>
        <v>4175</v>
      </c>
      <c r="H8" s="2">
        <f>IFERROR(__xludf.DUMMYFUNCTION("""COMPUTED_VALUE"""),43424.0)</f>
        <v>43424</v>
      </c>
      <c r="I8" s="2">
        <f>IFERROR(__xludf.DUMMYFUNCTION("""COMPUTED_VALUE"""),43156.0)</f>
        <v>43156</v>
      </c>
    </row>
    <row r="9">
      <c r="A9">
        <f>IFERROR(__xludf.DUMMYFUNCTION("""COMPUTED_VALUE"""),8.0)</f>
        <v>8</v>
      </c>
      <c r="B9" t="str">
        <f>IFERROR(__xludf.DUMMYFUNCTION("""COMPUTED_VALUE"""),"The Martian")</f>
        <v>The Martian</v>
      </c>
      <c r="C9" t="str">
        <f>IFERROR(__xludf.DUMMYFUNCTION("""COMPUTED_VALUE"""),"Fox")</f>
        <v>Fox</v>
      </c>
      <c r="D9" t="str">
        <f>IFERROR(__xludf.DUMMYFUNCTION("""COMPUTED_VALUE"""),"$228,433,663")</f>
        <v>$228,433,663</v>
      </c>
      <c r="E9" s="1">
        <f>IFERROR(__xludf.DUMMYFUNCTION("""COMPUTED_VALUE"""),3854.0)</f>
        <v>3854</v>
      </c>
      <c r="F9" t="str">
        <f>IFERROR(__xludf.DUMMYFUNCTION("""COMPUTED_VALUE"""),"$54,308,575")</f>
        <v>$54,308,575</v>
      </c>
      <c r="G9" s="1">
        <f>IFERROR(__xludf.DUMMYFUNCTION("""COMPUTED_VALUE"""),3831.0)</f>
        <v>3831</v>
      </c>
      <c r="H9" s="2">
        <f>IFERROR(__xludf.DUMMYFUNCTION("""COMPUTED_VALUE"""),43375.0)</f>
        <v>43375</v>
      </c>
      <c r="I9" s="2">
        <f>IFERROR(__xludf.DUMMYFUNCTION("""COMPUTED_VALUE"""),43176.0)</f>
        <v>43176</v>
      </c>
    </row>
    <row r="10">
      <c r="A10">
        <f>IFERROR(__xludf.DUMMYFUNCTION("""COMPUTED_VALUE"""),9.0)</f>
        <v>9</v>
      </c>
      <c r="B10" t="str">
        <f>IFERROR(__xludf.DUMMYFUNCTION("""COMPUTED_VALUE"""),"Cinderella (2015)")</f>
        <v>Cinderella (2015)</v>
      </c>
      <c r="C10" t="str">
        <f>IFERROR(__xludf.DUMMYFUNCTION("""COMPUTED_VALUE"""),"BV")</f>
        <v>BV</v>
      </c>
      <c r="D10" t="str">
        <f>IFERROR(__xludf.DUMMYFUNCTION("""COMPUTED_VALUE"""),"$201,151,353")</f>
        <v>$201,151,353</v>
      </c>
      <c r="E10" s="1">
        <f>IFERROR(__xludf.DUMMYFUNCTION("""COMPUTED_VALUE"""),3848.0)</f>
        <v>3848</v>
      </c>
      <c r="F10" t="str">
        <f>IFERROR(__xludf.DUMMYFUNCTION("""COMPUTED_VALUE"""),"$67,877,361")</f>
        <v>$67,877,361</v>
      </c>
      <c r="G10" s="1">
        <f>IFERROR(__xludf.DUMMYFUNCTION("""COMPUTED_VALUE"""),3845.0)</f>
        <v>3845</v>
      </c>
      <c r="H10" s="2">
        <f>IFERROR(__xludf.DUMMYFUNCTION("""COMPUTED_VALUE"""),43172.0)</f>
        <v>43172</v>
      </c>
      <c r="I10" s="2">
        <f>IFERROR(__xludf.DUMMYFUNCTION("""COMPUTED_VALUE"""),43360.0)</f>
        <v>43360</v>
      </c>
    </row>
    <row r="11">
      <c r="A11">
        <f>IFERROR(__xludf.DUMMYFUNCTION("""COMPUTED_VALUE"""),10.0)</f>
        <v>10</v>
      </c>
      <c r="B11" t="str">
        <f>IFERROR(__xludf.DUMMYFUNCTION("""COMPUTED_VALUE"""),"Spectre")</f>
        <v>Spectre</v>
      </c>
      <c r="C11" t="str">
        <f>IFERROR(__xludf.DUMMYFUNCTION("""COMPUTED_VALUE"""),"Sony")</f>
        <v>Sony</v>
      </c>
      <c r="D11" t="str">
        <f>IFERROR(__xludf.DUMMYFUNCTION("""COMPUTED_VALUE"""),"$200,074,609")</f>
        <v>$200,074,609</v>
      </c>
      <c r="E11" s="1">
        <f>IFERROR(__xludf.DUMMYFUNCTION("""COMPUTED_VALUE"""),3929.0)</f>
        <v>3929</v>
      </c>
      <c r="F11" t="str">
        <f>IFERROR(__xludf.DUMMYFUNCTION("""COMPUTED_VALUE"""),"$70,403,148")</f>
        <v>$70,403,148</v>
      </c>
      <c r="G11" s="1">
        <f>IFERROR(__xludf.DUMMYFUNCTION("""COMPUTED_VALUE"""),3929.0)</f>
        <v>3929</v>
      </c>
      <c r="H11" s="2">
        <f>IFERROR(__xludf.DUMMYFUNCTION("""COMPUTED_VALUE"""),43410.0)</f>
        <v>43410</v>
      </c>
      <c r="I11" s="2">
        <f>IFERROR(__xludf.DUMMYFUNCTION("""COMPUTED_VALUE"""),43197.0)</f>
        <v>43197</v>
      </c>
    </row>
    <row r="12">
      <c r="A12">
        <f>IFERROR(__xludf.DUMMYFUNCTION("""COMPUTED_VALUE"""),11.0)</f>
        <v>11</v>
      </c>
      <c r="B12" t="str">
        <f>IFERROR(__xludf.DUMMYFUNCTION("""COMPUTED_VALUE"""),"Mission: Impossible - Rogue Nation")</f>
        <v>Mission: Impossible - Rogue Nation</v>
      </c>
      <c r="C12" t="str">
        <f>IFERROR(__xludf.DUMMYFUNCTION("""COMPUTED_VALUE"""),"Par.")</f>
        <v>Par.</v>
      </c>
      <c r="D12" t="str">
        <f>IFERROR(__xludf.DUMMYFUNCTION("""COMPUTED_VALUE"""),"$195,042,377")</f>
        <v>$195,042,377</v>
      </c>
      <c r="E12" s="1">
        <f>IFERROR(__xludf.DUMMYFUNCTION("""COMPUTED_VALUE"""),3988.0)</f>
        <v>3988</v>
      </c>
      <c r="F12" t="str">
        <f>IFERROR(__xludf.DUMMYFUNCTION("""COMPUTED_VALUE"""),"$55,520,089")</f>
        <v>$55,520,089</v>
      </c>
      <c r="G12" s="1">
        <f>IFERROR(__xludf.DUMMYFUNCTION("""COMPUTED_VALUE"""),3956.0)</f>
        <v>3956</v>
      </c>
      <c r="H12" s="2">
        <f>IFERROR(__xludf.DUMMYFUNCTION("""COMPUTED_VALUE"""),43312.0)</f>
        <v>43312</v>
      </c>
      <c r="I12" s="2">
        <f>IFERROR(__xludf.DUMMYFUNCTION("""COMPUTED_VALUE"""),43402.0)</f>
        <v>43402</v>
      </c>
    </row>
    <row r="13">
      <c r="A13">
        <f>IFERROR(__xludf.DUMMYFUNCTION("""COMPUTED_VALUE"""),12.0)</f>
        <v>12</v>
      </c>
      <c r="B13" t="str">
        <f>IFERROR(__xludf.DUMMYFUNCTION("""COMPUTED_VALUE"""),"Pitch Perfect 2")</f>
        <v>Pitch Perfect 2</v>
      </c>
      <c r="C13" t="str">
        <f>IFERROR(__xludf.DUMMYFUNCTION("""COMPUTED_VALUE"""),"Uni.")</f>
        <v>Uni.</v>
      </c>
      <c r="D13" t="str">
        <f>IFERROR(__xludf.DUMMYFUNCTION("""COMPUTED_VALUE"""),"$184,296,230")</f>
        <v>$184,296,230</v>
      </c>
      <c r="E13" s="1">
        <f>IFERROR(__xludf.DUMMYFUNCTION("""COMPUTED_VALUE"""),3660.0)</f>
        <v>3660</v>
      </c>
      <c r="F13" t="str">
        <f>IFERROR(__xludf.DUMMYFUNCTION("""COMPUTED_VALUE"""),"$69,216,890")</f>
        <v>$69,216,890</v>
      </c>
      <c r="G13" s="1">
        <f>IFERROR(__xludf.DUMMYFUNCTION("""COMPUTED_VALUE"""),3473.0)</f>
        <v>3473</v>
      </c>
      <c r="H13" s="2">
        <f>IFERROR(__xludf.DUMMYFUNCTION("""COMPUTED_VALUE"""),43235.0)</f>
        <v>43235</v>
      </c>
      <c r="I13" s="2">
        <f>IFERROR(__xludf.DUMMYFUNCTION("""COMPUTED_VALUE"""),43311.0)</f>
        <v>43311</v>
      </c>
    </row>
    <row r="14">
      <c r="A14">
        <f>IFERROR(__xludf.DUMMYFUNCTION("""COMPUTED_VALUE"""),13.0)</f>
        <v>13</v>
      </c>
      <c r="B14" t="str">
        <f>IFERROR(__xludf.DUMMYFUNCTION("""COMPUTED_VALUE"""),"The Revenant")</f>
        <v>The Revenant</v>
      </c>
      <c r="C14" t="str">
        <f>IFERROR(__xludf.DUMMYFUNCTION("""COMPUTED_VALUE"""),"Fox")</f>
        <v>Fox</v>
      </c>
      <c r="D14" t="str">
        <f>IFERROR(__xludf.DUMMYFUNCTION("""COMPUTED_VALUE"""),"$183,637,894")</f>
        <v>$183,637,894</v>
      </c>
      <c r="E14" s="1">
        <f>IFERROR(__xludf.DUMMYFUNCTION("""COMPUTED_VALUE"""),3711.0)</f>
        <v>3711</v>
      </c>
      <c r="F14" t="str">
        <f>IFERROR(__xludf.DUMMYFUNCTION("""COMPUTED_VALUE"""),"$474,560")</f>
        <v>$474,560</v>
      </c>
      <c r="G14">
        <f>IFERROR(__xludf.DUMMYFUNCTION("""COMPUTED_VALUE"""),4.0)</f>
        <v>4</v>
      </c>
      <c r="H14" s="2">
        <f>IFERROR(__xludf.DUMMYFUNCTION("""COMPUTED_VALUE"""),43459.0)</f>
        <v>43459</v>
      </c>
      <c r="I14" s="2">
        <f>IFERROR(__xludf.DUMMYFUNCTION("""COMPUTED_VALUE"""),43246.0)</f>
        <v>43246</v>
      </c>
    </row>
    <row r="15">
      <c r="A15">
        <f>IFERROR(__xludf.DUMMYFUNCTION("""COMPUTED_VALUE"""),14.0)</f>
        <v>14</v>
      </c>
      <c r="B15" t="str">
        <f>IFERROR(__xludf.DUMMYFUNCTION("""COMPUTED_VALUE"""),"Ant-Man")</f>
        <v>Ant-Man</v>
      </c>
      <c r="C15" t="str">
        <f>IFERROR(__xludf.DUMMYFUNCTION("""COMPUTED_VALUE"""),"BV")</f>
        <v>BV</v>
      </c>
      <c r="D15" t="str">
        <f>IFERROR(__xludf.DUMMYFUNCTION("""COMPUTED_VALUE"""),"$180,202,163")</f>
        <v>$180,202,163</v>
      </c>
      <c r="E15" s="1">
        <f>IFERROR(__xludf.DUMMYFUNCTION("""COMPUTED_VALUE"""),3868.0)</f>
        <v>3868</v>
      </c>
      <c r="F15" t="str">
        <f>IFERROR(__xludf.DUMMYFUNCTION("""COMPUTED_VALUE"""),"$57,225,526")</f>
        <v>$57,225,526</v>
      </c>
      <c r="G15" s="1">
        <f>IFERROR(__xludf.DUMMYFUNCTION("""COMPUTED_VALUE"""),3856.0)</f>
        <v>3856</v>
      </c>
      <c r="H15" s="2">
        <f>IFERROR(__xludf.DUMMYFUNCTION("""COMPUTED_VALUE"""),43298.0)</f>
        <v>43298</v>
      </c>
      <c r="I15" s="2">
        <f>IFERROR(__xludf.DUMMYFUNCTION("""COMPUTED_VALUE"""),43451.0)</f>
        <v>43451</v>
      </c>
    </row>
    <row r="16">
      <c r="A16">
        <f>IFERROR(__xludf.DUMMYFUNCTION("""COMPUTED_VALUE"""),15.0)</f>
        <v>15</v>
      </c>
      <c r="B16" t="str">
        <f>IFERROR(__xludf.DUMMYFUNCTION("""COMPUTED_VALUE"""),"Home (2015)")</f>
        <v>Home (2015)</v>
      </c>
      <c r="C16" t="str">
        <f>IFERROR(__xludf.DUMMYFUNCTION("""COMPUTED_VALUE"""),"Fox")</f>
        <v>Fox</v>
      </c>
      <c r="D16" t="str">
        <f>IFERROR(__xludf.DUMMYFUNCTION("""COMPUTED_VALUE"""),"$177,397,510")</f>
        <v>$177,397,510</v>
      </c>
      <c r="E16" s="1">
        <f>IFERROR(__xludf.DUMMYFUNCTION("""COMPUTED_VALUE"""),3801.0)</f>
        <v>3801</v>
      </c>
      <c r="F16" t="str">
        <f>IFERROR(__xludf.DUMMYFUNCTION("""COMPUTED_VALUE"""),"$52,107,731")</f>
        <v>$52,107,731</v>
      </c>
      <c r="G16" s="1">
        <f>IFERROR(__xludf.DUMMYFUNCTION("""COMPUTED_VALUE"""),3708.0)</f>
        <v>3708</v>
      </c>
      <c r="H16" s="2">
        <f>IFERROR(__xludf.DUMMYFUNCTION("""COMPUTED_VALUE"""),43186.0)</f>
        <v>43186</v>
      </c>
      <c r="I16" s="2">
        <f>IFERROR(__xludf.DUMMYFUNCTION("""COMPUTED_VALUE"""),43353.0)</f>
        <v>43353</v>
      </c>
    </row>
    <row r="17">
      <c r="A17">
        <f>IFERROR(__xludf.DUMMYFUNCTION("""COMPUTED_VALUE"""),16.0)</f>
        <v>16</v>
      </c>
      <c r="B17" t="str">
        <f>IFERROR(__xludf.DUMMYFUNCTION("""COMPUTED_VALUE"""),"Hotel Transylvania 2")</f>
        <v>Hotel Transylvania 2</v>
      </c>
      <c r="C17" t="str">
        <f>IFERROR(__xludf.DUMMYFUNCTION("""COMPUTED_VALUE"""),"Sony")</f>
        <v>Sony</v>
      </c>
      <c r="D17" t="str">
        <f>IFERROR(__xludf.DUMMYFUNCTION("""COMPUTED_VALUE"""),"$169,700,110")</f>
        <v>$169,700,110</v>
      </c>
      <c r="E17" s="1">
        <f>IFERROR(__xludf.DUMMYFUNCTION("""COMPUTED_VALUE"""),3768.0)</f>
        <v>3768</v>
      </c>
      <c r="F17" t="str">
        <f>IFERROR(__xludf.DUMMYFUNCTION("""COMPUTED_VALUE"""),"$48,464,322")</f>
        <v>$48,464,322</v>
      </c>
      <c r="G17" s="1">
        <f>IFERROR(__xludf.DUMMYFUNCTION("""COMPUTED_VALUE"""),3754.0)</f>
        <v>3754</v>
      </c>
      <c r="H17" s="2">
        <f>IFERROR(__xludf.DUMMYFUNCTION("""COMPUTED_VALUE"""),43368.0)</f>
        <v>43368</v>
      </c>
      <c r="I17" s="2">
        <f>IFERROR(__xludf.DUMMYFUNCTION("""COMPUTED_VALUE"""),43162.0)</f>
        <v>43162</v>
      </c>
    </row>
    <row r="18">
      <c r="A18">
        <f>IFERROR(__xludf.DUMMYFUNCTION("""COMPUTED_VALUE"""),17.0)</f>
        <v>17</v>
      </c>
      <c r="B18" t="str">
        <f>IFERROR(__xludf.DUMMYFUNCTION("""COMPUTED_VALUE"""),"Fifty Shades of Grey")</f>
        <v>Fifty Shades of Grey</v>
      </c>
      <c r="C18" t="str">
        <f>IFERROR(__xludf.DUMMYFUNCTION("""COMPUTED_VALUE"""),"Uni.")</f>
        <v>Uni.</v>
      </c>
      <c r="D18" t="str">
        <f>IFERROR(__xludf.DUMMYFUNCTION("""COMPUTED_VALUE"""),"$166,167,230")</f>
        <v>$166,167,230</v>
      </c>
      <c r="E18" s="1">
        <f>IFERROR(__xludf.DUMMYFUNCTION("""COMPUTED_VALUE"""),3655.0)</f>
        <v>3655</v>
      </c>
      <c r="F18" t="str">
        <f>IFERROR(__xludf.DUMMYFUNCTION("""COMPUTED_VALUE"""),"$85,171,450")</f>
        <v>$85,171,450</v>
      </c>
      <c r="G18" s="1">
        <f>IFERROR(__xludf.DUMMYFUNCTION("""COMPUTED_VALUE"""),3646.0)</f>
        <v>3646</v>
      </c>
      <c r="H18" s="2">
        <f>IFERROR(__xludf.DUMMYFUNCTION("""COMPUTED_VALUE"""),43144.0)</f>
        <v>43144</v>
      </c>
      <c r="I18" s="2">
        <f>IFERROR(__xludf.DUMMYFUNCTION("""COMPUTED_VALUE"""),43227.0)</f>
        <v>43227</v>
      </c>
    </row>
    <row r="19">
      <c r="A19">
        <f>IFERROR(__xludf.DUMMYFUNCTION("""COMPUTED_VALUE"""),18.0)</f>
        <v>18</v>
      </c>
      <c r="B19" t="str">
        <f>IFERROR(__xludf.DUMMYFUNCTION("""COMPUTED_VALUE"""),"The SpongeBob Movie: Sponge Out of Water")</f>
        <v>The SpongeBob Movie: Sponge Out of Water</v>
      </c>
      <c r="C19" t="str">
        <f>IFERROR(__xludf.DUMMYFUNCTION("""COMPUTED_VALUE"""),"Par.")</f>
        <v>Par.</v>
      </c>
      <c r="D19" t="str">
        <f>IFERROR(__xludf.DUMMYFUNCTION("""COMPUTED_VALUE"""),"$162,994,032")</f>
        <v>$162,994,032</v>
      </c>
      <c r="E19" s="1">
        <f>IFERROR(__xludf.DUMMYFUNCTION("""COMPUTED_VALUE"""),3680.0)</f>
        <v>3680</v>
      </c>
      <c r="F19" t="str">
        <f>IFERROR(__xludf.DUMMYFUNCTION("""COMPUTED_VALUE"""),"$55,365,012")</f>
        <v>$55,365,012</v>
      </c>
      <c r="G19" s="1">
        <f>IFERROR(__xludf.DUMMYFUNCTION("""COMPUTED_VALUE"""),3641.0)</f>
        <v>3641</v>
      </c>
      <c r="H19" s="2">
        <f>IFERROR(__xludf.DUMMYFUNCTION("""COMPUTED_VALUE"""),43137.0)</f>
        <v>43137</v>
      </c>
      <c r="I19" s="2">
        <f>IFERROR(__xludf.DUMMYFUNCTION("""COMPUTED_VALUE"""),43248.0)</f>
        <v>43248</v>
      </c>
    </row>
    <row r="20">
      <c r="A20">
        <f>IFERROR(__xludf.DUMMYFUNCTION("""COMPUTED_VALUE"""),19.0)</f>
        <v>19</v>
      </c>
      <c r="B20" t="str">
        <f>IFERROR(__xludf.DUMMYFUNCTION("""COMPUTED_VALUE"""),"Straight Outta Compton")</f>
        <v>Straight Outta Compton</v>
      </c>
      <c r="C20" t="str">
        <f>IFERROR(__xludf.DUMMYFUNCTION("""COMPUTED_VALUE"""),"Uni.")</f>
        <v>Uni.</v>
      </c>
      <c r="D20" t="str">
        <f>IFERROR(__xludf.DUMMYFUNCTION("""COMPUTED_VALUE"""),"$161,197,785")</f>
        <v>$161,197,785</v>
      </c>
      <c r="E20" s="1">
        <f>IFERROR(__xludf.DUMMYFUNCTION("""COMPUTED_VALUE"""),3142.0)</f>
        <v>3142</v>
      </c>
      <c r="F20" t="str">
        <f>IFERROR(__xludf.DUMMYFUNCTION("""COMPUTED_VALUE"""),"$60,200,180")</f>
        <v>$60,200,180</v>
      </c>
      <c r="G20" s="1">
        <f>IFERROR(__xludf.DUMMYFUNCTION("""COMPUTED_VALUE"""),2757.0)</f>
        <v>2757</v>
      </c>
      <c r="H20" s="2">
        <f>IFERROR(__xludf.DUMMYFUNCTION("""COMPUTED_VALUE"""),43326.0)</f>
        <v>43326</v>
      </c>
      <c r="I20" s="2">
        <f>IFERROR(__xludf.DUMMYFUNCTION("""COMPUTED_VALUE"""),43395.0)</f>
        <v>43395</v>
      </c>
    </row>
    <row r="21">
      <c r="A21">
        <f>IFERROR(__xludf.DUMMYFUNCTION("""COMPUTED_VALUE"""),20.0)</f>
        <v>20</v>
      </c>
      <c r="B21" t="str">
        <f>IFERROR(__xludf.DUMMYFUNCTION("""COMPUTED_VALUE"""),"San Andreas")</f>
        <v>San Andreas</v>
      </c>
      <c r="C21" t="str">
        <f>IFERROR(__xludf.DUMMYFUNCTION("""COMPUTED_VALUE"""),"WB (NL)")</f>
        <v>WB (NL)</v>
      </c>
      <c r="D21" t="str">
        <f>IFERROR(__xludf.DUMMYFUNCTION("""COMPUTED_VALUE"""),"$155,190,832")</f>
        <v>$155,190,832</v>
      </c>
      <c r="E21" s="1">
        <f>IFERROR(__xludf.DUMMYFUNCTION("""COMPUTED_VALUE"""),3812.0)</f>
        <v>3812</v>
      </c>
      <c r="F21" t="str">
        <f>IFERROR(__xludf.DUMMYFUNCTION("""COMPUTED_VALUE"""),"$54,588,173")</f>
        <v>$54,588,173</v>
      </c>
      <c r="G21" s="1">
        <f>IFERROR(__xludf.DUMMYFUNCTION("""COMPUTED_VALUE"""),3777.0)</f>
        <v>3777</v>
      </c>
      <c r="H21" s="2">
        <f>IFERROR(__xludf.DUMMYFUNCTION("""COMPUTED_VALUE"""),43249.0)</f>
        <v>43249</v>
      </c>
      <c r="I21" s="2">
        <f>IFERROR(__xludf.DUMMYFUNCTION("""COMPUTED_VALUE"""),43388.0)</f>
        <v>43388</v>
      </c>
    </row>
    <row r="22">
      <c r="A22">
        <f>IFERROR(__xludf.DUMMYFUNCTION("""COMPUTED_VALUE"""),21.0)</f>
        <v>21</v>
      </c>
      <c r="B22" t="str">
        <f>IFERROR(__xludf.DUMMYFUNCTION("""COMPUTED_VALUE"""),"Mad Max: Fury Road")</f>
        <v>Mad Max: Fury Road</v>
      </c>
      <c r="C22" t="str">
        <f>IFERROR(__xludf.DUMMYFUNCTION("""COMPUTED_VALUE"""),"WB")</f>
        <v>WB</v>
      </c>
      <c r="D22" t="str">
        <f>IFERROR(__xludf.DUMMYFUNCTION("""COMPUTED_VALUE"""),"$153,636,354")</f>
        <v>$153,636,354</v>
      </c>
      <c r="E22" s="1">
        <f>IFERROR(__xludf.DUMMYFUNCTION("""COMPUTED_VALUE"""),3722.0)</f>
        <v>3722</v>
      </c>
      <c r="F22" t="str">
        <f>IFERROR(__xludf.DUMMYFUNCTION("""COMPUTED_VALUE"""),"$45,428,128")</f>
        <v>$45,428,128</v>
      </c>
      <c r="G22" s="1">
        <f>IFERROR(__xludf.DUMMYFUNCTION("""COMPUTED_VALUE"""),3702.0)</f>
        <v>3702</v>
      </c>
      <c r="H22" s="2">
        <f>IFERROR(__xludf.DUMMYFUNCTION("""COMPUTED_VALUE"""),43235.0)</f>
        <v>43235</v>
      </c>
      <c r="I22" s="2">
        <f>IFERROR(__xludf.DUMMYFUNCTION("""COMPUTED_VALUE"""),43367.0)</f>
        <v>43367</v>
      </c>
    </row>
    <row r="23">
      <c r="A23">
        <f>IFERROR(__xludf.DUMMYFUNCTION("""COMPUTED_VALUE"""),22.0)</f>
        <v>22</v>
      </c>
      <c r="B23" t="str">
        <f>IFERROR(__xludf.DUMMYFUNCTION("""COMPUTED_VALUE"""),"Daddy's Home")</f>
        <v>Daddy's Home</v>
      </c>
      <c r="C23" t="str">
        <f>IFERROR(__xludf.DUMMYFUNCTION("""COMPUTED_VALUE"""),"Par.")</f>
        <v>Par.</v>
      </c>
      <c r="D23" t="str">
        <f>IFERROR(__xludf.DUMMYFUNCTION("""COMPUTED_VALUE"""),"$150,357,137")</f>
        <v>$150,357,137</v>
      </c>
      <c r="E23" s="1">
        <f>IFERROR(__xludf.DUMMYFUNCTION("""COMPUTED_VALUE"""),3483.0)</f>
        <v>3483</v>
      </c>
      <c r="F23" t="str">
        <f>IFERROR(__xludf.DUMMYFUNCTION("""COMPUTED_VALUE"""),"$38,740,203")</f>
        <v>$38,740,203</v>
      </c>
      <c r="G23" s="1">
        <f>IFERROR(__xludf.DUMMYFUNCTION("""COMPUTED_VALUE"""),3271.0)</f>
        <v>3271</v>
      </c>
      <c r="H23" s="2">
        <f>IFERROR(__xludf.DUMMYFUNCTION("""COMPUTED_VALUE"""),43459.0)</f>
        <v>43459</v>
      </c>
      <c r="I23" s="2">
        <f>IFERROR(__xludf.DUMMYFUNCTION("""COMPUTED_VALUE"""),43197.0)</f>
        <v>43197</v>
      </c>
    </row>
    <row r="24">
      <c r="A24">
        <f>IFERROR(__xludf.DUMMYFUNCTION("""COMPUTED_VALUE"""),23.0)</f>
        <v>23</v>
      </c>
      <c r="B24" t="str">
        <f>IFERROR(__xludf.DUMMYFUNCTION("""COMPUTED_VALUE"""),"The Divergent Series: Insurgent")</f>
        <v>The Divergent Series: Insurgent</v>
      </c>
      <c r="C24" t="str">
        <f>IFERROR(__xludf.DUMMYFUNCTION("""COMPUTED_VALUE"""),"LG/S")</f>
        <v>LG/S</v>
      </c>
      <c r="D24" t="str">
        <f>IFERROR(__xludf.DUMMYFUNCTION("""COMPUTED_VALUE"""),"$130,179,072")</f>
        <v>$130,179,072</v>
      </c>
      <c r="E24" s="1">
        <f>IFERROR(__xludf.DUMMYFUNCTION("""COMPUTED_VALUE"""),3875.0)</f>
        <v>3875</v>
      </c>
      <c r="F24" t="str">
        <f>IFERROR(__xludf.DUMMYFUNCTION("""COMPUTED_VALUE"""),"$52,263,680")</f>
        <v>$52,263,680</v>
      </c>
      <c r="G24" s="1">
        <f>IFERROR(__xludf.DUMMYFUNCTION("""COMPUTED_VALUE"""),3875.0)</f>
        <v>3875</v>
      </c>
      <c r="H24" s="2">
        <f>IFERROR(__xludf.DUMMYFUNCTION("""COMPUTED_VALUE"""),43179.0)</f>
        <v>43179</v>
      </c>
      <c r="I24" s="2">
        <f>IFERROR(__xludf.DUMMYFUNCTION("""COMPUTED_VALUE"""),43290.0)</f>
        <v>43290</v>
      </c>
    </row>
    <row r="25">
      <c r="A25">
        <f>IFERROR(__xludf.DUMMYFUNCTION("""COMPUTED_VALUE"""),24.0)</f>
        <v>24</v>
      </c>
      <c r="B25" t="str">
        <f>IFERROR(__xludf.DUMMYFUNCTION("""COMPUTED_VALUE"""),"The Peanuts Movie")</f>
        <v>The Peanuts Movie</v>
      </c>
      <c r="C25" t="str">
        <f>IFERROR(__xludf.DUMMYFUNCTION("""COMPUTED_VALUE"""),"Fox")</f>
        <v>Fox</v>
      </c>
      <c r="D25" t="str">
        <f>IFERROR(__xludf.DUMMYFUNCTION("""COMPUTED_VALUE"""),"$130,178,411")</f>
        <v>$130,178,411</v>
      </c>
      <c r="E25" s="1">
        <f>IFERROR(__xludf.DUMMYFUNCTION("""COMPUTED_VALUE"""),3902.0)</f>
        <v>3902</v>
      </c>
      <c r="F25" t="str">
        <f>IFERROR(__xludf.DUMMYFUNCTION("""COMPUTED_VALUE"""),"$44,213,073")</f>
        <v>$44,213,073</v>
      </c>
      <c r="G25" s="1">
        <f>IFERROR(__xludf.DUMMYFUNCTION("""COMPUTED_VALUE"""),3897.0)</f>
        <v>3897</v>
      </c>
      <c r="H25" s="2">
        <f>IFERROR(__xludf.DUMMYFUNCTION("""COMPUTED_VALUE"""),43410.0)</f>
        <v>43410</v>
      </c>
      <c r="I25" s="2">
        <f>IFERROR(__xludf.DUMMYFUNCTION("""COMPUTED_VALUE"""),43190.0)</f>
        <v>43190</v>
      </c>
    </row>
    <row r="26">
      <c r="A26">
        <f>IFERROR(__xludf.DUMMYFUNCTION("""COMPUTED_VALUE"""),25.0)</f>
        <v>25</v>
      </c>
      <c r="B26" t="str">
        <f>IFERROR(__xludf.DUMMYFUNCTION("""COMPUTED_VALUE"""),"Kingsman: The Secret Service")</f>
        <v>Kingsman: The Secret Service</v>
      </c>
      <c r="C26" t="str">
        <f>IFERROR(__xludf.DUMMYFUNCTION("""COMPUTED_VALUE"""),"Fox")</f>
        <v>Fox</v>
      </c>
      <c r="D26" t="str">
        <f>IFERROR(__xludf.DUMMYFUNCTION("""COMPUTED_VALUE"""),"$128,261,724")</f>
        <v>$128,261,724</v>
      </c>
      <c r="E26" s="1">
        <f>IFERROR(__xludf.DUMMYFUNCTION("""COMPUTED_VALUE"""),3282.0)</f>
        <v>3282</v>
      </c>
      <c r="F26" t="str">
        <f>IFERROR(__xludf.DUMMYFUNCTION("""COMPUTED_VALUE"""),"$36,206,331")</f>
        <v>$36,206,331</v>
      </c>
      <c r="G26" s="1">
        <f>IFERROR(__xludf.DUMMYFUNCTION("""COMPUTED_VALUE"""),3204.0)</f>
        <v>3204</v>
      </c>
      <c r="H26" s="2">
        <f>IFERROR(__xludf.DUMMYFUNCTION("""COMPUTED_VALUE"""),43144.0)</f>
        <v>43144</v>
      </c>
      <c r="I26" s="2">
        <f>IFERROR(__xludf.DUMMYFUNCTION("""COMPUTED_VALUE"""),43290.0)</f>
        <v>43290</v>
      </c>
    </row>
    <row r="27">
      <c r="A27">
        <f>IFERROR(__xludf.DUMMYFUNCTION("""COMPUTED_VALUE"""),26.0)</f>
        <v>26</v>
      </c>
      <c r="B27" t="str">
        <f>IFERROR(__xludf.DUMMYFUNCTION("""COMPUTED_VALUE"""),"The Good Dinosaur")</f>
        <v>The Good Dinosaur</v>
      </c>
      <c r="C27" t="str">
        <f>IFERROR(__xludf.DUMMYFUNCTION("""COMPUTED_VALUE"""),"BV")</f>
        <v>BV</v>
      </c>
      <c r="D27" t="str">
        <f>IFERROR(__xludf.DUMMYFUNCTION("""COMPUTED_VALUE"""),"$123,087,120")</f>
        <v>$123,087,120</v>
      </c>
      <c r="E27" s="1">
        <f>IFERROR(__xludf.DUMMYFUNCTION("""COMPUTED_VALUE"""),3749.0)</f>
        <v>3749</v>
      </c>
      <c r="F27" t="str">
        <f>IFERROR(__xludf.DUMMYFUNCTION("""COMPUTED_VALUE"""),"$39,155,217")</f>
        <v>$39,155,217</v>
      </c>
      <c r="G27" s="1">
        <f>IFERROR(__xludf.DUMMYFUNCTION("""COMPUTED_VALUE"""),3749.0)</f>
        <v>3749</v>
      </c>
      <c r="H27" s="2">
        <f>IFERROR(__xludf.DUMMYFUNCTION("""COMPUTED_VALUE"""),43429.0)</f>
        <v>43429</v>
      </c>
      <c r="I27" s="2">
        <f>IFERROR(__xludf.DUMMYFUNCTION("""COMPUTED_VALUE"""),43197.0)</f>
        <v>43197</v>
      </c>
    </row>
    <row r="28">
      <c r="A28">
        <f>IFERROR(__xludf.DUMMYFUNCTION("""COMPUTED_VALUE"""),27.0)</f>
        <v>27</v>
      </c>
      <c r="B28" t="str">
        <f>IFERROR(__xludf.DUMMYFUNCTION("""COMPUTED_VALUE"""),"Spy")</f>
        <v>Spy</v>
      </c>
      <c r="C28" t="str">
        <f>IFERROR(__xludf.DUMMYFUNCTION("""COMPUTED_VALUE"""),"Fox")</f>
        <v>Fox</v>
      </c>
      <c r="D28" t="str">
        <f>IFERROR(__xludf.DUMMYFUNCTION("""COMPUTED_VALUE"""),"$110,825,712")</f>
        <v>$110,825,712</v>
      </c>
      <c r="E28" s="1">
        <f>IFERROR(__xludf.DUMMYFUNCTION("""COMPUTED_VALUE"""),3715.0)</f>
        <v>3715</v>
      </c>
      <c r="F28" t="str">
        <f>IFERROR(__xludf.DUMMYFUNCTION("""COMPUTED_VALUE"""),"$29,085,719")</f>
        <v>$29,085,719</v>
      </c>
      <c r="G28" s="1">
        <f>IFERROR(__xludf.DUMMYFUNCTION("""COMPUTED_VALUE"""),3711.0)</f>
        <v>3711</v>
      </c>
      <c r="H28" s="2">
        <f>IFERROR(__xludf.DUMMYFUNCTION("""COMPUTED_VALUE"""),43256.0)</f>
        <v>43256</v>
      </c>
      <c r="I28" s="2">
        <f>IFERROR(__xludf.DUMMYFUNCTION("""COMPUTED_VALUE"""),43381.0)</f>
        <v>43381</v>
      </c>
    </row>
    <row r="29">
      <c r="A29">
        <f>IFERROR(__xludf.DUMMYFUNCTION("""COMPUTED_VALUE"""),28.0)</f>
        <v>28</v>
      </c>
      <c r="B29" t="str">
        <f>IFERROR(__xludf.DUMMYFUNCTION("""COMPUTED_VALUE"""),"Trainwreck")</f>
        <v>Trainwreck</v>
      </c>
      <c r="C29" t="str">
        <f>IFERROR(__xludf.DUMMYFUNCTION("""COMPUTED_VALUE"""),"Uni.")</f>
        <v>Uni.</v>
      </c>
      <c r="D29" t="str">
        <f>IFERROR(__xludf.DUMMYFUNCTION("""COMPUTED_VALUE"""),"$110,212,700")</f>
        <v>$110,212,700</v>
      </c>
      <c r="E29" s="1">
        <f>IFERROR(__xludf.DUMMYFUNCTION("""COMPUTED_VALUE"""),3171.0)</f>
        <v>3171</v>
      </c>
      <c r="F29" t="str">
        <f>IFERROR(__xludf.DUMMYFUNCTION("""COMPUTED_VALUE"""),"$30,097,040")</f>
        <v>$30,097,040</v>
      </c>
      <c r="G29" s="1">
        <f>IFERROR(__xludf.DUMMYFUNCTION("""COMPUTED_VALUE"""),3158.0)</f>
        <v>3158</v>
      </c>
      <c r="H29" s="2">
        <f>IFERROR(__xludf.DUMMYFUNCTION("""COMPUTED_VALUE"""),43298.0)</f>
        <v>43298</v>
      </c>
      <c r="I29" s="2">
        <f>IFERROR(__xludf.DUMMYFUNCTION("""COMPUTED_VALUE"""),43388.0)</f>
        <v>43388</v>
      </c>
    </row>
    <row r="30">
      <c r="A30">
        <f>IFERROR(__xludf.DUMMYFUNCTION("""COMPUTED_VALUE"""),29.0)</f>
        <v>29</v>
      </c>
      <c r="B30" t="str">
        <f>IFERROR(__xludf.DUMMYFUNCTION("""COMPUTED_VALUE"""),"Creed")</f>
        <v>Creed</v>
      </c>
      <c r="C30" t="str">
        <f>IFERROR(__xludf.DUMMYFUNCTION("""COMPUTED_VALUE"""),"WB (NL)")</f>
        <v>WB (NL)</v>
      </c>
      <c r="D30" t="str">
        <f>IFERROR(__xludf.DUMMYFUNCTION("""COMPUTED_VALUE"""),"$109,767,581")</f>
        <v>$109,767,581</v>
      </c>
      <c r="E30" s="1">
        <f>IFERROR(__xludf.DUMMYFUNCTION("""COMPUTED_VALUE"""),3502.0)</f>
        <v>3502</v>
      </c>
      <c r="F30" t="str">
        <f>IFERROR(__xludf.DUMMYFUNCTION("""COMPUTED_VALUE"""),"$29,632,823")</f>
        <v>$29,632,823</v>
      </c>
      <c r="G30" s="1">
        <f>IFERROR(__xludf.DUMMYFUNCTION("""COMPUTED_VALUE"""),3404.0)</f>
        <v>3404</v>
      </c>
      <c r="H30" s="2">
        <f>IFERROR(__xludf.DUMMYFUNCTION("""COMPUTED_VALUE"""),43429.0)</f>
        <v>43429</v>
      </c>
      <c r="I30" s="2">
        <f>IFERROR(__xludf.DUMMYFUNCTION("""COMPUTED_VALUE"""),43162.0)</f>
        <v>43162</v>
      </c>
    </row>
    <row r="31">
      <c r="A31">
        <f>IFERROR(__xludf.DUMMYFUNCTION("""COMPUTED_VALUE"""),30.0)</f>
        <v>30</v>
      </c>
      <c r="B31" t="str">
        <f>IFERROR(__xludf.DUMMYFUNCTION("""COMPUTED_VALUE"""),"Tomorrowland")</f>
        <v>Tomorrowland</v>
      </c>
      <c r="C31" t="str">
        <f>IFERROR(__xludf.DUMMYFUNCTION("""COMPUTED_VALUE"""),"BV")</f>
        <v>BV</v>
      </c>
      <c r="D31" t="str">
        <f>IFERROR(__xludf.DUMMYFUNCTION("""COMPUTED_VALUE"""),"$93,436,322")</f>
        <v>$93,436,322</v>
      </c>
      <c r="E31" s="1">
        <f>IFERROR(__xludf.DUMMYFUNCTION("""COMPUTED_VALUE"""),3972.0)</f>
        <v>3972</v>
      </c>
      <c r="F31" t="str">
        <f>IFERROR(__xludf.DUMMYFUNCTION("""COMPUTED_VALUE"""),"$33,028,165")</f>
        <v>$33,028,165</v>
      </c>
      <c r="G31" s="1">
        <f>IFERROR(__xludf.DUMMYFUNCTION("""COMPUTED_VALUE"""),3972.0)</f>
        <v>3972</v>
      </c>
      <c r="H31" s="2">
        <f>IFERROR(__xludf.DUMMYFUNCTION("""COMPUTED_VALUE"""),43242.0)</f>
        <v>43242</v>
      </c>
      <c r="I31" s="2">
        <f>IFERROR(__xludf.DUMMYFUNCTION("""COMPUTED_VALUE"""),43360.0)</f>
        <v>43360</v>
      </c>
    </row>
    <row r="32">
      <c r="A32">
        <f>IFERROR(__xludf.DUMMYFUNCTION("""COMPUTED_VALUE"""),31.0)</f>
        <v>31</v>
      </c>
      <c r="B32" t="str">
        <f>IFERROR(__xludf.DUMMYFUNCTION("""COMPUTED_VALUE"""),"Get Hard")</f>
        <v>Get Hard</v>
      </c>
      <c r="C32" t="str">
        <f>IFERROR(__xludf.DUMMYFUNCTION("""COMPUTED_VALUE"""),"WB")</f>
        <v>WB</v>
      </c>
      <c r="D32" t="str">
        <f>IFERROR(__xludf.DUMMYFUNCTION("""COMPUTED_VALUE"""),"$90,411,453")</f>
        <v>$90,411,453</v>
      </c>
      <c r="E32" s="1">
        <f>IFERROR(__xludf.DUMMYFUNCTION("""COMPUTED_VALUE"""),3212.0)</f>
        <v>3212</v>
      </c>
      <c r="F32" t="str">
        <f>IFERROR(__xludf.DUMMYFUNCTION("""COMPUTED_VALUE"""),"$33,803,253")</f>
        <v>$33,803,253</v>
      </c>
      <c r="G32" s="1">
        <f>IFERROR(__xludf.DUMMYFUNCTION("""COMPUTED_VALUE"""),3175.0)</f>
        <v>3175</v>
      </c>
      <c r="H32" s="2">
        <f>IFERROR(__xludf.DUMMYFUNCTION("""COMPUTED_VALUE"""),43186.0)</f>
        <v>43186</v>
      </c>
      <c r="I32" s="2">
        <f>IFERROR(__xludf.DUMMYFUNCTION("""COMPUTED_VALUE"""),43290.0)</f>
        <v>43290</v>
      </c>
    </row>
    <row r="33">
      <c r="A33">
        <f>IFERROR(__xludf.DUMMYFUNCTION("""COMPUTED_VALUE"""),32.0)</f>
        <v>32</v>
      </c>
      <c r="B33" t="str">
        <f>IFERROR(__xludf.DUMMYFUNCTION("""COMPUTED_VALUE"""),"Terminator: Genisys")</f>
        <v>Terminator: Genisys</v>
      </c>
      <c r="C33" t="str">
        <f>IFERROR(__xludf.DUMMYFUNCTION("""COMPUTED_VALUE"""),"Par.")</f>
        <v>Par.</v>
      </c>
      <c r="D33" t="str">
        <f>IFERROR(__xludf.DUMMYFUNCTION("""COMPUTED_VALUE"""),"$89,760,956")</f>
        <v>$89,760,956</v>
      </c>
      <c r="E33" s="1">
        <f>IFERROR(__xludf.DUMMYFUNCTION("""COMPUTED_VALUE"""),3783.0)</f>
        <v>3783</v>
      </c>
      <c r="F33" t="str">
        <f>IFERROR(__xludf.DUMMYFUNCTION("""COMPUTED_VALUE"""),"$27,018,486")</f>
        <v>$27,018,486</v>
      </c>
      <c r="G33" s="1">
        <f>IFERROR(__xludf.DUMMYFUNCTION("""COMPUTED_VALUE"""),3758.0)</f>
        <v>3758</v>
      </c>
      <c r="H33" s="2">
        <f>IFERROR(__xludf.DUMMYFUNCTION("""COMPUTED_VALUE"""),43282.0)</f>
        <v>43282</v>
      </c>
      <c r="I33" s="2">
        <f>IFERROR(__xludf.DUMMYFUNCTION("""COMPUTED_VALUE"""),43360.0)</f>
        <v>43360</v>
      </c>
    </row>
    <row r="34">
      <c r="A34">
        <f>IFERROR(__xludf.DUMMYFUNCTION("""COMPUTED_VALUE"""),33.0)</f>
        <v>33</v>
      </c>
      <c r="B34" t="str">
        <f>IFERROR(__xludf.DUMMYFUNCTION("""COMPUTED_VALUE"""),"Taken 3")</f>
        <v>Taken 3</v>
      </c>
      <c r="C34" t="str">
        <f>IFERROR(__xludf.DUMMYFUNCTION("""COMPUTED_VALUE"""),"Fox")</f>
        <v>Fox</v>
      </c>
      <c r="D34" t="str">
        <f>IFERROR(__xludf.DUMMYFUNCTION("""COMPUTED_VALUE"""),"$89,256,424")</f>
        <v>$89,256,424</v>
      </c>
      <c r="E34" s="1">
        <f>IFERROR(__xludf.DUMMYFUNCTION("""COMPUTED_VALUE"""),3594.0)</f>
        <v>3594</v>
      </c>
      <c r="F34" t="str">
        <f>IFERROR(__xludf.DUMMYFUNCTION("""COMPUTED_VALUE"""),"$39,201,657")</f>
        <v>$39,201,657</v>
      </c>
      <c r="G34" s="1">
        <f>IFERROR(__xludf.DUMMYFUNCTION("""COMPUTED_VALUE"""),3594.0)</f>
        <v>3594</v>
      </c>
      <c r="H34" s="2">
        <f>IFERROR(__xludf.DUMMYFUNCTION("""COMPUTED_VALUE"""),43109.0)</f>
        <v>43109</v>
      </c>
      <c r="I34" s="2">
        <f>IFERROR(__xludf.DUMMYFUNCTION("""COMPUTED_VALUE"""),43234.0)</f>
        <v>43234</v>
      </c>
    </row>
    <row r="35">
      <c r="A35">
        <f>IFERROR(__xludf.DUMMYFUNCTION("""COMPUTED_VALUE"""),34.0)</f>
        <v>34</v>
      </c>
      <c r="B35" t="str">
        <f>IFERROR(__xludf.DUMMYFUNCTION("""COMPUTED_VALUE"""),"Sisters")</f>
        <v>Sisters</v>
      </c>
      <c r="C35" t="str">
        <f>IFERROR(__xludf.DUMMYFUNCTION("""COMPUTED_VALUE"""),"Uni.")</f>
        <v>Uni.</v>
      </c>
      <c r="D35" t="str">
        <f>IFERROR(__xludf.DUMMYFUNCTION("""COMPUTED_VALUE"""),"$87,044,645")</f>
        <v>$87,044,645</v>
      </c>
      <c r="E35" s="1">
        <f>IFERROR(__xludf.DUMMYFUNCTION("""COMPUTED_VALUE"""),2978.0)</f>
        <v>2978</v>
      </c>
      <c r="F35" t="str">
        <f>IFERROR(__xludf.DUMMYFUNCTION("""COMPUTED_VALUE"""),"$13,922,855")</f>
        <v>$13,922,855</v>
      </c>
      <c r="G35" s="1">
        <f>IFERROR(__xludf.DUMMYFUNCTION("""COMPUTED_VALUE"""),2962.0)</f>
        <v>2962</v>
      </c>
      <c r="H35" s="2">
        <f>IFERROR(__xludf.DUMMYFUNCTION("""COMPUTED_VALUE"""),43452.0)</f>
        <v>43452</v>
      </c>
      <c r="I35" s="2">
        <f>IFERROR(__xludf.DUMMYFUNCTION("""COMPUTED_VALUE"""),43169.0)</f>
        <v>43169</v>
      </c>
    </row>
    <row r="36">
      <c r="A36">
        <f>IFERROR(__xludf.DUMMYFUNCTION("""COMPUTED_VALUE"""),35.0)</f>
        <v>35</v>
      </c>
      <c r="B36" t="str">
        <f>IFERROR(__xludf.DUMMYFUNCTION("""COMPUTED_VALUE"""),"Alvin and the Chipmunks: The Road Chip")</f>
        <v>Alvin and the Chipmunks: The Road Chip</v>
      </c>
      <c r="C36" t="str">
        <f>IFERROR(__xludf.DUMMYFUNCTION("""COMPUTED_VALUE"""),"Fox")</f>
        <v>Fox</v>
      </c>
      <c r="D36" t="str">
        <f>IFERROR(__xludf.DUMMYFUNCTION("""COMPUTED_VALUE"""),"$85,886,987")</f>
        <v>$85,886,987</v>
      </c>
      <c r="E36" s="1">
        <f>IFERROR(__xludf.DUMMYFUNCTION("""COMPUTED_VALUE"""),3705.0)</f>
        <v>3705</v>
      </c>
      <c r="F36" t="str">
        <f>IFERROR(__xludf.DUMMYFUNCTION("""COMPUTED_VALUE"""),"$14,287,159")</f>
        <v>$14,287,159</v>
      </c>
      <c r="G36" s="1">
        <f>IFERROR(__xludf.DUMMYFUNCTION("""COMPUTED_VALUE"""),3653.0)</f>
        <v>3653</v>
      </c>
      <c r="H36" s="2">
        <f>IFERROR(__xludf.DUMMYFUNCTION("""COMPUTED_VALUE"""),43452.0)</f>
        <v>43452</v>
      </c>
      <c r="I36" s="2">
        <f>IFERROR(__xludf.DUMMYFUNCTION("""COMPUTED_VALUE"""),43239.0)</f>
        <v>43239</v>
      </c>
    </row>
    <row r="37">
      <c r="A37">
        <f>IFERROR(__xludf.DUMMYFUNCTION("""COMPUTED_VALUE"""),36.0)</f>
        <v>36</v>
      </c>
      <c r="B37" t="str">
        <f>IFERROR(__xludf.DUMMYFUNCTION("""COMPUTED_VALUE"""),"Maze Runner: The Scorch Trials")</f>
        <v>Maze Runner: The Scorch Trials</v>
      </c>
      <c r="C37" t="str">
        <f>IFERROR(__xludf.DUMMYFUNCTION("""COMPUTED_VALUE"""),"Fox")</f>
        <v>Fox</v>
      </c>
      <c r="D37" t="str">
        <f>IFERROR(__xludf.DUMMYFUNCTION("""COMPUTED_VALUE"""),"$81,697,192")</f>
        <v>$81,697,192</v>
      </c>
      <c r="E37" s="1">
        <f>IFERROR(__xludf.DUMMYFUNCTION("""COMPUTED_VALUE"""),3792.0)</f>
        <v>3792</v>
      </c>
      <c r="F37" t="str">
        <f>IFERROR(__xludf.DUMMYFUNCTION("""COMPUTED_VALUE"""),"$30,316,510")</f>
        <v>$30,316,510</v>
      </c>
      <c r="G37" s="1">
        <f>IFERROR(__xludf.DUMMYFUNCTION("""COMPUTED_VALUE"""),3791.0)</f>
        <v>3791</v>
      </c>
      <c r="H37" s="2">
        <f>IFERROR(__xludf.DUMMYFUNCTION("""COMPUTED_VALUE"""),43361.0)</f>
        <v>43361</v>
      </c>
      <c r="I37" s="2">
        <f>IFERROR(__xludf.DUMMYFUNCTION("""COMPUTED_VALUE"""),43121.0)</f>
        <v>43121</v>
      </c>
    </row>
    <row r="38">
      <c r="A38">
        <f>IFERROR(__xludf.DUMMYFUNCTION("""COMPUTED_VALUE"""),37.0)</f>
        <v>37</v>
      </c>
      <c r="B38" t="str">
        <f>IFERROR(__xludf.DUMMYFUNCTION("""COMPUTED_VALUE"""),"Ted 2")</f>
        <v>Ted 2</v>
      </c>
      <c r="C38" t="str">
        <f>IFERROR(__xludf.DUMMYFUNCTION("""COMPUTED_VALUE"""),"Uni.")</f>
        <v>Uni.</v>
      </c>
      <c r="D38" t="str">
        <f>IFERROR(__xludf.DUMMYFUNCTION("""COMPUTED_VALUE"""),"$81,476,385")</f>
        <v>$81,476,385</v>
      </c>
      <c r="E38" s="1">
        <f>IFERROR(__xludf.DUMMYFUNCTION("""COMPUTED_VALUE"""),3448.0)</f>
        <v>3448</v>
      </c>
      <c r="F38" t="str">
        <f>IFERROR(__xludf.DUMMYFUNCTION("""COMPUTED_VALUE"""),"$33,507,870")</f>
        <v>$33,507,870</v>
      </c>
      <c r="G38" s="1">
        <f>IFERROR(__xludf.DUMMYFUNCTION("""COMPUTED_VALUE"""),3442.0)</f>
        <v>3442</v>
      </c>
      <c r="H38" s="2">
        <f>IFERROR(__xludf.DUMMYFUNCTION("""COMPUTED_VALUE"""),43277.0)</f>
        <v>43277</v>
      </c>
      <c r="I38" s="2">
        <f>IFERROR(__xludf.DUMMYFUNCTION("""COMPUTED_VALUE"""),43339.0)</f>
        <v>43339</v>
      </c>
    </row>
    <row r="39">
      <c r="A39">
        <f>IFERROR(__xludf.DUMMYFUNCTION("""COMPUTED_VALUE"""),38.0)</f>
        <v>38</v>
      </c>
      <c r="B39" t="str">
        <f>IFERROR(__xludf.DUMMYFUNCTION("""COMPUTED_VALUE"""),"Goosebumps")</f>
        <v>Goosebumps</v>
      </c>
      <c r="C39" t="str">
        <f>IFERROR(__xludf.DUMMYFUNCTION("""COMPUTED_VALUE"""),"Sony")</f>
        <v>Sony</v>
      </c>
      <c r="D39" t="str">
        <f>IFERROR(__xludf.DUMMYFUNCTION("""COMPUTED_VALUE"""),"$80,080,379")</f>
        <v>$80,080,379</v>
      </c>
      <c r="E39" s="1">
        <f>IFERROR(__xludf.DUMMYFUNCTION("""COMPUTED_VALUE"""),3618.0)</f>
        <v>3618</v>
      </c>
      <c r="F39" t="str">
        <f>IFERROR(__xludf.DUMMYFUNCTION("""COMPUTED_VALUE"""),"$23,618,556")</f>
        <v>$23,618,556</v>
      </c>
      <c r="G39" s="1">
        <f>IFERROR(__xludf.DUMMYFUNCTION("""COMPUTED_VALUE"""),3501.0)</f>
        <v>3501</v>
      </c>
      <c r="H39" s="2">
        <f>IFERROR(__xludf.DUMMYFUNCTION("""COMPUTED_VALUE"""),43389.0)</f>
        <v>43389</v>
      </c>
      <c r="I39" s="2">
        <f>IFERROR(__xludf.DUMMYFUNCTION("""COMPUTED_VALUE"""),43149.0)</f>
        <v>43149</v>
      </c>
    </row>
    <row r="40">
      <c r="A40">
        <f>IFERROR(__xludf.DUMMYFUNCTION("""COMPUTED_VALUE"""),39.0)</f>
        <v>39</v>
      </c>
      <c r="B40" t="str">
        <f>IFERROR(__xludf.DUMMYFUNCTION("""COMPUTED_VALUE"""),"Pixels")</f>
        <v>Pixels</v>
      </c>
      <c r="C40" t="str">
        <f>IFERROR(__xludf.DUMMYFUNCTION("""COMPUTED_VALUE"""),"Sony")</f>
        <v>Sony</v>
      </c>
      <c r="D40" t="str">
        <f>IFERROR(__xludf.DUMMYFUNCTION("""COMPUTED_VALUE"""),"$78,747,585")</f>
        <v>$78,747,585</v>
      </c>
      <c r="E40" s="1">
        <f>IFERROR(__xludf.DUMMYFUNCTION("""COMPUTED_VALUE"""),3723.0)</f>
        <v>3723</v>
      </c>
      <c r="F40" t="str">
        <f>IFERROR(__xludf.DUMMYFUNCTION("""COMPUTED_VALUE"""),"$24,011,616")</f>
        <v>$24,011,616</v>
      </c>
      <c r="G40" s="1">
        <f>IFERROR(__xludf.DUMMYFUNCTION("""COMPUTED_VALUE"""),3723.0)</f>
        <v>3723</v>
      </c>
      <c r="H40" s="2">
        <f>IFERROR(__xludf.DUMMYFUNCTION("""COMPUTED_VALUE"""),43305.0)</f>
        <v>43305</v>
      </c>
      <c r="I40" s="2">
        <f>IFERROR(__xludf.DUMMYFUNCTION("""COMPUTED_VALUE"""),43412.0)</f>
        <v>43412</v>
      </c>
    </row>
    <row r="41">
      <c r="A41">
        <f>IFERROR(__xludf.DUMMYFUNCTION("""COMPUTED_VALUE"""),40.0)</f>
        <v>40</v>
      </c>
      <c r="B41" t="str">
        <f>IFERROR(__xludf.DUMMYFUNCTION("""COMPUTED_VALUE"""),"Paddington")</f>
        <v>Paddington</v>
      </c>
      <c r="C41" t="str">
        <f>IFERROR(__xludf.DUMMYFUNCTION("""COMPUTED_VALUE"""),"W/Dim.")</f>
        <v>W/Dim.</v>
      </c>
      <c r="D41" t="str">
        <f>IFERROR(__xludf.DUMMYFUNCTION("""COMPUTED_VALUE"""),"$76,271,832")</f>
        <v>$76,271,832</v>
      </c>
      <c r="E41" s="1">
        <f>IFERROR(__xludf.DUMMYFUNCTION("""COMPUTED_VALUE"""),3355.0)</f>
        <v>3355</v>
      </c>
      <c r="F41" t="str">
        <f>IFERROR(__xludf.DUMMYFUNCTION("""COMPUTED_VALUE"""),"$18,966,676")</f>
        <v>$18,966,676</v>
      </c>
      <c r="G41" s="1">
        <f>IFERROR(__xludf.DUMMYFUNCTION("""COMPUTED_VALUE"""),3303.0)</f>
        <v>3303</v>
      </c>
      <c r="H41" s="2">
        <f>IFERROR(__xludf.DUMMYFUNCTION("""COMPUTED_VALUE"""),43116.0)</f>
        <v>43116</v>
      </c>
      <c r="I41" s="2">
        <f>IFERROR(__xludf.DUMMYFUNCTION("""COMPUTED_VALUE"""),43269.0)</f>
        <v>43269</v>
      </c>
    </row>
    <row r="42">
      <c r="A42">
        <f>IFERROR(__xludf.DUMMYFUNCTION("""COMPUTED_VALUE"""),41.0)</f>
        <v>41</v>
      </c>
      <c r="B42" t="str">
        <f>IFERROR(__xludf.DUMMYFUNCTION("""COMPUTED_VALUE"""),"The Intern")</f>
        <v>The Intern</v>
      </c>
      <c r="C42" t="str">
        <f>IFERROR(__xludf.DUMMYFUNCTION("""COMPUTED_VALUE"""),"WB")</f>
        <v>WB</v>
      </c>
      <c r="D42" t="str">
        <f>IFERROR(__xludf.DUMMYFUNCTION("""COMPUTED_VALUE"""),"$75,764,672")</f>
        <v>$75,764,672</v>
      </c>
      <c r="E42" s="1">
        <f>IFERROR(__xludf.DUMMYFUNCTION("""COMPUTED_VALUE"""),3320.0)</f>
        <v>3320</v>
      </c>
      <c r="F42" t="str">
        <f>IFERROR(__xludf.DUMMYFUNCTION("""COMPUTED_VALUE"""),"$17,728,313")</f>
        <v>$17,728,313</v>
      </c>
      <c r="G42" s="1">
        <f>IFERROR(__xludf.DUMMYFUNCTION("""COMPUTED_VALUE"""),3305.0)</f>
        <v>3305</v>
      </c>
      <c r="H42" s="2">
        <f>IFERROR(__xludf.DUMMYFUNCTION("""COMPUTED_VALUE"""),43368.0)</f>
        <v>43368</v>
      </c>
      <c r="I42" s="2">
        <f>IFERROR(__xludf.DUMMYFUNCTION("""COMPUTED_VALUE"""),43107.0)</f>
        <v>43107</v>
      </c>
    </row>
    <row r="43">
      <c r="A43">
        <f>IFERROR(__xludf.DUMMYFUNCTION("""COMPUTED_VALUE"""),42.0)</f>
        <v>42</v>
      </c>
      <c r="B43" t="str">
        <f>IFERROR(__xludf.DUMMYFUNCTION("""COMPUTED_VALUE"""),"Bridge of Spies")</f>
        <v>Bridge of Spies</v>
      </c>
      <c r="C43" t="str">
        <f>IFERROR(__xludf.DUMMYFUNCTION("""COMPUTED_VALUE"""),"BV")</f>
        <v>BV</v>
      </c>
      <c r="D43" t="str">
        <f>IFERROR(__xludf.DUMMYFUNCTION("""COMPUTED_VALUE"""),"$72,313,754")</f>
        <v>$72,313,754</v>
      </c>
      <c r="E43" s="1">
        <f>IFERROR(__xludf.DUMMYFUNCTION("""COMPUTED_VALUE"""),2873.0)</f>
        <v>2873</v>
      </c>
      <c r="F43" t="str">
        <f>IFERROR(__xludf.DUMMYFUNCTION("""COMPUTED_VALUE"""),"$15,371,203")</f>
        <v>$15,371,203</v>
      </c>
      <c r="G43" s="1">
        <f>IFERROR(__xludf.DUMMYFUNCTION("""COMPUTED_VALUE"""),2811.0)</f>
        <v>2811</v>
      </c>
      <c r="H43" s="2">
        <f>IFERROR(__xludf.DUMMYFUNCTION("""COMPUTED_VALUE"""),43389.0)</f>
        <v>43389</v>
      </c>
      <c r="I43" s="2">
        <f>IFERROR(__xludf.DUMMYFUNCTION("""COMPUTED_VALUE"""),43169.0)</f>
        <v>43169</v>
      </c>
    </row>
    <row r="44">
      <c r="A44">
        <f>IFERROR(__xludf.DUMMYFUNCTION("""COMPUTED_VALUE"""),43.0)</f>
        <v>43</v>
      </c>
      <c r="B44" t="str">
        <f>IFERROR(__xludf.DUMMYFUNCTION("""COMPUTED_VALUE"""),"Paul Blart: Mall Cop 2")</f>
        <v>Paul Blart: Mall Cop 2</v>
      </c>
      <c r="C44" t="str">
        <f>IFERROR(__xludf.DUMMYFUNCTION("""COMPUTED_VALUE"""),"Sony")</f>
        <v>Sony</v>
      </c>
      <c r="D44" t="str">
        <f>IFERROR(__xludf.DUMMYFUNCTION("""COMPUTED_VALUE"""),"$71,038,190")</f>
        <v>$71,038,190</v>
      </c>
      <c r="E44" s="1">
        <f>IFERROR(__xludf.DUMMYFUNCTION("""COMPUTED_VALUE"""),3633.0)</f>
        <v>3633</v>
      </c>
      <c r="F44" t="str">
        <f>IFERROR(__xludf.DUMMYFUNCTION("""COMPUTED_VALUE"""),"$23,762,435")</f>
        <v>$23,762,435</v>
      </c>
      <c r="G44" s="1">
        <f>IFERROR(__xludf.DUMMYFUNCTION("""COMPUTED_VALUE"""),3633.0)</f>
        <v>3633</v>
      </c>
      <c r="H44" s="2">
        <f>IFERROR(__xludf.DUMMYFUNCTION("""COMPUTED_VALUE"""),43207.0)</f>
        <v>43207</v>
      </c>
      <c r="I44" s="2">
        <f>IFERROR(__xludf.DUMMYFUNCTION("""COMPUTED_VALUE"""),43314.0)</f>
        <v>43314</v>
      </c>
    </row>
    <row r="45">
      <c r="A45">
        <f>IFERROR(__xludf.DUMMYFUNCTION("""COMPUTED_VALUE"""),44.0)</f>
        <v>44</v>
      </c>
      <c r="B45" t="str">
        <f>IFERROR(__xludf.DUMMYFUNCTION("""COMPUTED_VALUE"""),"The Big Short")</f>
        <v>The Big Short</v>
      </c>
      <c r="C45" t="str">
        <f>IFERROR(__xludf.DUMMYFUNCTION("""COMPUTED_VALUE"""),"Par.")</f>
        <v>Par.</v>
      </c>
      <c r="D45" t="str">
        <f>IFERROR(__xludf.DUMMYFUNCTION("""COMPUTED_VALUE"""),"$70,259,870")</f>
        <v>$70,259,870</v>
      </c>
      <c r="E45" s="1">
        <f>IFERROR(__xludf.DUMMYFUNCTION("""COMPUTED_VALUE"""),2529.0)</f>
        <v>2529</v>
      </c>
      <c r="F45" t="str">
        <f>IFERROR(__xludf.DUMMYFUNCTION("""COMPUTED_VALUE"""),"$705,527")</f>
        <v>$705,527</v>
      </c>
      <c r="G45">
        <f>IFERROR(__xludf.DUMMYFUNCTION("""COMPUTED_VALUE"""),8.0)</f>
        <v>8</v>
      </c>
      <c r="H45" s="2">
        <f>IFERROR(__xludf.DUMMYFUNCTION("""COMPUTED_VALUE"""),43445.0)</f>
        <v>43445</v>
      </c>
      <c r="I45" s="2">
        <f>IFERROR(__xludf.DUMMYFUNCTION("""COMPUTED_VALUE"""),43197.0)</f>
        <v>43197</v>
      </c>
    </row>
    <row r="46">
      <c r="A46">
        <f>IFERROR(__xludf.DUMMYFUNCTION("""COMPUTED_VALUE"""),45.0)</f>
        <v>45</v>
      </c>
      <c r="B46" t="str">
        <f>IFERROR(__xludf.DUMMYFUNCTION("""COMPUTED_VALUE"""),"War Room")</f>
        <v>War Room</v>
      </c>
      <c r="C46" t="str">
        <f>IFERROR(__xludf.DUMMYFUNCTION("""COMPUTED_VALUE"""),"TriS")</f>
        <v>TriS</v>
      </c>
      <c r="D46" t="str">
        <f>IFERROR(__xludf.DUMMYFUNCTION("""COMPUTED_VALUE"""),"$67,790,117")</f>
        <v>$67,790,117</v>
      </c>
      <c r="E46" s="1">
        <f>IFERROR(__xludf.DUMMYFUNCTION("""COMPUTED_VALUE"""),1945.0)</f>
        <v>1945</v>
      </c>
      <c r="F46" t="str">
        <f>IFERROR(__xludf.DUMMYFUNCTION("""COMPUTED_VALUE"""),"$11,351,389")</f>
        <v>$11,351,389</v>
      </c>
      <c r="G46" s="1">
        <f>IFERROR(__xludf.DUMMYFUNCTION("""COMPUTED_VALUE"""),1135.0)</f>
        <v>1135</v>
      </c>
      <c r="H46" s="2">
        <f>IFERROR(__xludf.DUMMYFUNCTION("""COMPUTED_VALUE"""),43340.0)</f>
        <v>43340</v>
      </c>
      <c r="I46" s="2">
        <f>IFERROR(__xludf.DUMMYFUNCTION("""COMPUTED_VALUE"""),43447.0)</f>
        <v>43447</v>
      </c>
    </row>
    <row r="47">
      <c r="A47">
        <f>IFERROR(__xludf.DUMMYFUNCTION("""COMPUTED_VALUE"""),46.0)</f>
        <v>46</v>
      </c>
      <c r="B47" t="str">
        <f>IFERROR(__xludf.DUMMYFUNCTION("""COMPUTED_VALUE"""),"Magic Mike XXL")</f>
        <v>Magic Mike XXL</v>
      </c>
      <c r="C47" t="str">
        <f>IFERROR(__xludf.DUMMYFUNCTION("""COMPUTED_VALUE"""),"WB")</f>
        <v>WB</v>
      </c>
      <c r="D47" t="str">
        <f>IFERROR(__xludf.DUMMYFUNCTION("""COMPUTED_VALUE"""),"$66,013,057")</f>
        <v>$66,013,057</v>
      </c>
      <c r="E47" s="1">
        <f>IFERROR(__xludf.DUMMYFUNCTION("""COMPUTED_VALUE"""),3376.0)</f>
        <v>3376</v>
      </c>
      <c r="F47" t="str">
        <f>IFERROR(__xludf.DUMMYFUNCTION("""COMPUTED_VALUE"""),"$12,857,184")</f>
        <v>$12,857,184</v>
      </c>
      <c r="G47" s="1">
        <f>IFERROR(__xludf.DUMMYFUNCTION("""COMPUTED_VALUE"""),3355.0)</f>
        <v>3355</v>
      </c>
      <c r="H47" s="2">
        <f>IFERROR(__xludf.DUMMYFUNCTION("""COMPUTED_VALUE"""),43282.0)</f>
        <v>43282</v>
      </c>
      <c r="I47" s="2">
        <f>IFERROR(__xludf.DUMMYFUNCTION("""COMPUTED_VALUE"""),43367.0)</f>
        <v>43367</v>
      </c>
    </row>
    <row r="48">
      <c r="A48">
        <f>IFERROR(__xludf.DUMMYFUNCTION("""COMPUTED_VALUE"""),47.0)</f>
        <v>47</v>
      </c>
      <c r="B48" t="str">
        <f>IFERROR(__xludf.DUMMYFUNCTION("""COMPUTED_VALUE"""),"The Visit")</f>
        <v>The Visit</v>
      </c>
      <c r="C48" t="str">
        <f>IFERROR(__xludf.DUMMYFUNCTION("""COMPUTED_VALUE"""),"Uni.")</f>
        <v>Uni.</v>
      </c>
      <c r="D48" t="str">
        <f>IFERROR(__xludf.DUMMYFUNCTION("""COMPUTED_VALUE"""),"$65,206,105")</f>
        <v>$65,206,105</v>
      </c>
      <c r="E48" s="1">
        <f>IFERROR(__xludf.DUMMYFUNCTION("""COMPUTED_VALUE"""),3148.0)</f>
        <v>3148</v>
      </c>
      <c r="F48" t="str">
        <f>IFERROR(__xludf.DUMMYFUNCTION("""COMPUTED_VALUE"""),"$25,427,560")</f>
        <v>$25,427,560</v>
      </c>
      <c r="G48" s="1">
        <f>IFERROR(__xludf.DUMMYFUNCTION("""COMPUTED_VALUE"""),3069.0)</f>
        <v>3069</v>
      </c>
      <c r="H48" s="2">
        <f>IFERROR(__xludf.DUMMYFUNCTION("""COMPUTED_VALUE"""),43354.0)</f>
        <v>43354</v>
      </c>
      <c r="I48" s="2">
        <f>IFERROR(__xludf.DUMMYFUNCTION("""COMPUTED_VALUE"""),43430.0)</f>
        <v>43430</v>
      </c>
    </row>
    <row r="49">
      <c r="A49">
        <f>IFERROR(__xludf.DUMMYFUNCTION("""COMPUTED_VALUE"""),48.0)</f>
        <v>48</v>
      </c>
      <c r="B49" t="str">
        <f>IFERROR(__xludf.DUMMYFUNCTION("""COMPUTED_VALUE"""),"The Wedding Ringer")</f>
        <v>The Wedding Ringer</v>
      </c>
      <c r="C49" t="str">
        <f>IFERROR(__xludf.DUMMYFUNCTION("""COMPUTED_VALUE"""),"SGem")</f>
        <v>SGem</v>
      </c>
      <c r="D49" t="str">
        <f>IFERROR(__xludf.DUMMYFUNCTION("""COMPUTED_VALUE"""),"$64,460,211")</f>
        <v>$64,460,211</v>
      </c>
      <c r="E49" s="1">
        <f>IFERROR(__xludf.DUMMYFUNCTION("""COMPUTED_VALUE"""),3003.0)</f>
        <v>3003</v>
      </c>
      <c r="F49" t="str">
        <f>IFERROR(__xludf.DUMMYFUNCTION("""COMPUTED_VALUE"""),"$20,649,306")</f>
        <v>$20,649,306</v>
      </c>
      <c r="G49" s="1">
        <f>IFERROR(__xludf.DUMMYFUNCTION("""COMPUTED_VALUE"""),3003.0)</f>
        <v>3003</v>
      </c>
      <c r="H49" s="2">
        <f>IFERROR(__xludf.DUMMYFUNCTION("""COMPUTED_VALUE"""),43116.0)</f>
        <v>43116</v>
      </c>
      <c r="I49" s="2">
        <f>IFERROR(__xludf.DUMMYFUNCTION("""COMPUTED_VALUE"""),43195.0)</f>
        <v>43195</v>
      </c>
    </row>
    <row r="50">
      <c r="A50">
        <f>IFERROR(__xludf.DUMMYFUNCTION("""COMPUTED_VALUE"""),49.0)</f>
        <v>49</v>
      </c>
      <c r="B50" t="str">
        <f>IFERROR(__xludf.DUMMYFUNCTION("""COMPUTED_VALUE"""),"Black Mass")</f>
        <v>Black Mass</v>
      </c>
      <c r="C50" t="str">
        <f>IFERROR(__xludf.DUMMYFUNCTION("""COMPUTED_VALUE"""),"WB")</f>
        <v>WB</v>
      </c>
      <c r="D50" t="str">
        <f>IFERROR(__xludf.DUMMYFUNCTION("""COMPUTED_VALUE"""),"$62,575,678")</f>
        <v>$62,575,678</v>
      </c>
      <c r="E50" s="1">
        <f>IFERROR(__xludf.DUMMYFUNCTION("""COMPUTED_VALUE"""),3188.0)</f>
        <v>3188</v>
      </c>
      <c r="F50" t="str">
        <f>IFERROR(__xludf.DUMMYFUNCTION("""COMPUTED_VALUE"""),"$22,635,037")</f>
        <v>$22,635,037</v>
      </c>
      <c r="G50" s="1">
        <f>IFERROR(__xludf.DUMMYFUNCTION("""COMPUTED_VALUE"""),3188.0)</f>
        <v>3188</v>
      </c>
      <c r="H50" s="2">
        <f>IFERROR(__xludf.DUMMYFUNCTION("""COMPUTED_VALUE"""),43361.0)</f>
        <v>43361</v>
      </c>
      <c r="I50" s="2">
        <f>IFERROR(__xludf.DUMMYFUNCTION("""COMPUTED_VALUE"""),43437.0)</f>
        <v>43437</v>
      </c>
    </row>
    <row r="51">
      <c r="A51">
        <f>IFERROR(__xludf.DUMMYFUNCTION("""COMPUTED_VALUE"""),50.0)</f>
        <v>50</v>
      </c>
      <c r="B51" t="str">
        <f>IFERROR(__xludf.DUMMYFUNCTION("""COMPUTED_VALUE"""),"Vacation")</f>
        <v>Vacation</v>
      </c>
      <c r="C51" t="str">
        <f>IFERROR(__xludf.DUMMYFUNCTION("""COMPUTED_VALUE"""),"WB (NL)")</f>
        <v>WB (NL)</v>
      </c>
      <c r="D51" t="str">
        <f>IFERROR(__xludf.DUMMYFUNCTION("""COMPUTED_VALUE"""),"$58,884,188")</f>
        <v>$58,884,188</v>
      </c>
      <c r="E51" s="1">
        <f>IFERROR(__xludf.DUMMYFUNCTION("""COMPUTED_VALUE"""),3430.0)</f>
        <v>3430</v>
      </c>
      <c r="F51" t="str">
        <f>IFERROR(__xludf.DUMMYFUNCTION("""COMPUTED_VALUE"""),"$14,681,108")</f>
        <v>$14,681,108</v>
      </c>
      <c r="G51" s="1">
        <f>IFERROR(__xludf.DUMMYFUNCTION("""COMPUTED_VALUE"""),3411.0)</f>
        <v>3411</v>
      </c>
      <c r="H51" s="2">
        <f>IFERROR(__xludf.DUMMYFUNCTION("""COMPUTED_VALUE"""),43310.0)</f>
        <v>43310</v>
      </c>
      <c r="I51" s="2">
        <f>IFERROR(__xludf.DUMMYFUNCTION("""COMPUTED_VALUE"""),43402.0)</f>
        <v>43402</v>
      </c>
    </row>
    <row r="52">
      <c r="A52">
        <f>IFERROR(__xludf.DUMMYFUNCTION("""COMPUTED_VALUE"""),51.0)</f>
        <v>51</v>
      </c>
      <c r="B52" t="str">
        <f>IFERROR(__xludf.DUMMYFUNCTION("""COMPUTED_VALUE"""),"The Perfect Guy")</f>
        <v>The Perfect Guy</v>
      </c>
      <c r="C52" t="str">
        <f>IFERROR(__xludf.DUMMYFUNCTION("""COMPUTED_VALUE"""),"SGem")</f>
        <v>SGem</v>
      </c>
      <c r="D52" t="str">
        <f>IFERROR(__xludf.DUMMYFUNCTION("""COMPUTED_VALUE"""),"$57,027,435")</f>
        <v>$57,027,435</v>
      </c>
      <c r="E52" s="1">
        <f>IFERROR(__xludf.DUMMYFUNCTION("""COMPUTED_VALUE"""),2230.0)</f>
        <v>2230</v>
      </c>
      <c r="F52" t="str">
        <f>IFERROR(__xludf.DUMMYFUNCTION("""COMPUTED_VALUE"""),"$25,888,154")</f>
        <v>$25,888,154</v>
      </c>
      <c r="G52" s="1">
        <f>IFERROR(__xludf.DUMMYFUNCTION("""COMPUTED_VALUE"""),2221.0)</f>
        <v>2221</v>
      </c>
      <c r="H52" s="2">
        <f>IFERROR(__xludf.DUMMYFUNCTION("""COMPUTED_VALUE"""),43354.0)</f>
        <v>43354</v>
      </c>
      <c r="I52" s="2">
        <f>IFERROR(__xludf.DUMMYFUNCTION("""COMPUTED_VALUE"""),43437.0)</f>
        <v>43437</v>
      </c>
    </row>
    <row r="53">
      <c r="A53">
        <f>IFERROR(__xludf.DUMMYFUNCTION("""COMPUTED_VALUE"""),52.0)</f>
        <v>52</v>
      </c>
      <c r="B53" t="str">
        <f>IFERROR(__xludf.DUMMYFUNCTION("""COMPUTED_VALUE"""),"Joy")</f>
        <v>Joy</v>
      </c>
      <c r="C53" t="str">
        <f>IFERROR(__xludf.DUMMYFUNCTION("""COMPUTED_VALUE"""),"Fox")</f>
        <v>Fox</v>
      </c>
      <c r="D53" t="str">
        <f>IFERROR(__xludf.DUMMYFUNCTION("""COMPUTED_VALUE"""),"$56,451,232")</f>
        <v>$56,451,232</v>
      </c>
      <c r="E53" s="1">
        <f>IFERROR(__xludf.DUMMYFUNCTION("""COMPUTED_VALUE"""),2924.0)</f>
        <v>2924</v>
      </c>
      <c r="F53" t="str">
        <f>IFERROR(__xludf.DUMMYFUNCTION("""COMPUTED_VALUE"""),"$17,015,168")</f>
        <v>$17,015,168</v>
      </c>
      <c r="G53" s="1">
        <f>IFERROR(__xludf.DUMMYFUNCTION("""COMPUTED_VALUE"""),2896.0)</f>
        <v>2896</v>
      </c>
      <c r="H53" s="2">
        <f>IFERROR(__xludf.DUMMYFUNCTION("""COMPUTED_VALUE"""),43459.0)</f>
        <v>43459</v>
      </c>
      <c r="I53" s="2">
        <f>IFERROR(__xludf.DUMMYFUNCTION("""COMPUTED_VALUE"""),43176.0)</f>
        <v>43176</v>
      </c>
    </row>
    <row r="54">
      <c r="A54">
        <f>IFERROR(__xludf.DUMMYFUNCTION("""COMPUTED_VALUE"""),53.0)</f>
        <v>53</v>
      </c>
      <c r="B54" t="str">
        <f>IFERROR(__xludf.DUMMYFUNCTION("""COMPUTED_VALUE"""),"Fantastic Four")</f>
        <v>Fantastic Four</v>
      </c>
      <c r="C54" t="str">
        <f>IFERROR(__xludf.DUMMYFUNCTION("""COMPUTED_VALUE"""),"Fox")</f>
        <v>Fox</v>
      </c>
      <c r="D54" t="str">
        <f>IFERROR(__xludf.DUMMYFUNCTION("""COMPUTED_VALUE"""),"$56,117,548")</f>
        <v>$56,117,548</v>
      </c>
      <c r="E54" s="1">
        <f>IFERROR(__xludf.DUMMYFUNCTION("""COMPUTED_VALUE"""),4004.0)</f>
        <v>4004</v>
      </c>
      <c r="F54" t="str">
        <f>IFERROR(__xludf.DUMMYFUNCTION("""COMPUTED_VALUE"""),"$25,685,737")</f>
        <v>$25,685,737</v>
      </c>
      <c r="G54" s="1">
        <f>IFERROR(__xludf.DUMMYFUNCTION("""COMPUTED_VALUE"""),3995.0)</f>
        <v>3995</v>
      </c>
      <c r="H54" s="2">
        <f>IFERROR(__xludf.DUMMYFUNCTION("""COMPUTED_VALUE"""),43319.0)</f>
        <v>43319</v>
      </c>
      <c r="I54" s="2">
        <f>IFERROR(__xludf.DUMMYFUNCTION("""COMPUTED_VALUE"""),43395.0)</f>
        <v>43395</v>
      </c>
    </row>
    <row r="55">
      <c r="A55">
        <f>IFERROR(__xludf.DUMMYFUNCTION("""COMPUTED_VALUE"""),54.0)</f>
        <v>54</v>
      </c>
      <c r="B55" t="str">
        <f>IFERROR(__xludf.DUMMYFUNCTION("""COMPUTED_VALUE"""),"The Hateful Eight")</f>
        <v>The Hateful Eight</v>
      </c>
      <c r="C55" t="str">
        <f>IFERROR(__xludf.DUMMYFUNCTION("""COMPUTED_VALUE"""),"Wein.")</f>
        <v>Wein.</v>
      </c>
      <c r="D55" t="str">
        <f>IFERROR(__xludf.DUMMYFUNCTION("""COMPUTED_VALUE"""),"$54,117,416")</f>
        <v>$54,117,416</v>
      </c>
      <c r="E55" s="1">
        <f>IFERROR(__xludf.DUMMYFUNCTION("""COMPUTED_VALUE"""),2938.0)</f>
        <v>2938</v>
      </c>
      <c r="F55" t="str">
        <f>IFERROR(__xludf.DUMMYFUNCTION("""COMPUTED_VALUE"""),"$4,610,676")</f>
        <v>$4,610,676</v>
      </c>
      <c r="G55">
        <f>IFERROR(__xludf.DUMMYFUNCTION("""COMPUTED_VALUE"""),100.0)</f>
        <v>100</v>
      </c>
      <c r="H55" s="2">
        <f>IFERROR(__xludf.DUMMYFUNCTION("""COMPUTED_VALUE"""),43459.0)</f>
        <v>43459</v>
      </c>
      <c r="I55" s="2">
        <f>IFERROR(__xludf.DUMMYFUNCTION("""COMPUTED_VALUE"""),43218.0)</f>
        <v>43218</v>
      </c>
    </row>
    <row r="56">
      <c r="A56">
        <f>IFERROR(__xludf.DUMMYFUNCTION("""COMPUTED_VALUE"""),55.0)</f>
        <v>55</v>
      </c>
      <c r="B56" t="str">
        <f>IFERROR(__xludf.DUMMYFUNCTION("""COMPUTED_VALUE"""),"Focus (2015)")</f>
        <v>Focus (2015)</v>
      </c>
      <c r="C56" t="str">
        <f>IFERROR(__xludf.DUMMYFUNCTION("""COMPUTED_VALUE"""),"WB")</f>
        <v>WB</v>
      </c>
      <c r="D56" t="str">
        <f>IFERROR(__xludf.DUMMYFUNCTION("""COMPUTED_VALUE"""),"$53,862,963")</f>
        <v>$53,862,963</v>
      </c>
      <c r="E56" s="1">
        <f>IFERROR(__xludf.DUMMYFUNCTION("""COMPUTED_VALUE"""),3323.0)</f>
        <v>3323</v>
      </c>
      <c r="F56" t="str">
        <f>IFERROR(__xludf.DUMMYFUNCTION("""COMPUTED_VALUE"""),"$18,685,137")</f>
        <v>$18,685,137</v>
      </c>
      <c r="G56" s="1">
        <f>IFERROR(__xludf.DUMMYFUNCTION("""COMPUTED_VALUE"""),3323.0)</f>
        <v>3323</v>
      </c>
      <c r="H56" s="2">
        <f>IFERROR(__xludf.DUMMYFUNCTION("""COMPUTED_VALUE"""),43158.0)</f>
        <v>43158</v>
      </c>
      <c r="I56" s="2">
        <f>IFERROR(__xludf.DUMMYFUNCTION("""COMPUTED_VALUE"""),43227.0)</f>
        <v>43227</v>
      </c>
    </row>
    <row r="57">
      <c r="A57">
        <f>IFERROR(__xludf.DUMMYFUNCTION("""COMPUTED_VALUE"""),56.0)</f>
        <v>56</v>
      </c>
      <c r="B57" t="str">
        <f>IFERROR(__xludf.DUMMYFUNCTION("""COMPUTED_VALUE"""),"Southpaw")</f>
        <v>Southpaw</v>
      </c>
      <c r="C57" t="str">
        <f>IFERROR(__xludf.DUMMYFUNCTION("""COMPUTED_VALUE"""),"Wein.")</f>
        <v>Wein.</v>
      </c>
      <c r="D57" t="str">
        <f>IFERROR(__xludf.DUMMYFUNCTION("""COMPUTED_VALUE"""),"$52,421,953")</f>
        <v>$52,421,953</v>
      </c>
      <c r="E57" s="1">
        <f>IFERROR(__xludf.DUMMYFUNCTION("""COMPUTED_VALUE"""),2772.0)</f>
        <v>2772</v>
      </c>
      <c r="F57" t="str">
        <f>IFERROR(__xludf.DUMMYFUNCTION("""COMPUTED_VALUE"""),"$16,701,294")</f>
        <v>$16,701,294</v>
      </c>
      <c r="G57" s="1">
        <f>IFERROR(__xludf.DUMMYFUNCTION("""COMPUTED_VALUE"""),2772.0)</f>
        <v>2772</v>
      </c>
      <c r="H57" s="2">
        <f>IFERROR(__xludf.DUMMYFUNCTION("""COMPUTED_VALUE"""),43305.0)</f>
        <v>43305</v>
      </c>
      <c r="I57" s="2">
        <f>IFERROR(__xludf.DUMMYFUNCTION("""COMPUTED_VALUE"""),43409.0)</f>
        <v>43409</v>
      </c>
    </row>
    <row r="58">
      <c r="A58">
        <f>IFERROR(__xludf.DUMMYFUNCTION("""COMPUTED_VALUE"""),57.0)</f>
        <v>57</v>
      </c>
      <c r="B58" t="str">
        <f>IFERROR(__xludf.DUMMYFUNCTION("""COMPUTED_VALUE"""),"Insidious Chapter 3")</f>
        <v>Insidious Chapter 3</v>
      </c>
      <c r="C58" t="str">
        <f>IFERROR(__xludf.DUMMYFUNCTION("""COMPUTED_VALUE"""),"Focus")</f>
        <v>Focus</v>
      </c>
      <c r="D58" t="str">
        <f>IFERROR(__xludf.DUMMYFUNCTION("""COMPUTED_VALUE"""),"$52,218,558")</f>
        <v>$52,218,558</v>
      </c>
      <c r="E58" s="1">
        <f>IFERROR(__xludf.DUMMYFUNCTION("""COMPUTED_VALUE"""),3014.0)</f>
        <v>3014</v>
      </c>
      <c r="F58" t="str">
        <f>IFERROR(__xludf.DUMMYFUNCTION("""COMPUTED_VALUE"""),"$22,692,741")</f>
        <v>$22,692,741</v>
      </c>
      <c r="G58" s="1">
        <f>IFERROR(__xludf.DUMMYFUNCTION("""COMPUTED_VALUE"""),3002.0)</f>
        <v>3002</v>
      </c>
      <c r="H58" s="2">
        <f>IFERROR(__xludf.DUMMYFUNCTION("""COMPUTED_VALUE"""),43256.0)</f>
        <v>43256</v>
      </c>
      <c r="I58" s="2">
        <f>IFERROR(__xludf.DUMMYFUNCTION("""COMPUTED_VALUE"""),43325.0)</f>
        <v>43325</v>
      </c>
    </row>
    <row r="59">
      <c r="A59">
        <f>IFERROR(__xludf.DUMMYFUNCTION("""COMPUTED_VALUE"""),58.0)</f>
        <v>58</v>
      </c>
      <c r="B59" t="str">
        <f>IFERROR(__xludf.DUMMYFUNCTION("""COMPUTED_VALUE"""),"Poltergeist (2015)")</f>
        <v>Poltergeist (2015)</v>
      </c>
      <c r="C59" t="str">
        <f>IFERROR(__xludf.DUMMYFUNCTION("""COMPUTED_VALUE"""),"Fox")</f>
        <v>Fox</v>
      </c>
      <c r="D59" t="str">
        <f>IFERROR(__xludf.DUMMYFUNCTION("""COMPUTED_VALUE"""),"$47,425,125")</f>
        <v>$47,425,125</v>
      </c>
      <c r="E59" s="1">
        <f>IFERROR(__xludf.DUMMYFUNCTION("""COMPUTED_VALUE"""),3242.0)</f>
        <v>3242</v>
      </c>
      <c r="F59" t="str">
        <f>IFERROR(__xludf.DUMMYFUNCTION("""COMPUTED_VALUE"""),"$22,620,386")</f>
        <v>$22,620,386</v>
      </c>
      <c r="G59" s="1">
        <f>IFERROR(__xludf.DUMMYFUNCTION("""COMPUTED_VALUE"""),3240.0)</f>
        <v>3240</v>
      </c>
      <c r="H59" s="2">
        <f>IFERROR(__xludf.DUMMYFUNCTION("""COMPUTED_VALUE"""),43242.0)</f>
        <v>43242</v>
      </c>
      <c r="I59" s="2">
        <f>IFERROR(__xludf.DUMMYFUNCTION("""COMPUTED_VALUE"""),43318.0)</f>
        <v>43318</v>
      </c>
    </row>
    <row r="60">
      <c r="A60">
        <f>IFERROR(__xludf.DUMMYFUNCTION("""COMPUTED_VALUE"""),59.0)</f>
        <v>59</v>
      </c>
      <c r="B60" t="str">
        <f>IFERROR(__xludf.DUMMYFUNCTION("""COMPUTED_VALUE"""),"Jupiter Ascending")</f>
        <v>Jupiter Ascending</v>
      </c>
      <c r="C60" t="str">
        <f>IFERROR(__xludf.DUMMYFUNCTION("""COMPUTED_VALUE"""),"WB")</f>
        <v>WB</v>
      </c>
      <c r="D60" t="str">
        <f>IFERROR(__xludf.DUMMYFUNCTION("""COMPUTED_VALUE"""),"$47,387,723")</f>
        <v>$47,387,723</v>
      </c>
      <c r="E60" s="1">
        <f>IFERROR(__xludf.DUMMYFUNCTION("""COMPUTED_VALUE"""),3181.0)</f>
        <v>3181</v>
      </c>
      <c r="F60" t="str">
        <f>IFERROR(__xludf.DUMMYFUNCTION("""COMPUTED_VALUE"""),"$18,372,372")</f>
        <v>$18,372,372</v>
      </c>
      <c r="G60" s="1">
        <f>IFERROR(__xludf.DUMMYFUNCTION("""COMPUTED_VALUE"""),3181.0)</f>
        <v>3181</v>
      </c>
      <c r="H60" s="2">
        <f>IFERROR(__xludf.DUMMYFUNCTION("""COMPUTED_VALUE"""),43137.0)</f>
        <v>43137</v>
      </c>
      <c r="I60" s="2">
        <f>IFERROR(__xludf.DUMMYFUNCTION("""COMPUTED_VALUE"""),43227.0)</f>
        <v>43227</v>
      </c>
    </row>
    <row r="61">
      <c r="A61">
        <f>IFERROR(__xludf.DUMMYFUNCTION("""COMPUTED_VALUE"""),60.0)</f>
        <v>60</v>
      </c>
      <c r="B61" t="str">
        <f>IFERROR(__xludf.DUMMYFUNCTION("""COMPUTED_VALUE"""),"Sicario")</f>
        <v>Sicario</v>
      </c>
      <c r="C61" t="str">
        <f>IFERROR(__xludf.DUMMYFUNCTION("""COMPUTED_VALUE"""),"LGF")</f>
        <v>LGF</v>
      </c>
      <c r="D61" t="str">
        <f>IFERROR(__xludf.DUMMYFUNCTION("""COMPUTED_VALUE"""),"$46,889,293")</f>
        <v>$46,889,293</v>
      </c>
      <c r="E61" s="1">
        <f>IFERROR(__xludf.DUMMYFUNCTION("""COMPUTED_VALUE"""),2620.0)</f>
        <v>2620</v>
      </c>
      <c r="F61" t="str">
        <f>IFERROR(__xludf.DUMMYFUNCTION("""COMPUTED_VALUE"""),"$401,288")</f>
        <v>$401,288</v>
      </c>
      <c r="G61">
        <f>IFERROR(__xludf.DUMMYFUNCTION("""COMPUTED_VALUE"""),6.0)</f>
        <v>6</v>
      </c>
      <c r="H61" s="2">
        <f>IFERROR(__xludf.DUMMYFUNCTION("""COMPUTED_VALUE"""),43361.0)</f>
        <v>43361</v>
      </c>
      <c r="I61" s="2">
        <f>IFERROR(__xludf.DUMMYFUNCTION("""COMPUTED_VALUE"""),43114.0)</f>
        <v>43114</v>
      </c>
    </row>
    <row r="62">
      <c r="A62">
        <f>IFERROR(__xludf.DUMMYFUNCTION("""COMPUTED_VALUE"""),61.0)</f>
        <v>61</v>
      </c>
      <c r="B62" t="str">
        <f>IFERROR(__xludf.DUMMYFUNCTION("""COMPUTED_VALUE"""),"The Man From U.N.C.L.E.")</f>
        <v>The Man From U.N.C.L.E.</v>
      </c>
      <c r="C62" t="str">
        <f>IFERROR(__xludf.DUMMYFUNCTION("""COMPUTED_VALUE"""),"WB")</f>
        <v>WB</v>
      </c>
      <c r="D62" t="str">
        <f>IFERROR(__xludf.DUMMYFUNCTION("""COMPUTED_VALUE"""),"$45,445,109")</f>
        <v>$45,445,109</v>
      </c>
      <c r="E62" s="1">
        <f>IFERROR(__xludf.DUMMYFUNCTION("""COMPUTED_VALUE"""),3673.0)</f>
        <v>3673</v>
      </c>
      <c r="F62" t="str">
        <f>IFERROR(__xludf.DUMMYFUNCTION("""COMPUTED_VALUE"""),"$13,421,036")</f>
        <v>$13,421,036</v>
      </c>
      <c r="G62" s="1">
        <f>IFERROR(__xludf.DUMMYFUNCTION("""COMPUTED_VALUE"""),3638.0)</f>
        <v>3638</v>
      </c>
      <c r="H62" s="2">
        <f>IFERROR(__xludf.DUMMYFUNCTION("""COMPUTED_VALUE"""),43326.0)</f>
        <v>43326</v>
      </c>
      <c r="I62" s="2">
        <f>IFERROR(__xludf.DUMMYFUNCTION("""COMPUTED_VALUE"""),43395.0)</f>
        <v>43395</v>
      </c>
    </row>
    <row r="63">
      <c r="A63">
        <f>IFERROR(__xludf.DUMMYFUNCTION("""COMPUTED_VALUE"""),62.0)</f>
        <v>62</v>
      </c>
      <c r="B63" t="str">
        <f>IFERROR(__xludf.DUMMYFUNCTION("""COMPUTED_VALUE"""),"Spotlight")</f>
        <v>Spotlight</v>
      </c>
      <c r="C63" t="str">
        <f>IFERROR(__xludf.DUMMYFUNCTION("""COMPUTED_VALUE"""),"ORF")</f>
        <v>ORF</v>
      </c>
      <c r="D63" t="str">
        <f>IFERROR(__xludf.DUMMYFUNCTION("""COMPUTED_VALUE"""),"$45,055,776")</f>
        <v>$45,055,776</v>
      </c>
      <c r="E63" s="1">
        <f>IFERROR(__xludf.DUMMYFUNCTION("""COMPUTED_VALUE"""),1227.0)</f>
        <v>1227</v>
      </c>
      <c r="F63" t="str">
        <f>IFERROR(__xludf.DUMMYFUNCTION("""COMPUTED_VALUE"""),"$295,009")</f>
        <v>$295,009</v>
      </c>
      <c r="G63">
        <f>IFERROR(__xludf.DUMMYFUNCTION("""COMPUTED_VALUE"""),5.0)</f>
        <v>5</v>
      </c>
      <c r="H63" s="2">
        <f>IFERROR(__xludf.DUMMYFUNCTION("""COMPUTED_VALUE"""),43410.0)</f>
        <v>43410</v>
      </c>
      <c r="I63" s="2">
        <f>IFERROR(__xludf.DUMMYFUNCTION("""COMPUTED_VALUE"""),43225.0)</f>
        <v>43225</v>
      </c>
    </row>
    <row r="64">
      <c r="A64">
        <f>IFERROR(__xludf.DUMMYFUNCTION("""COMPUTED_VALUE"""),63.0)</f>
        <v>63</v>
      </c>
      <c r="B64" t="str">
        <f>IFERROR(__xludf.DUMMYFUNCTION("""COMPUTED_VALUE"""),"McFarland, USA")</f>
        <v>McFarland, USA</v>
      </c>
      <c r="C64" t="str">
        <f>IFERROR(__xludf.DUMMYFUNCTION("""COMPUTED_VALUE"""),"BV")</f>
        <v>BV</v>
      </c>
      <c r="D64" t="str">
        <f>IFERROR(__xludf.DUMMYFUNCTION("""COMPUTED_VALUE"""),"$44,482,410")</f>
        <v>$44,482,410</v>
      </c>
      <c r="E64" s="1">
        <f>IFERROR(__xludf.DUMMYFUNCTION("""COMPUTED_VALUE"""),2792.0)</f>
        <v>2792</v>
      </c>
      <c r="F64" t="str">
        <f>IFERROR(__xludf.DUMMYFUNCTION("""COMPUTED_VALUE"""),"$11,020,798")</f>
        <v>$11,020,798</v>
      </c>
      <c r="G64" s="1">
        <f>IFERROR(__xludf.DUMMYFUNCTION("""COMPUTED_VALUE"""),2755.0)</f>
        <v>2755</v>
      </c>
      <c r="H64" s="2">
        <f>IFERROR(__xludf.DUMMYFUNCTION("""COMPUTED_VALUE"""),43151.0)</f>
        <v>43151</v>
      </c>
      <c r="I64" s="2">
        <f>IFERROR(__xludf.DUMMYFUNCTION("""COMPUTED_VALUE"""),43290.0)</f>
        <v>43290</v>
      </c>
    </row>
    <row r="65">
      <c r="A65">
        <f>IFERROR(__xludf.DUMMYFUNCTION("""COMPUTED_VALUE"""),64.0)</f>
        <v>64</v>
      </c>
      <c r="B65" t="str">
        <f>IFERROR(__xludf.DUMMYFUNCTION("""COMPUTED_VALUE"""),"The Gift (2015)")</f>
        <v>The Gift (2015)</v>
      </c>
      <c r="C65" t="str">
        <f>IFERROR(__xludf.DUMMYFUNCTION("""COMPUTED_VALUE"""),"STX")</f>
        <v>STX</v>
      </c>
      <c r="D65" t="str">
        <f>IFERROR(__xludf.DUMMYFUNCTION("""COMPUTED_VALUE"""),"$43,787,265")</f>
        <v>$43,787,265</v>
      </c>
      <c r="E65" s="1">
        <f>IFERROR(__xludf.DUMMYFUNCTION("""COMPUTED_VALUE"""),2503.0)</f>
        <v>2503</v>
      </c>
      <c r="F65" t="str">
        <f>IFERROR(__xludf.DUMMYFUNCTION("""COMPUTED_VALUE"""),"$11,854,273")</f>
        <v>$11,854,273</v>
      </c>
      <c r="G65" s="1">
        <f>IFERROR(__xludf.DUMMYFUNCTION("""COMPUTED_VALUE"""),2503.0)</f>
        <v>2503</v>
      </c>
      <c r="H65" s="2">
        <f>IFERROR(__xludf.DUMMYFUNCTION("""COMPUTED_VALUE"""),43319.0)</f>
        <v>43319</v>
      </c>
      <c r="I65" s="2">
        <f>IFERROR(__xludf.DUMMYFUNCTION("""COMPUTED_VALUE"""),43382.0)</f>
        <v>43382</v>
      </c>
    </row>
    <row r="66">
      <c r="A66">
        <f>IFERROR(__xludf.DUMMYFUNCTION("""COMPUTED_VALUE"""),65.0)</f>
        <v>65</v>
      </c>
      <c r="B66" t="str">
        <f>IFERROR(__xludf.DUMMYFUNCTION("""COMPUTED_VALUE"""),"Everest (2015)")</f>
        <v>Everest (2015)</v>
      </c>
      <c r="C66" t="str">
        <f>IFERROR(__xludf.DUMMYFUNCTION("""COMPUTED_VALUE"""),"Uni.")</f>
        <v>Uni.</v>
      </c>
      <c r="D66" t="str">
        <f>IFERROR(__xludf.DUMMYFUNCTION("""COMPUTED_VALUE"""),"$43,482,270")</f>
        <v>$43,482,270</v>
      </c>
      <c r="E66" s="1">
        <f>IFERROR(__xludf.DUMMYFUNCTION("""COMPUTED_VALUE"""),3009.0)</f>
        <v>3009</v>
      </c>
      <c r="F66" t="str">
        <f>IFERROR(__xludf.DUMMYFUNCTION("""COMPUTED_VALUE"""),"$7,222,035")</f>
        <v>$7,222,035</v>
      </c>
      <c r="G66">
        <f>IFERROR(__xludf.DUMMYFUNCTION("""COMPUTED_VALUE"""),545.0)</f>
        <v>545</v>
      </c>
      <c r="H66" s="2">
        <f>IFERROR(__xludf.DUMMYFUNCTION("""COMPUTED_VALUE"""),43361.0)</f>
        <v>43361</v>
      </c>
      <c r="I66" s="2">
        <f>IFERROR(__xludf.DUMMYFUNCTION("""COMPUTED_VALUE"""),43430.0)</f>
        <v>43430</v>
      </c>
    </row>
    <row r="67">
      <c r="A67">
        <f>IFERROR(__xludf.DUMMYFUNCTION("""COMPUTED_VALUE"""),66.0)</f>
        <v>66</v>
      </c>
      <c r="B67" t="str">
        <f>IFERROR(__xludf.DUMMYFUNCTION("""COMPUTED_VALUE"""),"The Night Before")</f>
        <v>The Night Before</v>
      </c>
      <c r="C67" t="str">
        <f>IFERROR(__xludf.DUMMYFUNCTION("""COMPUTED_VALUE"""),"Sony")</f>
        <v>Sony</v>
      </c>
      <c r="D67" t="str">
        <f>IFERROR(__xludf.DUMMYFUNCTION("""COMPUTED_VALUE"""),"$43,047,372")</f>
        <v>$43,047,372</v>
      </c>
      <c r="E67" s="1">
        <f>IFERROR(__xludf.DUMMYFUNCTION("""COMPUTED_VALUE"""),2960.0)</f>
        <v>2960</v>
      </c>
      <c r="F67" t="str">
        <f>IFERROR(__xludf.DUMMYFUNCTION("""COMPUTED_VALUE"""),"$9,880,536")</f>
        <v>$9,880,536</v>
      </c>
      <c r="G67" s="1">
        <f>IFERROR(__xludf.DUMMYFUNCTION("""COMPUTED_VALUE"""),2960.0)</f>
        <v>2960</v>
      </c>
      <c r="H67" s="2">
        <f>IFERROR(__xludf.DUMMYFUNCTION("""COMPUTED_VALUE"""),43424.0)</f>
        <v>43424</v>
      </c>
      <c r="I67" s="2">
        <f>IFERROR(__xludf.DUMMYFUNCTION("""COMPUTED_VALUE"""),43114.0)</f>
        <v>43114</v>
      </c>
    </row>
    <row r="68">
      <c r="A68">
        <f>IFERROR(__xludf.DUMMYFUNCTION("""COMPUTED_VALUE"""),67.0)</f>
        <v>67</v>
      </c>
      <c r="B68" t="str">
        <f>IFERROR(__xludf.DUMMYFUNCTION("""COMPUTED_VALUE"""),"Krampus")</f>
        <v>Krampus</v>
      </c>
      <c r="C68" t="str">
        <f>IFERROR(__xludf.DUMMYFUNCTION("""COMPUTED_VALUE"""),"Uni.")</f>
        <v>Uni.</v>
      </c>
      <c r="D68" t="str">
        <f>IFERROR(__xludf.DUMMYFUNCTION("""COMPUTED_VALUE"""),"$42,725,475")</f>
        <v>$42,725,475</v>
      </c>
      <c r="E68" s="1">
        <f>IFERROR(__xludf.DUMMYFUNCTION("""COMPUTED_VALUE"""),2919.0)</f>
        <v>2919</v>
      </c>
      <c r="F68" t="str">
        <f>IFERROR(__xludf.DUMMYFUNCTION("""COMPUTED_VALUE"""),"$16,293,325")</f>
        <v>$16,293,325</v>
      </c>
      <c r="G68" s="1">
        <f>IFERROR(__xludf.DUMMYFUNCTION("""COMPUTED_VALUE"""),2902.0)</f>
        <v>2902</v>
      </c>
      <c r="H68" s="2">
        <f>IFERROR(__xludf.DUMMYFUNCTION("""COMPUTED_VALUE"""),43438.0)</f>
        <v>43438</v>
      </c>
      <c r="I68" s="2">
        <f>IFERROR(__xludf.DUMMYFUNCTION("""COMPUTED_VALUE"""),43121.0)</f>
        <v>43121</v>
      </c>
    </row>
    <row r="69">
      <c r="A69">
        <f>IFERROR(__xludf.DUMMYFUNCTION("""COMPUTED_VALUE"""),68.0)</f>
        <v>68</v>
      </c>
      <c r="B69" t="str">
        <f>IFERROR(__xludf.DUMMYFUNCTION("""COMPUTED_VALUE"""),"Max (2015)")</f>
        <v>Max (2015)</v>
      </c>
      <c r="C69" t="str">
        <f>IFERROR(__xludf.DUMMYFUNCTION("""COMPUTED_VALUE"""),"WB")</f>
        <v>WB</v>
      </c>
      <c r="D69" t="str">
        <f>IFERROR(__xludf.DUMMYFUNCTION("""COMPUTED_VALUE"""),"$42,656,255")</f>
        <v>$42,656,255</v>
      </c>
      <c r="E69" s="1">
        <f>IFERROR(__xludf.DUMMYFUNCTION("""COMPUTED_VALUE"""),2870.0)</f>
        <v>2870</v>
      </c>
      <c r="F69" t="str">
        <f>IFERROR(__xludf.DUMMYFUNCTION("""COMPUTED_VALUE"""),"$12,155,254")</f>
        <v>$12,155,254</v>
      </c>
      <c r="G69" s="1">
        <f>IFERROR(__xludf.DUMMYFUNCTION("""COMPUTED_VALUE"""),2855.0)</f>
        <v>2855</v>
      </c>
      <c r="H69" s="2">
        <f>IFERROR(__xludf.DUMMYFUNCTION("""COMPUTED_VALUE"""),43277.0)</f>
        <v>43277</v>
      </c>
      <c r="I69" s="2">
        <f>IFERROR(__xludf.DUMMYFUNCTION("""COMPUTED_VALUE"""),43388.0)</f>
        <v>43388</v>
      </c>
    </row>
    <row r="70">
      <c r="A70">
        <f>IFERROR(__xludf.DUMMYFUNCTION("""COMPUTED_VALUE"""),69.0)</f>
        <v>69</v>
      </c>
      <c r="B70" t="str">
        <f>IFERROR(__xludf.DUMMYFUNCTION("""COMPUTED_VALUE"""),"The Age of Adaline")</f>
        <v>The Age of Adaline</v>
      </c>
      <c r="C70" t="str">
        <f>IFERROR(__xludf.DUMMYFUNCTION("""COMPUTED_VALUE"""),"LGF")</f>
        <v>LGF</v>
      </c>
      <c r="D70" t="str">
        <f>IFERROR(__xludf.DUMMYFUNCTION("""COMPUTED_VALUE"""),"$42,629,776")</f>
        <v>$42,629,776</v>
      </c>
      <c r="E70" s="1">
        <f>IFERROR(__xludf.DUMMYFUNCTION("""COMPUTED_VALUE"""),3070.0)</f>
        <v>3070</v>
      </c>
      <c r="F70" t="str">
        <f>IFERROR(__xludf.DUMMYFUNCTION("""COMPUTED_VALUE"""),"$13,203,458")</f>
        <v>$13,203,458</v>
      </c>
      <c r="G70" s="1">
        <f>IFERROR(__xludf.DUMMYFUNCTION("""COMPUTED_VALUE"""),2991.0)</f>
        <v>2991</v>
      </c>
      <c r="H70" s="2">
        <f>IFERROR(__xludf.DUMMYFUNCTION("""COMPUTED_VALUE"""),43214.0)</f>
        <v>43214</v>
      </c>
      <c r="I70" s="2">
        <f>IFERROR(__xludf.DUMMYFUNCTION("""COMPUTED_VALUE"""),43290.0)</f>
        <v>43290</v>
      </c>
    </row>
    <row r="71">
      <c r="A71">
        <f>IFERROR(__xludf.DUMMYFUNCTION("""COMPUTED_VALUE"""),70.0)</f>
        <v>70</v>
      </c>
      <c r="B71" t="str">
        <f>IFERROR(__xludf.DUMMYFUNCTION("""COMPUTED_VALUE"""),"Brooklyn")</f>
        <v>Brooklyn</v>
      </c>
      <c r="C71" t="str">
        <f>IFERROR(__xludf.DUMMYFUNCTION("""COMPUTED_VALUE"""),"FoxS")</f>
        <v>FoxS</v>
      </c>
      <c r="D71" t="str">
        <f>IFERROR(__xludf.DUMMYFUNCTION("""COMPUTED_VALUE"""),"$38,322,743")</f>
        <v>$38,322,743</v>
      </c>
      <c r="E71">
        <f>IFERROR(__xludf.DUMMYFUNCTION("""COMPUTED_VALUE"""),962.0)</f>
        <v>962</v>
      </c>
      <c r="F71" t="str">
        <f>IFERROR(__xludf.DUMMYFUNCTION("""COMPUTED_VALUE"""),"$187,281")</f>
        <v>$187,281</v>
      </c>
      <c r="G71">
        <f>IFERROR(__xludf.DUMMYFUNCTION("""COMPUTED_VALUE"""),5.0)</f>
        <v>5</v>
      </c>
      <c r="H71" s="2">
        <f>IFERROR(__xludf.DUMMYFUNCTION("""COMPUTED_VALUE"""),43408.0)</f>
        <v>43408</v>
      </c>
      <c r="I71" s="2">
        <f>IFERROR(__xludf.DUMMYFUNCTION("""COMPUTED_VALUE"""),43246.0)</f>
        <v>43246</v>
      </c>
    </row>
    <row r="72">
      <c r="A72">
        <f>IFERROR(__xludf.DUMMYFUNCTION("""COMPUTED_VALUE"""),71.0)</f>
        <v>71</v>
      </c>
      <c r="B72" t="str">
        <f>IFERROR(__xludf.DUMMYFUNCTION("""COMPUTED_VALUE"""),"The Longest Ride")</f>
        <v>The Longest Ride</v>
      </c>
      <c r="C72" t="str">
        <f>IFERROR(__xludf.DUMMYFUNCTION("""COMPUTED_VALUE"""),"Fox")</f>
        <v>Fox</v>
      </c>
      <c r="D72" t="str">
        <f>IFERROR(__xludf.DUMMYFUNCTION("""COMPUTED_VALUE"""),"$37,446,117")</f>
        <v>$37,446,117</v>
      </c>
      <c r="E72" s="1">
        <f>IFERROR(__xludf.DUMMYFUNCTION("""COMPUTED_VALUE"""),3371.0)</f>
        <v>3371</v>
      </c>
      <c r="F72" t="str">
        <f>IFERROR(__xludf.DUMMYFUNCTION("""COMPUTED_VALUE"""),"$13,019,686")</f>
        <v>$13,019,686</v>
      </c>
      <c r="G72" s="1">
        <f>IFERROR(__xludf.DUMMYFUNCTION("""COMPUTED_VALUE"""),3366.0)</f>
        <v>3366</v>
      </c>
      <c r="H72" s="2">
        <f>IFERROR(__xludf.DUMMYFUNCTION("""COMPUTED_VALUE"""),43200.0)</f>
        <v>43200</v>
      </c>
      <c r="I72" s="2">
        <f>IFERROR(__xludf.DUMMYFUNCTION("""COMPUTED_VALUE"""),43290.0)</f>
        <v>43290</v>
      </c>
    </row>
    <row r="73">
      <c r="A73">
        <f>IFERROR(__xludf.DUMMYFUNCTION("""COMPUTED_VALUE"""),72.0)</f>
        <v>72</v>
      </c>
      <c r="B73" t="str">
        <f>IFERROR(__xludf.DUMMYFUNCTION("""COMPUTED_VALUE"""),"The Boy Next Door")</f>
        <v>The Boy Next Door</v>
      </c>
      <c r="C73" t="str">
        <f>IFERROR(__xludf.DUMMYFUNCTION("""COMPUTED_VALUE"""),"Uni.")</f>
        <v>Uni.</v>
      </c>
      <c r="D73" t="str">
        <f>IFERROR(__xludf.DUMMYFUNCTION("""COMPUTED_VALUE"""),"$35,423,380")</f>
        <v>$35,423,380</v>
      </c>
      <c r="E73" s="1">
        <f>IFERROR(__xludf.DUMMYFUNCTION("""COMPUTED_VALUE"""),2615.0)</f>
        <v>2615</v>
      </c>
      <c r="F73" t="str">
        <f>IFERROR(__xludf.DUMMYFUNCTION("""COMPUTED_VALUE"""),"$14,910,105")</f>
        <v>$14,910,105</v>
      </c>
      <c r="G73" s="1">
        <f>IFERROR(__xludf.DUMMYFUNCTION("""COMPUTED_VALUE"""),2602.0)</f>
        <v>2602</v>
      </c>
      <c r="H73" s="2">
        <f>IFERROR(__xludf.DUMMYFUNCTION("""COMPUTED_VALUE"""),43123.0)</f>
        <v>43123</v>
      </c>
      <c r="I73" s="2">
        <f>IFERROR(__xludf.DUMMYFUNCTION("""COMPUTED_VALUE"""),43171.0)</f>
        <v>43171</v>
      </c>
    </row>
    <row r="74">
      <c r="A74">
        <f>IFERROR(__xludf.DUMMYFUNCTION("""COMPUTED_VALUE"""),73.0)</f>
        <v>73</v>
      </c>
      <c r="B74" t="str">
        <f>IFERROR(__xludf.DUMMYFUNCTION("""COMPUTED_VALUE"""),"Pan")</f>
        <v>Pan</v>
      </c>
      <c r="C74" t="str">
        <f>IFERROR(__xludf.DUMMYFUNCTION("""COMPUTED_VALUE"""),"WB")</f>
        <v>WB</v>
      </c>
      <c r="D74" t="str">
        <f>IFERROR(__xludf.DUMMYFUNCTION("""COMPUTED_VALUE"""),"$35,088,320")</f>
        <v>$35,088,320</v>
      </c>
      <c r="E74" s="1">
        <f>IFERROR(__xludf.DUMMYFUNCTION("""COMPUTED_VALUE"""),3515.0)</f>
        <v>3515</v>
      </c>
      <c r="F74" t="str">
        <f>IFERROR(__xludf.DUMMYFUNCTION("""COMPUTED_VALUE"""),"$15,315,435")</f>
        <v>$15,315,435</v>
      </c>
      <c r="G74" s="1">
        <f>IFERROR(__xludf.DUMMYFUNCTION("""COMPUTED_VALUE"""),3515.0)</f>
        <v>3515</v>
      </c>
      <c r="H74" s="2">
        <f>IFERROR(__xludf.DUMMYFUNCTION("""COMPUTED_VALUE"""),43382.0)</f>
        <v>43382</v>
      </c>
      <c r="I74" s="2">
        <f>IFERROR(__xludf.DUMMYFUNCTION("""COMPUTED_VALUE"""),43107.0)</f>
        <v>43107</v>
      </c>
    </row>
    <row r="75">
      <c r="A75">
        <f>IFERROR(__xludf.DUMMYFUNCTION("""COMPUTED_VALUE"""),74.0)</f>
        <v>74</v>
      </c>
      <c r="B75" t="str">
        <f>IFERROR(__xludf.DUMMYFUNCTION("""COMPUTED_VALUE"""),"Hot Pursuit")</f>
        <v>Hot Pursuit</v>
      </c>
      <c r="C75" t="str">
        <f>IFERROR(__xludf.DUMMYFUNCTION("""COMPUTED_VALUE"""),"WB (NL)")</f>
        <v>WB (NL)</v>
      </c>
      <c r="D75" t="str">
        <f>IFERROR(__xludf.DUMMYFUNCTION("""COMPUTED_VALUE"""),"$34,580,201")</f>
        <v>$34,580,201</v>
      </c>
      <c r="E75" s="1">
        <f>IFERROR(__xludf.DUMMYFUNCTION("""COMPUTED_VALUE"""),3037.0)</f>
        <v>3037</v>
      </c>
      <c r="F75" t="str">
        <f>IFERROR(__xludf.DUMMYFUNCTION("""COMPUTED_VALUE"""),"$13,942,258")</f>
        <v>$13,942,258</v>
      </c>
      <c r="G75" s="1">
        <f>IFERROR(__xludf.DUMMYFUNCTION("""COMPUTED_VALUE"""),3003.0)</f>
        <v>3003</v>
      </c>
      <c r="H75" s="2">
        <f>IFERROR(__xludf.DUMMYFUNCTION("""COMPUTED_VALUE"""),43228.0)</f>
        <v>43228</v>
      </c>
      <c r="I75" s="2">
        <f>IFERROR(__xludf.DUMMYFUNCTION("""COMPUTED_VALUE"""),43311.0)</f>
        <v>43311</v>
      </c>
    </row>
    <row r="76">
      <c r="A76">
        <f>IFERROR(__xludf.DUMMYFUNCTION("""COMPUTED_VALUE"""),75.0)</f>
        <v>75</v>
      </c>
      <c r="B76" t="str">
        <f>IFERROR(__xludf.DUMMYFUNCTION("""COMPUTED_VALUE"""),"Concussion (2015)")</f>
        <v>Concussion (2015)</v>
      </c>
      <c r="C76" t="str">
        <f>IFERROR(__xludf.DUMMYFUNCTION("""COMPUTED_VALUE"""),"Sony")</f>
        <v>Sony</v>
      </c>
      <c r="D76" t="str">
        <f>IFERROR(__xludf.DUMMYFUNCTION("""COMPUTED_VALUE"""),"$34,542,474")</f>
        <v>$34,542,474</v>
      </c>
      <c r="E76" s="1">
        <f>IFERROR(__xludf.DUMMYFUNCTION("""COMPUTED_VALUE"""),2841.0)</f>
        <v>2841</v>
      </c>
      <c r="F76" t="str">
        <f>IFERROR(__xludf.DUMMYFUNCTION("""COMPUTED_VALUE"""),"$10,513,749")</f>
        <v>$10,513,749</v>
      </c>
      <c r="G76" s="1">
        <f>IFERROR(__xludf.DUMMYFUNCTION("""COMPUTED_VALUE"""),2841.0)</f>
        <v>2841</v>
      </c>
      <c r="H76" s="2">
        <f>IFERROR(__xludf.DUMMYFUNCTION("""COMPUTED_VALUE"""),43459.0)</f>
        <v>43459</v>
      </c>
      <c r="I76" s="2">
        <f>IFERROR(__xludf.DUMMYFUNCTION("""COMPUTED_VALUE"""),43176.0)</f>
        <v>43176</v>
      </c>
    </row>
    <row r="77">
      <c r="A77">
        <f>IFERROR(__xludf.DUMMYFUNCTION("""COMPUTED_VALUE"""),76.0)</f>
        <v>76</v>
      </c>
      <c r="B77" t="str">
        <f>IFERROR(__xludf.DUMMYFUNCTION("""COMPUTED_VALUE"""),"The DUFF")</f>
        <v>The DUFF</v>
      </c>
      <c r="C77" t="str">
        <f>IFERROR(__xludf.DUMMYFUNCTION("""COMPUTED_VALUE"""),"LGF")</f>
        <v>LGF</v>
      </c>
      <c r="D77" t="str">
        <f>IFERROR(__xludf.DUMMYFUNCTION("""COMPUTED_VALUE"""),"$34,030,343")</f>
        <v>$34,030,343</v>
      </c>
      <c r="E77" s="1">
        <f>IFERROR(__xludf.DUMMYFUNCTION("""COMPUTED_VALUE"""),2622.0)</f>
        <v>2622</v>
      </c>
      <c r="F77" t="str">
        <f>IFERROR(__xludf.DUMMYFUNCTION("""COMPUTED_VALUE"""),"$10,809,149")</f>
        <v>$10,809,149</v>
      </c>
      <c r="G77" s="1">
        <f>IFERROR(__xludf.DUMMYFUNCTION("""COMPUTED_VALUE"""),2575.0)</f>
        <v>2575</v>
      </c>
      <c r="H77" s="2">
        <f>IFERROR(__xludf.DUMMYFUNCTION("""COMPUTED_VALUE"""),43151.0)</f>
        <v>43151</v>
      </c>
      <c r="I77" s="2">
        <f>IFERROR(__xludf.DUMMYFUNCTION("""COMPUTED_VALUE"""),43234.0)</f>
        <v>43234</v>
      </c>
    </row>
    <row r="78">
      <c r="A78">
        <f>IFERROR(__xludf.DUMMYFUNCTION("""COMPUTED_VALUE"""),77.0)</f>
        <v>77</v>
      </c>
      <c r="B78" t="str">
        <f>IFERROR(__xludf.DUMMYFUNCTION("""COMPUTED_VALUE"""),"Woman in Gold")</f>
        <v>Woman in Gold</v>
      </c>
      <c r="C78" t="str">
        <f>IFERROR(__xludf.DUMMYFUNCTION("""COMPUTED_VALUE"""),"Wein.")</f>
        <v>Wein.</v>
      </c>
      <c r="D78" t="str">
        <f>IFERROR(__xludf.DUMMYFUNCTION("""COMPUTED_VALUE"""),"$33,307,793")</f>
        <v>$33,307,793</v>
      </c>
      <c r="E78" s="1">
        <f>IFERROR(__xludf.DUMMYFUNCTION("""COMPUTED_VALUE"""),2011.0)</f>
        <v>2011</v>
      </c>
      <c r="F78" t="str">
        <f>IFERROR(__xludf.DUMMYFUNCTION("""COMPUTED_VALUE"""),"$2,091,551")</f>
        <v>$2,091,551</v>
      </c>
      <c r="G78">
        <f>IFERROR(__xludf.DUMMYFUNCTION("""COMPUTED_VALUE"""),258.0)</f>
        <v>258</v>
      </c>
      <c r="H78" s="2">
        <f>IFERROR(__xludf.DUMMYFUNCTION("""COMPUTED_VALUE"""),43191.0)</f>
        <v>43191</v>
      </c>
      <c r="I78" s="2">
        <f>IFERROR(__xludf.DUMMYFUNCTION("""COMPUTED_VALUE"""),43325.0)</f>
        <v>43325</v>
      </c>
    </row>
    <row r="79">
      <c r="A79">
        <f>IFERROR(__xludf.DUMMYFUNCTION("""COMPUTED_VALUE"""),78.0)</f>
        <v>78</v>
      </c>
      <c r="B79" t="str">
        <f>IFERROR(__xludf.DUMMYFUNCTION("""COMPUTED_VALUE"""),"The Second Best Exotic Marigold Hotel")</f>
        <v>The Second Best Exotic Marigold Hotel</v>
      </c>
      <c r="C79" t="str">
        <f>IFERROR(__xludf.DUMMYFUNCTION("""COMPUTED_VALUE"""),"FoxS")</f>
        <v>FoxS</v>
      </c>
      <c r="D79" t="str">
        <f>IFERROR(__xludf.DUMMYFUNCTION("""COMPUTED_VALUE"""),"$33,078,266")</f>
        <v>$33,078,266</v>
      </c>
      <c r="E79" s="1">
        <f>IFERROR(__xludf.DUMMYFUNCTION("""COMPUTED_VALUE"""),2022.0)</f>
        <v>2022</v>
      </c>
      <c r="F79" t="str">
        <f>IFERROR(__xludf.DUMMYFUNCTION("""COMPUTED_VALUE"""),"$8,540,370")</f>
        <v>$8,540,370</v>
      </c>
      <c r="G79" s="1">
        <f>IFERROR(__xludf.DUMMYFUNCTION("""COMPUTED_VALUE"""),1573.0)</f>
        <v>1573</v>
      </c>
      <c r="H79" s="2">
        <f>IFERROR(__xludf.DUMMYFUNCTION("""COMPUTED_VALUE"""),43165.0)</f>
        <v>43165</v>
      </c>
      <c r="I79" s="2">
        <f>IFERROR(__xludf.DUMMYFUNCTION("""COMPUTED_VALUE"""),43276.0)</f>
        <v>43276</v>
      </c>
    </row>
    <row r="80">
      <c r="A80">
        <f>IFERROR(__xludf.DUMMYFUNCTION("""COMPUTED_VALUE"""),79.0)</f>
        <v>79</v>
      </c>
      <c r="B80" t="str">
        <f>IFERROR(__xludf.DUMMYFUNCTION("""COMPUTED_VALUE"""),"Unfriended")</f>
        <v>Unfriended</v>
      </c>
      <c r="C80" t="str">
        <f>IFERROR(__xludf.DUMMYFUNCTION("""COMPUTED_VALUE"""),"Uni.")</f>
        <v>Uni.</v>
      </c>
      <c r="D80" t="str">
        <f>IFERROR(__xludf.DUMMYFUNCTION("""COMPUTED_VALUE"""),"$32,482,090")</f>
        <v>$32,482,090</v>
      </c>
      <c r="E80" s="1">
        <f>IFERROR(__xludf.DUMMYFUNCTION("""COMPUTED_VALUE"""),2775.0)</f>
        <v>2775</v>
      </c>
      <c r="F80" t="str">
        <f>IFERROR(__xludf.DUMMYFUNCTION("""COMPUTED_VALUE"""),"$15,845,115")</f>
        <v>$15,845,115</v>
      </c>
      <c r="G80" s="1">
        <f>IFERROR(__xludf.DUMMYFUNCTION("""COMPUTED_VALUE"""),2739.0)</f>
        <v>2739</v>
      </c>
      <c r="H80" s="2">
        <f>IFERROR(__xludf.DUMMYFUNCTION("""COMPUTED_VALUE"""),43207.0)</f>
        <v>43207</v>
      </c>
      <c r="I80" s="2">
        <f>IFERROR(__xludf.DUMMYFUNCTION("""COMPUTED_VALUE"""),43248.0)</f>
        <v>43248</v>
      </c>
    </row>
    <row r="81">
      <c r="A81">
        <f>IFERROR(__xludf.DUMMYFUNCTION("""COMPUTED_VALUE"""),80.0)</f>
        <v>80</v>
      </c>
      <c r="B81" t="str">
        <f>IFERROR(__xludf.DUMMYFUNCTION("""COMPUTED_VALUE"""),"Entourage")</f>
        <v>Entourage</v>
      </c>
      <c r="C81" t="str">
        <f>IFERROR(__xludf.DUMMYFUNCTION("""COMPUTED_VALUE"""),"WB")</f>
        <v>WB</v>
      </c>
      <c r="D81" t="str">
        <f>IFERROR(__xludf.DUMMYFUNCTION("""COMPUTED_VALUE"""),"$32,363,404")</f>
        <v>$32,363,404</v>
      </c>
      <c r="E81" s="1">
        <f>IFERROR(__xludf.DUMMYFUNCTION("""COMPUTED_VALUE"""),3108.0)</f>
        <v>3108</v>
      </c>
      <c r="F81" t="str">
        <f>IFERROR(__xludf.DUMMYFUNCTION("""COMPUTED_VALUE"""),"$10,283,250")</f>
        <v>$10,283,250</v>
      </c>
      <c r="G81" s="1">
        <f>IFERROR(__xludf.DUMMYFUNCTION("""COMPUTED_VALUE"""),3108.0)</f>
        <v>3108</v>
      </c>
      <c r="H81" s="2">
        <f>IFERROR(__xludf.DUMMYFUNCTION("""COMPUTED_VALUE"""),43254.0)</f>
        <v>43254</v>
      </c>
      <c r="I81" s="2">
        <f>IFERROR(__xludf.DUMMYFUNCTION("""COMPUTED_VALUE"""),43325.0)</f>
        <v>43325</v>
      </c>
    </row>
    <row r="82">
      <c r="A82">
        <f>IFERROR(__xludf.DUMMYFUNCTION("""COMPUTED_VALUE"""),81.0)</f>
        <v>81</v>
      </c>
      <c r="B82" t="str">
        <f>IFERROR(__xludf.DUMMYFUNCTION("""COMPUTED_VALUE"""),"Paper Towns")</f>
        <v>Paper Towns</v>
      </c>
      <c r="C82" t="str">
        <f>IFERROR(__xludf.DUMMYFUNCTION("""COMPUTED_VALUE"""),"Fox")</f>
        <v>Fox</v>
      </c>
      <c r="D82" t="str">
        <f>IFERROR(__xludf.DUMMYFUNCTION("""COMPUTED_VALUE"""),"$32,000,304")</f>
        <v>$32,000,304</v>
      </c>
      <c r="E82" s="1">
        <f>IFERROR(__xludf.DUMMYFUNCTION("""COMPUTED_VALUE"""),3031.0)</f>
        <v>3031</v>
      </c>
      <c r="F82" t="str">
        <f>IFERROR(__xludf.DUMMYFUNCTION("""COMPUTED_VALUE"""),"$12,650,140")</f>
        <v>$12,650,140</v>
      </c>
      <c r="G82" s="1">
        <f>IFERROR(__xludf.DUMMYFUNCTION("""COMPUTED_VALUE"""),3031.0)</f>
        <v>3031</v>
      </c>
      <c r="H82" s="2">
        <f>IFERROR(__xludf.DUMMYFUNCTION("""COMPUTED_VALUE"""),43305.0)</f>
        <v>43305</v>
      </c>
      <c r="I82" s="2">
        <f>IFERROR(__xludf.DUMMYFUNCTION("""COMPUTED_VALUE"""),43388.0)</f>
        <v>43388</v>
      </c>
    </row>
    <row r="83">
      <c r="A83">
        <f>IFERROR(__xludf.DUMMYFUNCTION("""COMPUTED_VALUE"""),82.0)</f>
        <v>82</v>
      </c>
      <c r="B83" t="str">
        <f>IFERROR(__xludf.DUMMYFUNCTION("""COMPUTED_VALUE"""),"Chappie")</f>
        <v>Chappie</v>
      </c>
      <c r="C83" t="str">
        <f>IFERROR(__xludf.DUMMYFUNCTION("""COMPUTED_VALUE"""),"Sony")</f>
        <v>Sony</v>
      </c>
      <c r="D83" t="str">
        <f>IFERROR(__xludf.DUMMYFUNCTION("""COMPUTED_VALUE"""),"$31,569,268")</f>
        <v>$31,569,268</v>
      </c>
      <c r="E83" s="1">
        <f>IFERROR(__xludf.DUMMYFUNCTION("""COMPUTED_VALUE"""),3201.0)</f>
        <v>3201</v>
      </c>
      <c r="F83" t="str">
        <f>IFERROR(__xludf.DUMMYFUNCTION("""COMPUTED_VALUE"""),"$13,346,782")</f>
        <v>$13,346,782</v>
      </c>
      <c r="G83" s="1">
        <f>IFERROR(__xludf.DUMMYFUNCTION("""COMPUTED_VALUE"""),3201.0)</f>
        <v>3201</v>
      </c>
      <c r="H83" s="2">
        <f>IFERROR(__xludf.DUMMYFUNCTION("""COMPUTED_VALUE"""),43165.0)</f>
        <v>43165</v>
      </c>
      <c r="I83" s="2">
        <f>IFERROR(__xludf.DUMMYFUNCTION("""COMPUTED_VALUE"""),43223.0)</f>
        <v>43223</v>
      </c>
    </row>
    <row r="84">
      <c r="A84">
        <f>IFERROR(__xludf.DUMMYFUNCTION("""COMPUTED_VALUE"""),83.0)</f>
        <v>83</v>
      </c>
      <c r="B84" t="str">
        <f>IFERROR(__xludf.DUMMYFUNCTION("""COMPUTED_VALUE"""),"Crimson Peak")</f>
        <v>Crimson Peak</v>
      </c>
      <c r="C84" t="str">
        <f>IFERROR(__xludf.DUMMYFUNCTION("""COMPUTED_VALUE"""),"Uni.")</f>
        <v>Uni.</v>
      </c>
      <c r="D84" t="str">
        <f>IFERROR(__xludf.DUMMYFUNCTION("""COMPUTED_VALUE"""),"$31,090,320")</f>
        <v>$31,090,320</v>
      </c>
      <c r="E84" s="1">
        <f>IFERROR(__xludf.DUMMYFUNCTION("""COMPUTED_VALUE"""),2991.0)</f>
        <v>2991</v>
      </c>
      <c r="F84" t="str">
        <f>IFERROR(__xludf.DUMMYFUNCTION("""COMPUTED_VALUE"""),"$13,143,310")</f>
        <v>$13,143,310</v>
      </c>
      <c r="G84" s="1">
        <f>IFERROR(__xludf.DUMMYFUNCTION("""COMPUTED_VALUE"""),2984.0)</f>
        <v>2984</v>
      </c>
      <c r="H84" s="2">
        <f>IFERROR(__xludf.DUMMYFUNCTION("""COMPUTED_VALUE"""),43389.0)</f>
        <v>43389</v>
      </c>
      <c r="I84" s="2">
        <f>IFERROR(__xludf.DUMMYFUNCTION("""COMPUTED_VALUE"""),43430.0)</f>
        <v>43430</v>
      </c>
    </row>
    <row r="85">
      <c r="A85">
        <f>IFERROR(__xludf.DUMMYFUNCTION("""COMPUTED_VALUE"""),84.0)</f>
        <v>84</v>
      </c>
      <c r="B85" t="str">
        <f>IFERROR(__xludf.DUMMYFUNCTION("""COMPUTED_VALUE"""),"A Walk in the Woods")</f>
        <v>A Walk in the Woods</v>
      </c>
      <c r="C85" t="str">
        <f>IFERROR(__xludf.DUMMYFUNCTION("""COMPUTED_VALUE"""),"BG")</f>
        <v>BG</v>
      </c>
      <c r="D85" t="str">
        <f>IFERROR(__xludf.DUMMYFUNCTION("""COMPUTED_VALUE"""),"$29,504,281")</f>
        <v>$29,504,281</v>
      </c>
      <c r="E85" s="1">
        <f>IFERROR(__xludf.DUMMYFUNCTION("""COMPUTED_VALUE"""),2158.0)</f>
        <v>2158</v>
      </c>
      <c r="F85" t="str">
        <f>IFERROR(__xludf.DUMMYFUNCTION("""COMPUTED_VALUE"""),"$8,246,267")</f>
        <v>$8,246,267</v>
      </c>
      <c r="G85" s="1">
        <f>IFERROR(__xludf.DUMMYFUNCTION("""COMPUTED_VALUE"""),1960.0)</f>
        <v>1960</v>
      </c>
      <c r="H85" s="2">
        <f>IFERROR(__xludf.DUMMYFUNCTION("""COMPUTED_VALUE"""),43345.0)</f>
        <v>43345</v>
      </c>
      <c r="I85" s="2">
        <f>IFERROR(__xludf.DUMMYFUNCTION("""COMPUTED_VALUE"""),43454.0)</f>
        <v>43454</v>
      </c>
    </row>
    <row r="86">
      <c r="A86">
        <f>IFERROR(__xludf.DUMMYFUNCTION("""COMPUTED_VALUE"""),85.0)</f>
        <v>85</v>
      </c>
      <c r="B86" t="str">
        <f>IFERROR(__xludf.DUMMYFUNCTION("""COMPUTED_VALUE"""),"Point Break (2015)")</f>
        <v>Point Break (2015)</v>
      </c>
      <c r="C86" t="str">
        <f>IFERROR(__xludf.DUMMYFUNCTION("""COMPUTED_VALUE"""),"WB")</f>
        <v>WB</v>
      </c>
      <c r="D86" t="str">
        <f>IFERROR(__xludf.DUMMYFUNCTION("""COMPUTED_VALUE"""),"$28,782,481")</f>
        <v>$28,782,481</v>
      </c>
      <c r="E86" s="1">
        <f>IFERROR(__xludf.DUMMYFUNCTION("""COMPUTED_VALUE"""),2910.0)</f>
        <v>2910</v>
      </c>
      <c r="F86" t="str">
        <f>IFERROR(__xludf.DUMMYFUNCTION("""COMPUTED_VALUE"""),"$9,800,252")</f>
        <v>$9,800,252</v>
      </c>
      <c r="G86" s="1">
        <f>IFERROR(__xludf.DUMMYFUNCTION("""COMPUTED_VALUE"""),2910.0)</f>
        <v>2910</v>
      </c>
      <c r="H86" s="2">
        <f>IFERROR(__xludf.DUMMYFUNCTION("""COMPUTED_VALUE"""),43459.0)</f>
        <v>43459</v>
      </c>
      <c r="I86" s="2">
        <f>IFERROR(__xludf.DUMMYFUNCTION("""COMPUTED_VALUE"""),43156.0)</f>
        <v>43156</v>
      </c>
    </row>
    <row r="87">
      <c r="A87">
        <f>IFERROR(__xludf.DUMMYFUNCTION("""COMPUTED_VALUE"""),86.0)</f>
        <v>86</v>
      </c>
      <c r="B87" t="str">
        <f>IFERROR(__xludf.DUMMYFUNCTION("""COMPUTED_VALUE"""),"Sinister 2")</f>
        <v>Sinister 2</v>
      </c>
      <c r="C87" t="str">
        <f>IFERROR(__xludf.DUMMYFUNCTION("""COMPUTED_VALUE"""),"Focus")</f>
        <v>Focus</v>
      </c>
      <c r="D87" t="str">
        <f>IFERROR(__xludf.DUMMYFUNCTION("""COMPUTED_VALUE"""),"$27,740,955")</f>
        <v>$27,740,955</v>
      </c>
      <c r="E87" s="1">
        <f>IFERROR(__xludf.DUMMYFUNCTION("""COMPUTED_VALUE"""),2799.0)</f>
        <v>2799</v>
      </c>
      <c r="F87" t="str">
        <f>IFERROR(__xludf.DUMMYFUNCTION("""COMPUTED_VALUE"""),"$10,542,116")</f>
        <v>$10,542,116</v>
      </c>
      <c r="G87" s="1">
        <f>IFERROR(__xludf.DUMMYFUNCTION("""COMPUTED_VALUE"""),2766.0)</f>
        <v>2766</v>
      </c>
      <c r="H87" s="2">
        <f>IFERROR(__xludf.DUMMYFUNCTION("""COMPUTED_VALUE"""),43333.0)</f>
        <v>43333</v>
      </c>
      <c r="I87" s="2">
        <f>IFERROR(__xludf.DUMMYFUNCTION("""COMPUTED_VALUE"""),43402.0)</f>
        <v>43402</v>
      </c>
    </row>
    <row r="88">
      <c r="A88">
        <f>IFERROR(__xludf.DUMMYFUNCTION("""COMPUTED_VALUE"""),87.0)</f>
        <v>87</v>
      </c>
      <c r="B88" t="str">
        <f>IFERROR(__xludf.DUMMYFUNCTION("""COMPUTED_VALUE"""),"The Last Witch Hunter")</f>
        <v>The Last Witch Hunter</v>
      </c>
      <c r="C88" t="str">
        <f>IFERROR(__xludf.DUMMYFUNCTION("""COMPUTED_VALUE"""),"LG/S")</f>
        <v>LG/S</v>
      </c>
      <c r="D88" t="str">
        <f>IFERROR(__xludf.DUMMYFUNCTION("""COMPUTED_VALUE"""),"$27,367,660")</f>
        <v>$27,367,660</v>
      </c>
      <c r="E88" s="1">
        <f>IFERROR(__xludf.DUMMYFUNCTION("""COMPUTED_VALUE"""),3082.0)</f>
        <v>3082</v>
      </c>
      <c r="F88" t="str">
        <f>IFERROR(__xludf.DUMMYFUNCTION("""COMPUTED_VALUE"""),"$10,812,861")</f>
        <v>$10,812,861</v>
      </c>
      <c r="G88" s="1">
        <f>IFERROR(__xludf.DUMMYFUNCTION("""COMPUTED_VALUE"""),3082.0)</f>
        <v>3082</v>
      </c>
      <c r="H88" s="2">
        <f>IFERROR(__xludf.DUMMYFUNCTION("""COMPUTED_VALUE"""),43396.0)</f>
        <v>43396</v>
      </c>
      <c r="I88" s="2">
        <f>IFERROR(__xludf.DUMMYFUNCTION("""COMPUTED_VALUE"""),43465.0)</f>
        <v>43465</v>
      </c>
    </row>
    <row r="89">
      <c r="A89">
        <f>IFERROR(__xludf.DUMMYFUNCTION("""COMPUTED_VALUE"""),88.0)</f>
        <v>88</v>
      </c>
      <c r="B89" t="str">
        <f>IFERROR(__xludf.DUMMYFUNCTION("""COMPUTED_VALUE"""),"No Escape")</f>
        <v>No Escape</v>
      </c>
      <c r="C89" t="str">
        <f>IFERROR(__xludf.DUMMYFUNCTION("""COMPUTED_VALUE"""),"Wein.")</f>
        <v>Wein.</v>
      </c>
      <c r="D89" t="str">
        <f>IFERROR(__xludf.DUMMYFUNCTION("""COMPUTED_VALUE"""),"$27,288,872")</f>
        <v>$27,288,872</v>
      </c>
      <c r="E89" s="1">
        <f>IFERROR(__xludf.DUMMYFUNCTION("""COMPUTED_VALUE"""),3415.0)</f>
        <v>3415</v>
      </c>
      <c r="F89" t="str">
        <f>IFERROR(__xludf.DUMMYFUNCTION("""COMPUTED_VALUE"""),"$8,111,264")</f>
        <v>$8,111,264</v>
      </c>
      <c r="G89" s="1">
        <f>IFERROR(__xludf.DUMMYFUNCTION("""COMPUTED_VALUE"""),3355.0)</f>
        <v>3355</v>
      </c>
      <c r="H89" s="2">
        <f>IFERROR(__xludf.DUMMYFUNCTION("""COMPUTED_VALUE"""),43338.0)</f>
        <v>43338</v>
      </c>
      <c r="I89" s="2">
        <f>IFERROR(__xludf.DUMMYFUNCTION("""COMPUTED_VALUE"""),43430.0)</f>
        <v>43430</v>
      </c>
    </row>
    <row r="90">
      <c r="A90">
        <f>IFERROR(__xludf.DUMMYFUNCTION("""COMPUTED_VALUE"""),89.0)</f>
        <v>89</v>
      </c>
      <c r="B90" t="str">
        <f>IFERROR(__xludf.DUMMYFUNCTION("""COMPUTED_VALUE"""),"Ricki and the Flash")</f>
        <v>Ricki and the Flash</v>
      </c>
      <c r="C90" t="str">
        <f>IFERROR(__xludf.DUMMYFUNCTION("""COMPUTED_VALUE"""),"TriS")</f>
        <v>TriS</v>
      </c>
      <c r="D90" t="str">
        <f>IFERROR(__xludf.DUMMYFUNCTION("""COMPUTED_VALUE"""),"$26,822,144")</f>
        <v>$26,822,144</v>
      </c>
      <c r="E90" s="1">
        <f>IFERROR(__xludf.DUMMYFUNCTION("""COMPUTED_VALUE"""),2064.0)</f>
        <v>2064</v>
      </c>
      <c r="F90" t="str">
        <f>IFERROR(__xludf.DUMMYFUNCTION("""COMPUTED_VALUE"""),"$6,610,961")</f>
        <v>$6,610,961</v>
      </c>
      <c r="G90" s="1">
        <f>IFERROR(__xludf.DUMMYFUNCTION("""COMPUTED_VALUE"""),1603.0)</f>
        <v>1603</v>
      </c>
      <c r="H90" s="2">
        <f>IFERROR(__xludf.DUMMYFUNCTION("""COMPUTED_VALUE"""),43319.0)</f>
        <v>43319</v>
      </c>
      <c r="I90" s="2">
        <f>IFERROR(__xludf.DUMMYFUNCTION("""COMPUTED_VALUE"""),43384.0)</f>
        <v>43384</v>
      </c>
    </row>
    <row r="91">
      <c r="A91">
        <f>IFERROR(__xludf.DUMMYFUNCTION("""COMPUTED_VALUE"""),90.0)</f>
        <v>90</v>
      </c>
      <c r="B91" t="str">
        <f>IFERROR(__xludf.DUMMYFUNCTION("""COMPUTED_VALUE"""),"The Woman in Black 2: Angel of Death")</f>
        <v>The Woman in Black 2: Angel of Death</v>
      </c>
      <c r="C91" t="str">
        <f>IFERROR(__xludf.DUMMYFUNCTION("""COMPUTED_VALUE"""),"Rela.")</f>
        <v>Rela.</v>
      </c>
      <c r="D91" t="str">
        <f>IFERROR(__xludf.DUMMYFUNCTION("""COMPUTED_VALUE"""),"$26,501,323")</f>
        <v>$26,501,323</v>
      </c>
      <c r="E91" s="1">
        <f>IFERROR(__xludf.DUMMYFUNCTION("""COMPUTED_VALUE"""),2602.0)</f>
        <v>2602</v>
      </c>
      <c r="F91" t="str">
        <f>IFERROR(__xludf.DUMMYFUNCTION("""COMPUTED_VALUE"""),"$15,027,415")</f>
        <v>$15,027,415</v>
      </c>
      <c r="G91" s="1">
        <f>IFERROR(__xludf.DUMMYFUNCTION("""COMPUTED_VALUE"""),2602.0)</f>
        <v>2602</v>
      </c>
      <c r="H91" s="2">
        <f>IFERROR(__xludf.DUMMYFUNCTION("""COMPUTED_VALUE"""),43102.0)</f>
        <v>43102</v>
      </c>
      <c r="I91" s="2">
        <f>IFERROR(__xludf.DUMMYFUNCTION("""COMPUTED_VALUE"""),43178.0)</f>
        <v>43178</v>
      </c>
    </row>
    <row r="92">
      <c r="A92">
        <f>IFERROR(__xludf.DUMMYFUNCTION("""COMPUTED_VALUE"""),91.0)</f>
        <v>91</v>
      </c>
      <c r="B92" t="str">
        <f>IFERROR(__xludf.DUMMYFUNCTION("""COMPUTED_VALUE"""),"Run All Night")</f>
        <v>Run All Night</v>
      </c>
      <c r="C92" t="str">
        <f>IFERROR(__xludf.DUMMYFUNCTION("""COMPUTED_VALUE"""),"WB")</f>
        <v>WB</v>
      </c>
      <c r="D92" t="str">
        <f>IFERROR(__xludf.DUMMYFUNCTION("""COMPUTED_VALUE"""),"$26,461,644")</f>
        <v>$26,461,644</v>
      </c>
      <c r="E92" s="1">
        <f>IFERROR(__xludf.DUMMYFUNCTION("""COMPUTED_VALUE"""),3171.0)</f>
        <v>3171</v>
      </c>
      <c r="F92" t="str">
        <f>IFERROR(__xludf.DUMMYFUNCTION("""COMPUTED_VALUE"""),"$11,012,305")</f>
        <v>$11,012,305</v>
      </c>
      <c r="G92" s="1">
        <f>IFERROR(__xludf.DUMMYFUNCTION("""COMPUTED_VALUE"""),3171.0)</f>
        <v>3171</v>
      </c>
      <c r="H92" s="2">
        <f>IFERROR(__xludf.DUMMYFUNCTION("""COMPUTED_VALUE"""),43172.0)</f>
        <v>43172</v>
      </c>
      <c r="I92" s="2">
        <f>IFERROR(__xludf.DUMMYFUNCTION("""COMPUTED_VALUE"""),43227.0)</f>
        <v>43227</v>
      </c>
    </row>
    <row r="93">
      <c r="A93">
        <f>IFERROR(__xludf.DUMMYFUNCTION("""COMPUTED_VALUE"""),92.0)</f>
        <v>92</v>
      </c>
      <c r="B93" t="str">
        <f>IFERROR(__xludf.DUMMYFUNCTION("""COMPUTED_VALUE"""),"Love the Coopers")</f>
        <v>Love the Coopers</v>
      </c>
      <c r="C93" t="str">
        <f>IFERROR(__xludf.DUMMYFUNCTION("""COMPUTED_VALUE"""),"LGF")</f>
        <v>LGF</v>
      </c>
      <c r="D93" t="str">
        <f>IFERROR(__xludf.DUMMYFUNCTION("""COMPUTED_VALUE"""),"$26,302,731")</f>
        <v>$26,302,731</v>
      </c>
      <c r="E93" s="1">
        <f>IFERROR(__xludf.DUMMYFUNCTION("""COMPUTED_VALUE"""),2603.0)</f>
        <v>2603</v>
      </c>
      <c r="F93" t="str">
        <f>IFERROR(__xludf.DUMMYFUNCTION("""COMPUTED_VALUE"""),"$8,317,545")</f>
        <v>$8,317,545</v>
      </c>
      <c r="G93" s="1">
        <f>IFERROR(__xludf.DUMMYFUNCTION("""COMPUTED_VALUE"""),2603.0)</f>
        <v>2603</v>
      </c>
      <c r="H93" s="2">
        <f>IFERROR(__xludf.DUMMYFUNCTION("""COMPUTED_VALUE"""),43417.0)</f>
        <v>43417</v>
      </c>
      <c r="I93" s="2">
        <f>IFERROR(__xludf.DUMMYFUNCTION("""COMPUTED_VALUE"""),43114.0)</f>
        <v>43114</v>
      </c>
    </row>
    <row r="94">
      <c r="A94">
        <f>IFERROR(__xludf.DUMMYFUNCTION("""COMPUTED_VALUE"""),93.0)</f>
        <v>93</v>
      </c>
      <c r="B94" t="str">
        <f>IFERROR(__xludf.DUMMYFUNCTION("""COMPUTED_VALUE"""),"The Lazarus Effect")</f>
        <v>The Lazarus Effect</v>
      </c>
      <c r="C94" t="str">
        <f>IFERROR(__xludf.DUMMYFUNCTION("""COMPUTED_VALUE"""),"Rela.")</f>
        <v>Rela.</v>
      </c>
      <c r="D94" t="str">
        <f>IFERROR(__xludf.DUMMYFUNCTION("""COMPUTED_VALUE"""),"$25,801,047")</f>
        <v>$25,801,047</v>
      </c>
      <c r="E94" s="1">
        <f>IFERROR(__xludf.DUMMYFUNCTION("""COMPUTED_VALUE"""),2666.0)</f>
        <v>2666</v>
      </c>
      <c r="F94" t="str">
        <f>IFERROR(__xludf.DUMMYFUNCTION("""COMPUTED_VALUE"""),"$10,203,437")</f>
        <v>$10,203,437</v>
      </c>
      <c r="G94" s="1">
        <f>IFERROR(__xludf.DUMMYFUNCTION("""COMPUTED_VALUE"""),2666.0)</f>
        <v>2666</v>
      </c>
      <c r="H94" s="2">
        <f>IFERROR(__xludf.DUMMYFUNCTION("""COMPUTED_VALUE"""),43158.0)</f>
        <v>43158</v>
      </c>
      <c r="I94" s="2">
        <f>IFERROR(__xludf.DUMMYFUNCTION("""COMPUTED_VALUE"""),43262.0)</f>
        <v>43262</v>
      </c>
    </row>
    <row r="95">
      <c r="A95">
        <f>IFERROR(__xludf.DUMMYFUNCTION("""COMPUTED_VALUE"""),94.0)</f>
        <v>94</v>
      </c>
      <c r="B95" t="str">
        <f>IFERROR(__xludf.DUMMYFUNCTION("""COMPUTED_VALUE"""),"Ex Machina")</f>
        <v>Ex Machina</v>
      </c>
      <c r="C95" t="str">
        <f>IFERROR(__xludf.DUMMYFUNCTION("""COMPUTED_VALUE"""),"A24")</f>
        <v>A24</v>
      </c>
      <c r="D95" t="str">
        <f>IFERROR(__xludf.DUMMYFUNCTION("""COMPUTED_VALUE"""),"$25,442,958")</f>
        <v>$25,442,958</v>
      </c>
      <c r="E95" s="1">
        <f>IFERROR(__xludf.DUMMYFUNCTION("""COMPUTED_VALUE"""),2004.0)</f>
        <v>2004</v>
      </c>
      <c r="F95" t="str">
        <f>IFERROR(__xludf.DUMMYFUNCTION("""COMPUTED_VALUE"""),"$237,264")</f>
        <v>$237,264</v>
      </c>
      <c r="G95">
        <f>IFERROR(__xludf.DUMMYFUNCTION("""COMPUTED_VALUE"""),4.0)</f>
        <v>4</v>
      </c>
      <c r="H95" s="2">
        <f>IFERROR(__xludf.DUMMYFUNCTION("""COMPUTED_VALUE"""),43200.0)</f>
        <v>43200</v>
      </c>
      <c r="I95" s="2">
        <f>IFERROR(__xludf.DUMMYFUNCTION("""COMPUTED_VALUE"""),43346.0)</f>
        <v>43346</v>
      </c>
    </row>
    <row r="96">
      <c r="A96">
        <f>IFERROR(__xludf.DUMMYFUNCTION("""COMPUTED_VALUE"""),95.0)</f>
        <v>95</v>
      </c>
      <c r="B96" t="str">
        <f>IFERROR(__xludf.DUMMYFUNCTION("""COMPUTED_VALUE"""),"In the Heart of the Sea")</f>
        <v>In the Heart of the Sea</v>
      </c>
      <c r="C96" t="str">
        <f>IFERROR(__xludf.DUMMYFUNCTION("""COMPUTED_VALUE"""),"WB")</f>
        <v>WB</v>
      </c>
      <c r="D96" t="str">
        <f>IFERROR(__xludf.DUMMYFUNCTION("""COMPUTED_VALUE"""),"$25,020,758")</f>
        <v>$25,020,758</v>
      </c>
      <c r="E96" s="1">
        <f>IFERROR(__xludf.DUMMYFUNCTION("""COMPUTED_VALUE"""),3103.0)</f>
        <v>3103</v>
      </c>
      <c r="F96" t="str">
        <f>IFERROR(__xludf.DUMMYFUNCTION("""COMPUTED_VALUE"""),"$11,053,366")</f>
        <v>$11,053,366</v>
      </c>
      <c r="G96" s="1">
        <f>IFERROR(__xludf.DUMMYFUNCTION("""COMPUTED_VALUE"""),3103.0)</f>
        <v>3103</v>
      </c>
      <c r="H96" s="2">
        <f>IFERROR(__xludf.DUMMYFUNCTION("""COMPUTED_VALUE"""),43445.0)</f>
        <v>43445</v>
      </c>
      <c r="I96" s="2">
        <f>IFERROR(__xludf.DUMMYFUNCTION("""COMPUTED_VALUE"""),43142.0)</f>
        <v>43142</v>
      </c>
    </row>
    <row r="97">
      <c r="A97">
        <f>IFERROR(__xludf.DUMMYFUNCTION("""COMPUTED_VALUE"""),96.0)</f>
        <v>96</v>
      </c>
      <c r="B97" t="str">
        <f>IFERROR(__xludf.DUMMYFUNCTION("""COMPUTED_VALUE"""),"The Gallows")</f>
        <v>The Gallows</v>
      </c>
      <c r="C97" t="str">
        <f>IFERROR(__xludf.DUMMYFUNCTION("""COMPUTED_VALUE"""),"WB (NL)")</f>
        <v>WB (NL)</v>
      </c>
      <c r="D97" t="str">
        <f>IFERROR(__xludf.DUMMYFUNCTION("""COMPUTED_VALUE"""),"$22,764,410")</f>
        <v>$22,764,410</v>
      </c>
      <c r="E97" s="1">
        <f>IFERROR(__xludf.DUMMYFUNCTION("""COMPUTED_VALUE"""),2720.0)</f>
        <v>2720</v>
      </c>
      <c r="F97" t="str">
        <f>IFERROR(__xludf.DUMMYFUNCTION("""COMPUTED_VALUE"""),"$9,808,463")</f>
        <v>$9,808,463</v>
      </c>
      <c r="G97" s="1">
        <f>IFERROR(__xludf.DUMMYFUNCTION("""COMPUTED_VALUE"""),2720.0)</f>
        <v>2720</v>
      </c>
      <c r="H97" s="2">
        <f>IFERROR(__xludf.DUMMYFUNCTION("""COMPUTED_VALUE"""),43291.0)</f>
        <v>43291</v>
      </c>
      <c r="I97" s="2">
        <f>IFERROR(__xludf.DUMMYFUNCTION("""COMPUTED_VALUE"""),43360.0)</f>
        <v>43360</v>
      </c>
    </row>
    <row r="98">
      <c r="A98">
        <f>IFERROR(__xludf.DUMMYFUNCTION("""COMPUTED_VALUE"""),97.0)</f>
        <v>97</v>
      </c>
      <c r="B98" t="str">
        <f>IFERROR(__xludf.DUMMYFUNCTION("""COMPUTED_VALUE"""),"Hitman: Agent 47")</f>
        <v>Hitman: Agent 47</v>
      </c>
      <c r="C98" t="str">
        <f>IFERROR(__xludf.DUMMYFUNCTION("""COMPUTED_VALUE"""),"Fox")</f>
        <v>Fox</v>
      </c>
      <c r="D98" t="str">
        <f>IFERROR(__xludf.DUMMYFUNCTION("""COMPUTED_VALUE"""),"$22,467,450")</f>
        <v>$22,467,450</v>
      </c>
      <c r="E98" s="1">
        <f>IFERROR(__xludf.DUMMYFUNCTION("""COMPUTED_VALUE"""),3273.0)</f>
        <v>3273</v>
      </c>
      <c r="F98" t="str">
        <f>IFERROR(__xludf.DUMMYFUNCTION("""COMPUTED_VALUE"""),"$8,326,530")</f>
        <v>$8,326,530</v>
      </c>
      <c r="G98" s="1">
        <f>IFERROR(__xludf.DUMMYFUNCTION("""COMPUTED_VALUE"""),3261.0)</f>
        <v>3261</v>
      </c>
      <c r="H98" s="2">
        <f>IFERROR(__xludf.DUMMYFUNCTION("""COMPUTED_VALUE"""),43333.0)</f>
        <v>43333</v>
      </c>
      <c r="I98" s="2">
        <f>IFERROR(__xludf.DUMMYFUNCTION("""COMPUTED_VALUE"""),43388.0)</f>
        <v>43388</v>
      </c>
    </row>
    <row r="99">
      <c r="A99">
        <f>IFERROR(__xludf.DUMMYFUNCTION("""COMPUTED_VALUE"""),98.0)</f>
        <v>98</v>
      </c>
      <c r="B99" t="str">
        <f>IFERROR(__xludf.DUMMYFUNCTION("""COMPUTED_VALUE"""),"Project Almanac")</f>
        <v>Project Almanac</v>
      </c>
      <c r="C99" t="str">
        <f>IFERROR(__xludf.DUMMYFUNCTION("""COMPUTED_VALUE"""),"Par.")</f>
        <v>Par.</v>
      </c>
      <c r="D99" t="str">
        <f>IFERROR(__xludf.DUMMYFUNCTION("""COMPUTED_VALUE"""),"$22,348,241")</f>
        <v>$22,348,241</v>
      </c>
      <c r="E99" s="1">
        <f>IFERROR(__xludf.DUMMYFUNCTION("""COMPUTED_VALUE"""),2900.0)</f>
        <v>2900</v>
      </c>
      <c r="F99" t="str">
        <f>IFERROR(__xludf.DUMMYFUNCTION("""COMPUTED_VALUE"""),"$8,310,252")</f>
        <v>$8,310,252</v>
      </c>
      <c r="G99" s="1">
        <f>IFERROR(__xludf.DUMMYFUNCTION("""COMPUTED_VALUE"""),2893.0)</f>
        <v>2893</v>
      </c>
      <c r="H99" s="2">
        <f>IFERROR(__xludf.DUMMYFUNCTION("""COMPUTED_VALUE"""),43130.0)</f>
        <v>43130</v>
      </c>
      <c r="I99" s="2">
        <f>IFERROR(__xludf.DUMMYFUNCTION("""COMPUTED_VALUE"""),43185.0)</f>
        <v>43185</v>
      </c>
    </row>
    <row r="100">
      <c r="A100">
        <f>IFERROR(__xludf.DUMMYFUNCTION("""COMPUTED_VALUE"""),99.0)</f>
        <v>99</v>
      </c>
      <c r="B100" t="str">
        <f>IFERROR(__xludf.DUMMYFUNCTION("""COMPUTED_VALUE"""),"Black or White")</f>
        <v>Black or White</v>
      </c>
      <c r="C100" t="str">
        <f>IFERROR(__xludf.DUMMYFUNCTION("""COMPUTED_VALUE"""),"Rela.")</f>
        <v>Rela.</v>
      </c>
      <c r="D100" t="str">
        <f>IFERROR(__xludf.DUMMYFUNCTION("""COMPUTED_VALUE"""),"$21,571,189")</f>
        <v>$21,571,189</v>
      </c>
      <c r="E100" s="1">
        <f>IFERROR(__xludf.DUMMYFUNCTION("""COMPUTED_VALUE"""),1823.0)</f>
        <v>1823</v>
      </c>
      <c r="F100" t="str">
        <f>IFERROR(__xludf.DUMMYFUNCTION("""COMPUTED_VALUE"""),"$6,213,362")</f>
        <v>$6,213,362</v>
      </c>
      <c r="G100" s="1">
        <f>IFERROR(__xludf.DUMMYFUNCTION("""COMPUTED_VALUE"""),1823.0)</f>
        <v>1823</v>
      </c>
      <c r="H100" s="2">
        <f>IFERROR(__xludf.DUMMYFUNCTION("""COMPUTED_VALUE"""),43130.0)</f>
        <v>43130</v>
      </c>
      <c r="I100" s="2">
        <f>IFERROR(__xludf.DUMMYFUNCTION("""COMPUTED_VALUE"""),43234.0)</f>
        <v>43234</v>
      </c>
    </row>
    <row r="101">
      <c r="A101">
        <f>IFERROR(__xludf.DUMMYFUNCTION("""COMPUTED_VALUE"""),100.0)</f>
        <v>100</v>
      </c>
      <c r="B101" t="str">
        <f>IFERROR(__xludf.DUMMYFUNCTION("""COMPUTED_VALUE"""),"Aloha")</f>
        <v>Aloha</v>
      </c>
      <c r="C101" t="str">
        <f>IFERROR(__xludf.DUMMYFUNCTION("""COMPUTED_VALUE"""),"Sony")</f>
        <v>Sony</v>
      </c>
      <c r="D101" t="str">
        <f>IFERROR(__xludf.DUMMYFUNCTION("""COMPUTED_VALUE"""),"$21,067,116")</f>
        <v>$21,067,116</v>
      </c>
      <c r="E101" s="1">
        <f>IFERROR(__xludf.DUMMYFUNCTION("""COMPUTED_VALUE"""),2815.0)</f>
        <v>2815</v>
      </c>
      <c r="F101" t="str">
        <f>IFERROR(__xludf.DUMMYFUNCTION("""COMPUTED_VALUE"""),"$9,670,235")</f>
        <v>$9,670,235</v>
      </c>
      <c r="G101" s="1">
        <f>IFERROR(__xludf.DUMMYFUNCTION("""COMPUTED_VALUE"""),2815.0)</f>
        <v>2815</v>
      </c>
      <c r="H101" s="2">
        <f>IFERROR(__xludf.DUMMYFUNCTION("""COMPUTED_VALUE"""),43249.0)</f>
        <v>43249</v>
      </c>
      <c r="I101" s="2">
        <f>IFERROR(__xludf.DUMMYFUNCTION("""COMPUTED_VALUE"""),43311.0)</f>
        <v>43311</v>
      </c>
    </row>
    <row r="102">
      <c r="A102" t="str">
        <f>IFERROR(__xludf.DUMMYFUNCTION("""COMPUTED_VALUE"""),"Summary of 706 Movies on Chart:")</f>
        <v>Summary of 706 Movies on Chart:</v>
      </c>
      <c r="B102" t="str">
        <f>IFERROR(__xludf.DUMMYFUNCTION("""COMPUTED_VALUE"""),"")</f>
        <v/>
      </c>
      <c r="C102" t="str">
        <f>IFERROR(__xludf.DUMMYFUNCTION("""COMPUTED_VALUE"""),"")</f>
        <v/>
      </c>
      <c r="D102" t="str">
        <f>IFERROR(__xludf.DUMMYFUNCTION("""COMPUTED_VALUE"""),"")</f>
        <v/>
      </c>
      <c r="E102" t="str">
        <f>IFERROR(__xludf.DUMMYFUNCTION("""COMPUTED_VALUE"""),"")</f>
        <v/>
      </c>
      <c r="F102" t="str">
        <f>IFERROR(__xludf.DUMMYFUNCTION("""COMPUTED_VALUE"""),"")</f>
        <v/>
      </c>
      <c r="G102" t="str">
        <f>IFERROR(__xludf.DUMMYFUNCTION("""COMPUTED_VALUE"""),"")</f>
        <v/>
      </c>
      <c r="H102" t="str">
        <f>IFERROR(__xludf.DUMMYFUNCTION("""COMPUTED_VALUE"""),"")</f>
        <v/>
      </c>
      <c r="I102" t="str">
        <f>IFERROR(__xludf.DUMMYFUNCTION("""COMPUTED_VALUE"""),"")</f>
        <v/>
      </c>
    </row>
    <row r="103">
      <c r="A103" t="str">
        <f>IFERROR(__xludf.DUMMYFUNCTION("""COMPUTED_VALUE"""),"Totals:")</f>
        <v>Totals:</v>
      </c>
      <c r="B103" t="str">
        <f>IFERROR(__xludf.DUMMYFUNCTION("""COMPUTED_VALUE"""),"$11,098,754,924")</f>
        <v>$11,098,754,924</v>
      </c>
      <c r="C103" t="str">
        <f>IFERROR(__xludf.DUMMYFUNCTION("""COMPUTED_VALUE"""),"-")</f>
        <v>-</v>
      </c>
      <c r="D103" t="str">
        <f>IFERROR(__xludf.DUMMYFUNCTION("""COMPUTED_VALUE"""),"-")</f>
        <v>-</v>
      </c>
      <c r="E103" t="str">
        <f>IFERROR(__xludf.DUMMYFUNCTION("""COMPUTED_VALUE"""),"-")</f>
        <v>-</v>
      </c>
      <c r="F103" t="str">
        <f>IFERROR(__xludf.DUMMYFUNCTION("""COMPUTED_VALUE"""),"-")</f>
        <v>-</v>
      </c>
      <c r="G103" t="str">
        <f>IFERROR(__xludf.DUMMYFUNCTION("""COMPUTED_VALUE"""),"-")</f>
        <v>-</v>
      </c>
      <c r="H103" t="str">
        <f>IFERROR(__xludf.DUMMYFUNCTION("""COMPUTED_VALUE"""),"")</f>
        <v/>
      </c>
      <c r="I103" t="str">
        <f>IFERROR(__xludf.DUMMYFUNCTION("""COMPUTED_VALUE"""),"")</f>
        <v/>
      </c>
    </row>
    <row r="104">
      <c r="A104" t="str">
        <f>IFERROR(__xludf.DUMMYFUNCTION("""COMPUTED_VALUE"""),"Averages:")</f>
        <v>Averages:</v>
      </c>
      <c r="B104" t="str">
        <f>IFERROR(__xludf.DUMMYFUNCTION("""COMPUTED_VALUE"""),"$15,720,616")</f>
        <v>$15,720,616</v>
      </c>
      <c r="C104" t="str">
        <f>IFERROR(__xludf.DUMMYFUNCTION("""COMPUTED_VALUE"""),"-")</f>
        <v>-</v>
      </c>
      <c r="D104" t="str">
        <f>IFERROR(__xludf.DUMMYFUNCTION("""COMPUTED_VALUE"""),"-")</f>
        <v>-</v>
      </c>
      <c r="E104" t="str">
        <f>IFERROR(__xludf.DUMMYFUNCTION("""COMPUTED_VALUE"""),"-")</f>
        <v>-</v>
      </c>
      <c r="F104" t="str">
        <f>IFERROR(__xludf.DUMMYFUNCTION("""COMPUTED_VALUE"""),"-")</f>
        <v>-</v>
      </c>
      <c r="G104" t="str">
        <f>IFERROR(__xludf.DUMMYFUNCTION("""COMPUTED_VALUE"""),"-")</f>
        <v>-</v>
      </c>
      <c r="H104" t="str">
        <f>IFERROR(__xludf.DUMMYFUNCTION("""COMPUTED_VALUE"""),"")</f>
        <v/>
      </c>
      <c r="I104" t="str">
        <f>IFERROR(__xludf.DUMMYFUNCTION("""COMPUTED_VALUE"""),"")</f>
        <v/>
      </c>
    </row>
    <row r="105">
      <c r="A105" t="str">
        <f>IFERROR(__xludf.DUMMYFUNCTION("""COMPUTED_VALUE"""),"")</f>
        <v/>
      </c>
      <c r="B105" t="str">
        <f>IFERROR(__xludf.DUMMYFUNCTION("""COMPUTED_VALUE"""),"")</f>
        <v/>
      </c>
      <c r="C105" t="str">
        <f>IFERROR(__xludf.DUMMYFUNCTION("""COMPUTED_VALUE"""),"")</f>
        <v/>
      </c>
      <c r="D105" t="str">
        <f>IFERROR(__xludf.DUMMYFUNCTION("""COMPUTED_VALUE"""),"")</f>
        <v/>
      </c>
      <c r="E105" t="str">
        <f>IFERROR(__xludf.DUMMYFUNCTION("""COMPUTED_VALUE"""),"")</f>
        <v/>
      </c>
      <c r="F105" t="str">
        <f>IFERROR(__xludf.DUMMYFUNCTION("""COMPUTED_VALUE"""),"")</f>
        <v/>
      </c>
      <c r="G105" t="str">
        <f>IFERROR(__xludf.DUMMYFUNCTION("""COMPUTED_VALUE"""),"")</f>
        <v/>
      </c>
      <c r="H105" t="str">
        <f>IFERROR(__xludf.DUMMYFUNCTION("""COMPUTED_VALUE"""),"")</f>
        <v/>
      </c>
      <c r="I105" t="str">
        <f>IFERROR(__xludf.DUMMYFUNCTION("""COMPUTED_VALUE"""),"")</f>
        <v/>
      </c>
    </row>
    <row r="106">
      <c r="A106" t="str">
        <f>IFERROR(__xludf.DUMMYFUNCTION("""COMPUTED_VALUE"""),"Next Year &gt;")</f>
        <v>Next Year &gt;</v>
      </c>
      <c r="B106" t="str">
        <f>IFERROR(__xludf.DUMMYFUNCTION("""COMPUTED_VALUE"""),"")</f>
        <v/>
      </c>
      <c r="C106" t="str">
        <f>IFERROR(__xludf.DUMMYFUNCTION("""COMPUTED_VALUE"""),"")</f>
        <v/>
      </c>
      <c r="D106" t="str">
        <f>IFERROR(__xludf.DUMMYFUNCTION("""COMPUTED_VALUE"""),"")</f>
        <v/>
      </c>
      <c r="E106" t="str">
        <f>IFERROR(__xludf.DUMMYFUNCTION("""COMPUTED_VALUE"""),"")</f>
        <v/>
      </c>
      <c r="F106" t="str">
        <f>IFERROR(__xludf.DUMMYFUNCTION("""COMPUTED_VALUE"""),"")</f>
        <v/>
      </c>
      <c r="G106" t="str">
        <f>IFERROR(__xludf.DUMMYFUNCTION("""COMPUTED_VALUE"""),"")</f>
        <v/>
      </c>
      <c r="H106" t="str">
        <f>IFERROR(__xludf.DUMMYFUNCTION("""COMPUTED_VALUE"""),"")</f>
        <v/>
      </c>
      <c r="I106" t="str">
        <f>IFERROR(__xludf.DUMMYFUNCTION("""COMPUTED_VALUE"""),"")</f>
        <v/>
      </c>
    </row>
  </sheetData>
  <drawing r:id="rId1"/>
</worksheet>
</file>