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64" xfId="0" applyFont="1" applyNumberForma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IFERROR(__xludf.DUMMYFUNCTION("importxml(""https://www.boxofficemojo.com/yearly/chart/?view=releasedate&amp;view2=domestic&amp;yr=2016&amp;sort=gross&amp;order=DESC&amp;p=.htm"", ""//*[@id='body']/table[3]/tr/td[1]/table[1]/tr/td[2]/table[1]/tr/td/table[1]/tr/td/table[1]/tr"")"),"Total Gross /Theaters")</f>
        <v>Total Gross /Theaters</v>
      </c>
      <c r="B1" t="str">
        <f>IFERROR(__xludf.DUMMYFUNCTION("""COMPUTED_VALUE"""),"Opening /Theaters")</f>
        <v>Opening /Theaters</v>
      </c>
      <c r="C1" t="str">
        <f>IFERROR(__xludf.DUMMYFUNCTION("""COMPUTED_VALUE"""),"Open")</f>
        <v>Open</v>
      </c>
      <c r="D1" t="str">
        <f>IFERROR(__xludf.DUMMYFUNCTION("""COMPUTED_VALUE"""),"Close")</f>
        <v>Close</v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IFERROR(__xludf.DUMMYFUNCTION("""COMPUTED_VALUE"""),"")</f>
        <v/>
      </c>
      <c r="I1" t="str">
        <f>IFERROR(__xludf.DUMMYFUNCTION("""COMPUTED_VALUE"""),"")</f>
        <v/>
      </c>
    </row>
    <row r="2">
      <c r="A2">
        <f>IFERROR(__xludf.DUMMYFUNCTION("""COMPUTED_VALUE"""),1.0)</f>
        <v>1</v>
      </c>
      <c r="B2" t="str">
        <f>IFERROR(__xludf.DUMMYFUNCTION("""COMPUTED_VALUE"""),"Rogue One: A Star Wars Story")</f>
        <v>Rogue One: A Star Wars Story</v>
      </c>
      <c r="C2" t="str">
        <f>IFERROR(__xludf.DUMMYFUNCTION("""COMPUTED_VALUE"""),"BV")</f>
        <v>BV</v>
      </c>
      <c r="D2" t="str">
        <f>IFERROR(__xludf.DUMMYFUNCTION("""COMPUTED_VALUE"""),"$532,177,324")</f>
        <v>$532,177,324</v>
      </c>
      <c r="E2" s="1">
        <f>IFERROR(__xludf.DUMMYFUNCTION("""COMPUTED_VALUE"""),4157.0)</f>
        <v>4157</v>
      </c>
      <c r="F2" t="str">
        <f>IFERROR(__xludf.DUMMYFUNCTION("""COMPUTED_VALUE"""),"$155,081,681")</f>
        <v>$155,081,681</v>
      </c>
      <c r="G2" s="1">
        <f>IFERROR(__xludf.DUMMYFUNCTION("""COMPUTED_VALUE"""),4157.0)</f>
        <v>4157</v>
      </c>
      <c r="H2" s="2">
        <f>IFERROR(__xludf.DUMMYFUNCTION("""COMPUTED_VALUE"""),43450.0)</f>
        <v>43450</v>
      </c>
      <c r="I2" s="2">
        <f>IFERROR(__xludf.DUMMYFUNCTION("""COMPUTED_VALUE"""),43224.0)</f>
        <v>43224</v>
      </c>
      <c r="J2" s="3" t="str">
        <f>IFERROR(__xludf.DUMMYFUNCTION("importxml(""https://www.boxofficemojo.com/yearly/chart/?view=releasedate&amp;view2=domestic&amp;yr=2016&amp;sort=gross&amp;order=DESC&amp;p=.htm"", ""//*[@id='body']/table[3]/tr/td[1]/table[1]/tr/td[2]/table[1]/tr/td/table[1]/tr/td/table[1]/tr/td[2]/b/a/@href"")"),"/movies/?id=starwars2016.htm")</f>
        <v>/movies/?id=starwars2016.htm</v>
      </c>
    </row>
    <row r="3">
      <c r="A3">
        <f>IFERROR(__xludf.DUMMYFUNCTION("""COMPUTED_VALUE"""),2.0)</f>
        <v>2</v>
      </c>
      <c r="B3" t="str">
        <f>IFERROR(__xludf.DUMMYFUNCTION("""COMPUTED_VALUE"""),"Finding Dory")</f>
        <v>Finding Dory</v>
      </c>
      <c r="C3" t="str">
        <f>IFERROR(__xludf.DUMMYFUNCTION("""COMPUTED_VALUE"""),"BV")</f>
        <v>BV</v>
      </c>
      <c r="D3" t="str">
        <f>IFERROR(__xludf.DUMMYFUNCTION("""COMPUTED_VALUE"""),"$486,295,561")</f>
        <v>$486,295,561</v>
      </c>
      <c r="E3" s="1">
        <f>IFERROR(__xludf.DUMMYFUNCTION("""COMPUTED_VALUE"""),4305.0)</f>
        <v>4305</v>
      </c>
      <c r="F3" t="str">
        <f>IFERROR(__xludf.DUMMYFUNCTION("""COMPUTED_VALUE"""),"$135,060,273")</f>
        <v>$135,060,273</v>
      </c>
      <c r="G3" s="1">
        <f>IFERROR(__xludf.DUMMYFUNCTION("""COMPUTED_VALUE"""),4305.0)</f>
        <v>4305</v>
      </c>
      <c r="H3" s="2">
        <f>IFERROR(__xludf.DUMMYFUNCTION("""COMPUTED_VALUE"""),43268.0)</f>
        <v>43268</v>
      </c>
      <c r="I3" s="2">
        <f>IFERROR(__xludf.DUMMYFUNCTION("""COMPUTED_VALUE"""),43442.0)</f>
        <v>43442</v>
      </c>
      <c r="J3" t="str">
        <f>IFERROR(__xludf.DUMMYFUNCTION("""COMPUTED_VALUE"""),"/movies/?id=pixar2015.htm")</f>
        <v>/movies/?id=pixar2015.htm</v>
      </c>
    </row>
    <row r="4">
      <c r="A4">
        <f>IFERROR(__xludf.DUMMYFUNCTION("""COMPUTED_VALUE"""),3.0)</f>
        <v>3</v>
      </c>
      <c r="B4" t="str">
        <f>IFERROR(__xludf.DUMMYFUNCTION("""COMPUTED_VALUE"""),"Captain America: Civil War")</f>
        <v>Captain America: Civil War</v>
      </c>
      <c r="C4" t="str">
        <f>IFERROR(__xludf.DUMMYFUNCTION("""COMPUTED_VALUE"""),"BV")</f>
        <v>BV</v>
      </c>
      <c r="D4" t="str">
        <f>IFERROR(__xludf.DUMMYFUNCTION("""COMPUTED_VALUE"""),"$408,084,349")</f>
        <v>$408,084,349</v>
      </c>
      <c r="E4" s="1">
        <f>IFERROR(__xludf.DUMMYFUNCTION("""COMPUTED_VALUE"""),4226.0)</f>
        <v>4226</v>
      </c>
      <c r="F4" t="str">
        <f>IFERROR(__xludf.DUMMYFUNCTION("""COMPUTED_VALUE"""),"$179,139,142")</f>
        <v>$179,139,142</v>
      </c>
      <c r="G4" s="1">
        <f>IFERROR(__xludf.DUMMYFUNCTION("""COMPUTED_VALUE"""),4226.0)</f>
        <v>4226</v>
      </c>
      <c r="H4" s="2">
        <f>IFERROR(__xludf.DUMMYFUNCTION("""COMPUTED_VALUE"""),43226.0)</f>
        <v>43226</v>
      </c>
      <c r="I4" s="2">
        <f>IFERROR(__xludf.DUMMYFUNCTION("""COMPUTED_VALUE"""),43365.0)</f>
        <v>43365</v>
      </c>
      <c r="J4" t="str">
        <f>IFERROR(__xludf.DUMMYFUNCTION("""COMPUTED_VALUE"""),"/movies/?id=marvel2016.htm")</f>
        <v>/movies/?id=marvel2016.htm</v>
      </c>
    </row>
    <row r="5">
      <c r="A5">
        <f>IFERROR(__xludf.DUMMYFUNCTION("""COMPUTED_VALUE"""),4.0)</f>
        <v>4</v>
      </c>
      <c r="B5" t="str">
        <f>IFERROR(__xludf.DUMMYFUNCTION("""COMPUTED_VALUE"""),"The Secret Life of Pets")</f>
        <v>The Secret Life of Pets</v>
      </c>
      <c r="C5" t="str">
        <f>IFERROR(__xludf.DUMMYFUNCTION("""COMPUTED_VALUE"""),"Uni.")</f>
        <v>Uni.</v>
      </c>
      <c r="D5" t="str">
        <f>IFERROR(__xludf.DUMMYFUNCTION("""COMPUTED_VALUE"""),"$368,384,330")</f>
        <v>$368,384,330</v>
      </c>
      <c r="E5" s="1">
        <f>IFERROR(__xludf.DUMMYFUNCTION("""COMPUTED_VALUE"""),4381.0)</f>
        <v>4381</v>
      </c>
      <c r="F5" t="str">
        <f>IFERROR(__xludf.DUMMYFUNCTION("""COMPUTED_VALUE"""),"$104,352,905")</f>
        <v>$104,352,905</v>
      </c>
      <c r="G5" s="1">
        <f>IFERROR(__xludf.DUMMYFUNCTION("""COMPUTED_VALUE"""),4370.0)</f>
        <v>4370</v>
      </c>
      <c r="H5" s="2">
        <f>IFERROR(__xludf.DUMMYFUNCTION("""COMPUTED_VALUE"""),43289.0)</f>
        <v>43289</v>
      </c>
      <c r="I5" s="2">
        <f>IFERROR(__xludf.DUMMYFUNCTION("""COMPUTED_VALUE"""),43463.0)</f>
        <v>43463</v>
      </c>
      <c r="J5" t="str">
        <f>IFERROR(__xludf.DUMMYFUNCTION("""COMPUTED_VALUE"""),"/movies/?id=illumination2015.htm")</f>
        <v>/movies/?id=illumination2015.htm</v>
      </c>
    </row>
    <row r="6">
      <c r="A6">
        <f>IFERROR(__xludf.DUMMYFUNCTION("""COMPUTED_VALUE"""),5.0)</f>
        <v>5</v>
      </c>
      <c r="B6" t="str">
        <f>IFERROR(__xludf.DUMMYFUNCTION("""COMPUTED_VALUE"""),"The Jungle Book (2016)")</f>
        <v>The Jungle Book (2016)</v>
      </c>
      <c r="C6" t="str">
        <f>IFERROR(__xludf.DUMMYFUNCTION("""COMPUTED_VALUE"""),"BV")</f>
        <v>BV</v>
      </c>
      <c r="D6" t="str">
        <f>IFERROR(__xludf.DUMMYFUNCTION("""COMPUTED_VALUE"""),"$364,001,123")</f>
        <v>$364,001,123</v>
      </c>
      <c r="E6" s="1">
        <f>IFERROR(__xludf.DUMMYFUNCTION("""COMPUTED_VALUE"""),4144.0)</f>
        <v>4144</v>
      </c>
      <c r="F6" t="str">
        <f>IFERROR(__xludf.DUMMYFUNCTION("""COMPUTED_VALUE"""),"$103,261,464")</f>
        <v>$103,261,464</v>
      </c>
      <c r="G6" s="1">
        <f>IFERROR(__xludf.DUMMYFUNCTION("""COMPUTED_VALUE"""),4028.0)</f>
        <v>4028</v>
      </c>
      <c r="H6" s="2">
        <f>IFERROR(__xludf.DUMMYFUNCTION("""COMPUTED_VALUE"""),43205.0)</f>
        <v>43205</v>
      </c>
      <c r="I6" s="2">
        <f>IFERROR(__xludf.DUMMYFUNCTION("""COMPUTED_VALUE"""),43372.0)</f>
        <v>43372</v>
      </c>
      <c r="J6" t="str">
        <f>IFERROR(__xludf.DUMMYFUNCTION("""COMPUTED_VALUE"""),"/movies/?id=junglebook2015.htm")</f>
        <v>/movies/?id=junglebook2015.htm</v>
      </c>
    </row>
    <row r="7">
      <c r="A7">
        <f>IFERROR(__xludf.DUMMYFUNCTION("""COMPUTED_VALUE"""),6.0)</f>
        <v>6</v>
      </c>
      <c r="B7" t="str">
        <f>IFERROR(__xludf.DUMMYFUNCTION("""COMPUTED_VALUE"""),"Deadpool")</f>
        <v>Deadpool</v>
      </c>
      <c r="C7" t="str">
        <f>IFERROR(__xludf.DUMMYFUNCTION("""COMPUTED_VALUE"""),"Fox")</f>
        <v>Fox</v>
      </c>
      <c r="D7" t="str">
        <f>IFERROR(__xludf.DUMMYFUNCTION("""COMPUTED_VALUE"""),"$363,070,709")</f>
        <v>$363,070,709</v>
      </c>
      <c r="E7" s="1">
        <f>IFERROR(__xludf.DUMMYFUNCTION("""COMPUTED_VALUE"""),3856.0)</f>
        <v>3856</v>
      </c>
      <c r="F7" t="str">
        <f>IFERROR(__xludf.DUMMYFUNCTION("""COMPUTED_VALUE"""),"$132,434,639")</f>
        <v>$132,434,639</v>
      </c>
      <c r="G7" s="1">
        <f>IFERROR(__xludf.DUMMYFUNCTION("""COMPUTED_VALUE"""),3558.0)</f>
        <v>3558</v>
      </c>
      <c r="H7" s="2">
        <f>IFERROR(__xludf.DUMMYFUNCTION("""COMPUTED_VALUE"""),43143.0)</f>
        <v>43143</v>
      </c>
      <c r="I7" s="2">
        <f>IFERROR(__xludf.DUMMYFUNCTION("""COMPUTED_VALUE"""),43267.0)</f>
        <v>43267</v>
      </c>
      <c r="J7" t="str">
        <f>IFERROR(__xludf.DUMMYFUNCTION("""COMPUTED_VALUE"""),"/movies/?id=deadpool2016.htm")</f>
        <v>/movies/?id=deadpool2016.htm</v>
      </c>
    </row>
    <row r="8">
      <c r="A8">
        <f>IFERROR(__xludf.DUMMYFUNCTION("""COMPUTED_VALUE"""),7.0)</f>
        <v>7</v>
      </c>
      <c r="B8" t="str">
        <f>IFERROR(__xludf.DUMMYFUNCTION("""COMPUTED_VALUE"""),"Zootopia")</f>
        <v>Zootopia</v>
      </c>
      <c r="C8" t="str">
        <f>IFERROR(__xludf.DUMMYFUNCTION("""COMPUTED_VALUE"""),"BV")</f>
        <v>BV</v>
      </c>
      <c r="D8" t="str">
        <f>IFERROR(__xludf.DUMMYFUNCTION("""COMPUTED_VALUE"""),"$341,268,248")</f>
        <v>$341,268,248</v>
      </c>
      <c r="E8" s="1">
        <f>IFERROR(__xludf.DUMMYFUNCTION("""COMPUTED_VALUE"""),3959.0)</f>
        <v>3959</v>
      </c>
      <c r="F8" t="str">
        <f>IFERROR(__xludf.DUMMYFUNCTION("""COMPUTED_VALUE"""),"$75,063,401")</f>
        <v>$75,063,401</v>
      </c>
      <c r="G8" s="1">
        <f>IFERROR(__xludf.DUMMYFUNCTION("""COMPUTED_VALUE"""),3827.0)</f>
        <v>3827</v>
      </c>
      <c r="H8" s="2">
        <f>IFERROR(__xludf.DUMMYFUNCTION("""COMPUTED_VALUE"""),43163.0)</f>
        <v>43163</v>
      </c>
      <c r="I8" s="2">
        <f>IFERROR(__xludf.DUMMYFUNCTION("""COMPUTED_VALUE"""),43316.0)</f>
        <v>43316</v>
      </c>
      <c r="J8" t="str">
        <f>IFERROR(__xludf.DUMMYFUNCTION("""COMPUTED_VALUE"""),"/movies/?id=disney2016.htm")</f>
        <v>/movies/?id=disney2016.htm</v>
      </c>
    </row>
    <row r="9">
      <c r="A9">
        <f>IFERROR(__xludf.DUMMYFUNCTION("""COMPUTED_VALUE"""),8.0)</f>
        <v>8</v>
      </c>
      <c r="B9" t="str">
        <f>IFERROR(__xludf.DUMMYFUNCTION("""COMPUTED_VALUE"""),"Batman v Superman: Dawn of Justice")</f>
        <v>Batman v Superman: Dawn of Justice</v>
      </c>
      <c r="C9" t="str">
        <f>IFERROR(__xludf.DUMMYFUNCTION("""COMPUTED_VALUE"""),"WB")</f>
        <v>WB</v>
      </c>
      <c r="D9" t="str">
        <f>IFERROR(__xludf.DUMMYFUNCTION("""COMPUTED_VALUE"""),"$330,360,194")</f>
        <v>$330,360,194</v>
      </c>
      <c r="E9" s="1">
        <f>IFERROR(__xludf.DUMMYFUNCTION("""COMPUTED_VALUE"""),4256.0)</f>
        <v>4256</v>
      </c>
      <c r="F9" t="str">
        <f>IFERROR(__xludf.DUMMYFUNCTION("""COMPUTED_VALUE"""),"$166,007,347")</f>
        <v>$166,007,347</v>
      </c>
      <c r="G9" s="1">
        <f>IFERROR(__xludf.DUMMYFUNCTION("""COMPUTED_VALUE"""),4242.0)</f>
        <v>4242</v>
      </c>
      <c r="H9" s="2">
        <f>IFERROR(__xludf.DUMMYFUNCTION("""COMPUTED_VALUE"""),43184.0)</f>
        <v>43184</v>
      </c>
      <c r="I9" s="2">
        <f>IFERROR(__xludf.DUMMYFUNCTION("""COMPUTED_VALUE"""),43267.0)</f>
        <v>43267</v>
      </c>
      <c r="J9" t="str">
        <f>IFERROR(__xludf.DUMMYFUNCTION("""COMPUTED_VALUE"""),"/movies/?id=superman2015.htm")</f>
        <v>/movies/?id=superman2015.htm</v>
      </c>
    </row>
    <row r="10">
      <c r="A10">
        <f>IFERROR(__xludf.DUMMYFUNCTION("""COMPUTED_VALUE"""),9.0)</f>
        <v>9</v>
      </c>
      <c r="B10" t="str">
        <f>IFERROR(__xludf.DUMMYFUNCTION("""COMPUTED_VALUE"""),"Suicide Squad")</f>
        <v>Suicide Squad</v>
      </c>
      <c r="C10" t="str">
        <f>IFERROR(__xludf.DUMMYFUNCTION("""COMPUTED_VALUE"""),"WB")</f>
        <v>WB</v>
      </c>
      <c r="D10" t="str">
        <f>IFERROR(__xludf.DUMMYFUNCTION("""COMPUTED_VALUE"""),"$325,100,054")</f>
        <v>$325,100,054</v>
      </c>
      <c r="E10" s="1">
        <f>IFERROR(__xludf.DUMMYFUNCTION("""COMPUTED_VALUE"""),4255.0)</f>
        <v>4255</v>
      </c>
      <c r="F10" t="str">
        <f>IFERROR(__xludf.DUMMYFUNCTION("""COMPUTED_VALUE"""),"$133,682,248")</f>
        <v>$133,682,248</v>
      </c>
      <c r="G10" s="1">
        <f>IFERROR(__xludf.DUMMYFUNCTION("""COMPUTED_VALUE"""),4255.0)</f>
        <v>4255</v>
      </c>
      <c r="H10" s="2">
        <f>IFERROR(__xludf.DUMMYFUNCTION("""COMPUTED_VALUE"""),43317.0)</f>
        <v>43317</v>
      </c>
      <c r="I10" s="2">
        <f>IFERROR(__xludf.DUMMYFUNCTION("""COMPUTED_VALUE"""),43414.0)</f>
        <v>43414</v>
      </c>
      <c r="J10" t="str">
        <f>IFERROR(__xludf.DUMMYFUNCTION("""COMPUTED_VALUE"""),"/movies/?id=dc2016.htm")</f>
        <v>/movies/?id=dc2016.htm</v>
      </c>
    </row>
    <row r="11">
      <c r="A11">
        <f>IFERROR(__xludf.DUMMYFUNCTION("""COMPUTED_VALUE"""),10.0)</f>
        <v>10</v>
      </c>
      <c r="B11" t="str">
        <f>IFERROR(__xludf.DUMMYFUNCTION("""COMPUTED_VALUE"""),"Sing")</f>
        <v>Sing</v>
      </c>
      <c r="C11" t="str">
        <f>IFERROR(__xludf.DUMMYFUNCTION("""COMPUTED_VALUE"""),"Uni.")</f>
        <v>Uni.</v>
      </c>
      <c r="D11" t="str">
        <f>IFERROR(__xludf.DUMMYFUNCTION("""COMPUTED_VALUE"""),"$270,395,425")</f>
        <v>$270,395,425</v>
      </c>
      <c r="E11" s="1">
        <f>IFERROR(__xludf.DUMMYFUNCTION("""COMPUTED_VALUE"""),4029.0)</f>
        <v>4029</v>
      </c>
      <c r="F11" t="str">
        <f>IFERROR(__xludf.DUMMYFUNCTION("""COMPUTED_VALUE"""),"$35,258,145")</f>
        <v>$35,258,145</v>
      </c>
      <c r="G11" s="1">
        <f>IFERROR(__xludf.DUMMYFUNCTION("""COMPUTED_VALUE"""),4022.0)</f>
        <v>4022</v>
      </c>
      <c r="H11" s="2">
        <f>IFERROR(__xludf.DUMMYFUNCTION("""COMPUTED_VALUE"""),43455.0)</f>
        <v>43455</v>
      </c>
      <c r="I11" s="2">
        <f>IFERROR(__xludf.DUMMYFUNCTION("""COMPUTED_VALUE"""),43231.0)</f>
        <v>43231</v>
      </c>
      <c r="J11" t="str">
        <f>IFERROR(__xludf.DUMMYFUNCTION("""COMPUTED_VALUE"""),"/movies/?id=illumination2016.htm")</f>
        <v>/movies/?id=illumination2016.htm</v>
      </c>
    </row>
    <row r="12">
      <c r="A12">
        <f>IFERROR(__xludf.DUMMYFUNCTION("""COMPUTED_VALUE"""),11.0)</f>
        <v>11</v>
      </c>
      <c r="B12" t="str">
        <f>IFERROR(__xludf.DUMMYFUNCTION("""COMPUTED_VALUE"""),"Moana")</f>
        <v>Moana</v>
      </c>
      <c r="C12" t="str">
        <f>IFERROR(__xludf.DUMMYFUNCTION("""COMPUTED_VALUE"""),"BV")</f>
        <v>BV</v>
      </c>
      <c r="D12" t="str">
        <f>IFERROR(__xludf.DUMMYFUNCTION("""COMPUTED_VALUE"""),"$248,757,044")</f>
        <v>$248,757,044</v>
      </c>
      <c r="E12" s="1">
        <f>IFERROR(__xludf.DUMMYFUNCTION("""COMPUTED_VALUE"""),3875.0)</f>
        <v>3875</v>
      </c>
      <c r="F12" t="str">
        <f>IFERROR(__xludf.DUMMYFUNCTION("""COMPUTED_VALUE"""),"$56,631,401")</f>
        <v>$56,631,401</v>
      </c>
      <c r="G12" s="1">
        <f>IFERROR(__xludf.DUMMYFUNCTION("""COMPUTED_VALUE"""),3875.0)</f>
        <v>3875</v>
      </c>
      <c r="H12" s="2">
        <f>IFERROR(__xludf.DUMMYFUNCTION("""COMPUTED_VALUE"""),43427.0)</f>
        <v>43427</v>
      </c>
      <c r="I12" s="2">
        <f>IFERROR(__xludf.DUMMYFUNCTION("""COMPUTED_VALUE"""),43217.0)</f>
        <v>43217</v>
      </c>
      <c r="J12" t="str">
        <f>IFERROR(__xludf.DUMMYFUNCTION("""COMPUTED_VALUE"""),"/movies/?id=disney1116.htm")</f>
        <v>/movies/?id=disney1116.htm</v>
      </c>
    </row>
    <row r="13">
      <c r="A13">
        <f>IFERROR(__xludf.DUMMYFUNCTION("""COMPUTED_VALUE"""),12.0)</f>
        <v>12</v>
      </c>
      <c r="B13" t="str">
        <f>IFERROR(__xludf.DUMMYFUNCTION("""COMPUTED_VALUE"""),"Fantastic Beasts and Where To Find Them")</f>
        <v>Fantastic Beasts and Where To Find Them</v>
      </c>
      <c r="C13" t="str">
        <f>IFERROR(__xludf.DUMMYFUNCTION("""COMPUTED_VALUE"""),"WB")</f>
        <v>WB</v>
      </c>
      <c r="D13" t="str">
        <f>IFERROR(__xludf.DUMMYFUNCTION("""COMPUTED_VALUE"""),"$234,037,575")</f>
        <v>$234,037,575</v>
      </c>
      <c r="E13" s="1">
        <f>IFERROR(__xludf.DUMMYFUNCTION("""COMPUTED_VALUE"""),4144.0)</f>
        <v>4144</v>
      </c>
      <c r="F13" t="str">
        <f>IFERROR(__xludf.DUMMYFUNCTION("""COMPUTED_VALUE"""),"$74,403,387")</f>
        <v>$74,403,387</v>
      </c>
      <c r="G13" s="1">
        <f>IFERROR(__xludf.DUMMYFUNCTION("""COMPUTED_VALUE"""),4144.0)</f>
        <v>4144</v>
      </c>
      <c r="H13" s="2">
        <f>IFERROR(__xludf.DUMMYFUNCTION("""COMPUTED_VALUE"""),43422.0)</f>
        <v>43422</v>
      </c>
      <c r="I13" s="2">
        <f>IFERROR(__xludf.DUMMYFUNCTION("""COMPUTED_VALUE"""),43189.0)</f>
        <v>43189</v>
      </c>
      <c r="J13" t="str">
        <f>IFERROR(__xludf.DUMMYFUNCTION("""COMPUTED_VALUE"""),"/movies/?id=fantasticbeasts.htm")</f>
        <v>/movies/?id=fantasticbeasts.htm</v>
      </c>
    </row>
    <row r="14">
      <c r="A14">
        <f>IFERROR(__xludf.DUMMYFUNCTION("""COMPUTED_VALUE"""),13.0)</f>
        <v>13</v>
      </c>
      <c r="B14" t="str">
        <f>IFERROR(__xludf.DUMMYFUNCTION("""COMPUTED_VALUE"""),"Doctor Strange")</f>
        <v>Doctor Strange</v>
      </c>
      <c r="C14" t="str">
        <f>IFERROR(__xludf.DUMMYFUNCTION("""COMPUTED_VALUE"""),"BV")</f>
        <v>BV</v>
      </c>
      <c r="D14" t="str">
        <f>IFERROR(__xludf.DUMMYFUNCTION("""COMPUTED_VALUE"""),"$232,641,920")</f>
        <v>$232,641,920</v>
      </c>
      <c r="E14" s="1">
        <f>IFERROR(__xludf.DUMMYFUNCTION("""COMPUTED_VALUE"""),3882.0)</f>
        <v>3882</v>
      </c>
      <c r="F14" t="str">
        <f>IFERROR(__xludf.DUMMYFUNCTION("""COMPUTED_VALUE"""),"$85,058,311")</f>
        <v>$85,058,311</v>
      </c>
      <c r="G14" s="1">
        <f>IFERROR(__xludf.DUMMYFUNCTION("""COMPUTED_VALUE"""),3882.0)</f>
        <v>3882</v>
      </c>
      <c r="H14" s="2">
        <f>IFERROR(__xludf.DUMMYFUNCTION("""COMPUTED_VALUE"""),43408.0)</f>
        <v>43408</v>
      </c>
      <c r="I14" s="2">
        <f>IFERROR(__xludf.DUMMYFUNCTION("""COMPUTED_VALUE"""),43175.0)</f>
        <v>43175</v>
      </c>
      <c r="J14" t="str">
        <f>IFERROR(__xludf.DUMMYFUNCTION("""COMPUTED_VALUE"""),"/movies/?id=marvel716.htm")</f>
        <v>/movies/?id=marvel716.htm</v>
      </c>
    </row>
    <row r="15">
      <c r="A15">
        <f>IFERROR(__xludf.DUMMYFUNCTION("""COMPUTED_VALUE"""),14.0)</f>
        <v>14</v>
      </c>
      <c r="B15" t="str">
        <f>IFERROR(__xludf.DUMMYFUNCTION("""COMPUTED_VALUE"""),"Hidden Figures")</f>
        <v>Hidden Figures</v>
      </c>
      <c r="C15" t="str">
        <f>IFERROR(__xludf.DUMMYFUNCTION("""COMPUTED_VALUE"""),"Fox")</f>
        <v>Fox</v>
      </c>
      <c r="D15" t="str">
        <f>IFERROR(__xludf.DUMMYFUNCTION("""COMPUTED_VALUE"""),"$169,607,287")</f>
        <v>$169,607,287</v>
      </c>
      <c r="E15" s="1">
        <f>IFERROR(__xludf.DUMMYFUNCTION("""COMPUTED_VALUE"""),3416.0)</f>
        <v>3416</v>
      </c>
      <c r="F15" t="str">
        <f>IFERROR(__xludf.DUMMYFUNCTION("""COMPUTED_VALUE"""),"$515,499")</f>
        <v>$515,499</v>
      </c>
      <c r="G15">
        <f>IFERROR(__xludf.DUMMYFUNCTION("""COMPUTED_VALUE"""),25.0)</f>
        <v>25</v>
      </c>
      <c r="H15" s="2">
        <f>IFERROR(__xludf.DUMMYFUNCTION("""COMPUTED_VALUE"""),43459.0)</f>
        <v>43459</v>
      </c>
      <c r="I15" s="2">
        <f>IFERROR(__xludf.DUMMYFUNCTION("""COMPUTED_VALUE"""),43413.0)</f>
        <v>43413</v>
      </c>
      <c r="J15" t="str">
        <f>IFERROR(__xludf.DUMMYFUNCTION("""COMPUTED_VALUE"""),"/movies/?id=hiddenfigures.htm")</f>
        <v>/movies/?id=hiddenfigures.htm</v>
      </c>
    </row>
    <row r="16">
      <c r="A16">
        <f>IFERROR(__xludf.DUMMYFUNCTION("""COMPUTED_VALUE"""),15.0)</f>
        <v>15</v>
      </c>
      <c r="B16" t="str">
        <f>IFERROR(__xludf.DUMMYFUNCTION("""COMPUTED_VALUE"""),"Jason Bourne")</f>
        <v>Jason Bourne</v>
      </c>
      <c r="C16" t="str">
        <f>IFERROR(__xludf.DUMMYFUNCTION("""COMPUTED_VALUE"""),"Uni.")</f>
        <v>Uni.</v>
      </c>
      <c r="D16" t="str">
        <f>IFERROR(__xludf.DUMMYFUNCTION("""COMPUTED_VALUE"""),"$162,434,410")</f>
        <v>$162,434,410</v>
      </c>
      <c r="E16" s="1">
        <f>IFERROR(__xludf.DUMMYFUNCTION("""COMPUTED_VALUE"""),4039.0)</f>
        <v>4039</v>
      </c>
      <c r="F16" t="str">
        <f>IFERROR(__xludf.DUMMYFUNCTION("""COMPUTED_VALUE"""),"$59,215,365")</f>
        <v>$59,215,365</v>
      </c>
      <c r="G16" s="1">
        <f>IFERROR(__xludf.DUMMYFUNCTION("""COMPUTED_VALUE"""),4026.0)</f>
        <v>4026</v>
      </c>
      <c r="H16" s="2">
        <f>IFERROR(__xludf.DUMMYFUNCTION("""COMPUTED_VALUE"""),43310.0)</f>
        <v>43310</v>
      </c>
      <c r="I16" s="2">
        <f>IFERROR(__xludf.DUMMYFUNCTION("""COMPUTED_VALUE"""),43456.0)</f>
        <v>43456</v>
      </c>
      <c r="J16" t="str">
        <f>IFERROR(__xludf.DUMMYFUNCTION("""COMPUTED_VALUE"""),"/movies/?id=bourne5.htm")</f>
        <v>/movies/?id=bourne5.htm</v>
      </c>
    </row>
    <row r="17">
      <c r="A17">
        <f>IFERROR(__xludf.DUMMYFUNCTION("""COMPUTED_VALUE"""),16.0)</f>
        <v>16</v>
      </c>
      <c r="B17" t="str">
        <f>IFERROR(__xludf.DUMMYFUNCTION("""COMPUTED_VALUE"""),"Star Trek Beyond")</f>
        <v>Star Trek Beyond</v>
      </c>
      <c r="C17" t="str">
        <f>IFERROR(__xludf.DUMMYFUNCTION("""COMPUTED_VALUE"""),"Par.")</f>
        <v>Par.</v>
      </c>
      <c r="D17" t="str">
        <f>IFERROR(__xludf.DUMMYFUNCTION("""COMPUTED_VALUE"""),"$158,848,340")</f>
        <v>$158,848,340</v>
      </c>
      <c r="E17" s="1">
        <f>IFERROR(__xludf.DUMMYFUNCTION("""COMPUTED_VALUE"""),3928.0)</f>
        <v>3928</v>
      </c>
      <c r="F17" t="str">
        <f>IFERROR(__xludf.DUMMYFUNCTION("""COMPUTED_VALUE"""),"$59,253,211")</f>
        <v>$59,253,211</v>
      </c>
      <c r="G17" s="1">
        <f>IFERROR(__xludf.DUMMYFUNCTION("""COMPUTED_VALUE"""),3928.0)</f>
        <v>3928</v>
      </c>
      <c r="H17" s="2">
        <f>IFERROR(__xludf.DUMMYFUNCTION("""COMPUTED_VALUE"""),43303.0)</f>
        <v>43303</v>
      </c>
      <c r="I17" s="2">
        <f>IFERROR(__xludf.DUMMYFUNCTION("""COMPUTED_VALUE"""),43393.0)</f>
        <v>43393</v>
      </c>
      <c r="J17" t="str">
        <f>IFERROR(__xludf.DUMMYFUNCTION("""COMPUTED_VALUE"""),"/movies/?id=startrek2016.htm")</f>
        <v>/movies/?id=startrek2016.htm</v>
      </c>
    </row>
    <row r="18">
      <c r="A18">
        <f>IFERROR(__xludf.DUMMYFUNCTION("""COMPUTED_VALUE"""),17.0)</f>
        <v>17</v>
      </c>
      <c r="B18" t="str">
        <f>IFERROR(__xludf.DUMMYFUNCTION("""COMPUTED_VALUE"""),"X-Men: Apocalypse")</f>
        <v>X-Men: Apocalypse</v>
      </c>
      <c r="C18" t="str">
        <f>IFERROR(__xludf.DUMMYFUNCTION("""COMPUTED_VALUE"""),"Fox")</f>
        <v>Fox</v>
      </c>
      <c r="D18" t="str">
        <f>IFERROR(__xludf.DUMMYFUNCTION("""COMPUTED_VALUE"""),"$155,442,489")</f>
        <v>$155,442,489</v>
      </c>
      <c r="E18" s="1">
        <f>IFERROR(__xludf.DUMMYFUNCTION("""COMPUTED_VALUE"""),4153.0)</f>
        <v>4153</v>
      </c>
      <c r="F18" t="str">
        <f>IFERROR(__xludf.DUMMYFUNCTION("""COMPUTED_VALUE"""),"$65,769,562")</f>
        <v>$65,769,562</v>
      </c>
      <c r="G18" s="1">
        <f>IFERROR(__xludf.DUMMYFUNCTION("""COMPUTED_VALUE"""),4150.0)</f>
        <v>4150</v>
      </c>
      <c r="H18" s="2">
        <f>IFERROR(__xludf.DUMMYFUNCTION("""COMPUTED_VALUE"""),43247.0)</f>
        <v>43247</v>
      </c>
      <c r="I18" s="2">
        <f>IFERROR(__xludf.DUMMYFUNCTION("""COMPUTED_VALUE"""),43309.0)</f>
        <v>43309</v>
      </c>
      <c r="J18" t="str">
        <f>IFERROR(__xludf.DUMMYFUNCTION("""COMPUTED_VALUE"""),"/movies/?id=x-men2016.htm")</f>
        <v>/movies/?id=x-men2016.htm</v>
      </c>
    </row>
    <row r="19">
      <c r="A19">
        <f>IFERROR(__xludf.DUMMYFUNCTION("""COMPUTED_VALUE"""),18.0)</f>
        <v>18</v>
      </c>
      <c r="B19" t="str">
        <f>IFERROR(__xludf.DUMMYFUNCTION("""COMPUTED_VALUE"""),"Trolls")</f>
        <v>Trolls</v>
      </c>
      <c r="C19" t="str">
        <f>IFERROR(__xludf.DUMMYFUNCTION("""COMPUTED_VALUE"""),"Fox")</f>
        <v>Fox</v>
      </c>
      <c r="D19" t="str">
        <f>IFERROR(__xludf.DUMMYFUNCTION("""COMPUTED_VALUE"""),"$153,707,064")</f>
        <v>$153,707,064</v>
      </c>
      <c r="E19" s="1">
        <f>IFERROR(__xludf.DUMMYFUNCTION("""COMPUTED_VALUE"""),4066.0)</f>
        <v>4066</v>
      </c>
      <c r="F19" t="str">
        <f>IFERROR(__xludf.DUMMYFUNCTION("""COMPUTED_VALUE"""),"$46,581,142")</f>
        <v>$46,581,142</v>
      </c>
      <c r="G19" s="1">
        <f>IFERROR(__xludf.DUMMYFUNCTION("""COMPUTED_VALUE"""),4060.0)</f>
        <v>4060</v>
      </c>
      <c r="H19" s="2">
        <f>IFERROR(__xludf.DUMMYFUNCTION("""COMPUTED_VALUE"""),43408.0)</f>
        <v>43408</v>
      </c>
      <c r="I19" s="2">
        <f>IFERROR(__xludf.DUMMYFUNCTION("""COMPUTED_VALUE"""),43189.0)</f>
        <v>43189</v>
      </c>
      <c r="J19" t="str">
        <f>IFERROR(__xludf.DUMMYFUNCTION("""COMPUTED_VALUE"""),"/movies/?id=trolls.htm")</f>
        <v>/movies/?id=trolls.htm</v>
      </c>
    </row>
    <row r="20">
      <c r="A20">
        <f>IFERROR(__xludf.DUMMYFUNCTION("""COMPUTED_VALUE"""),19.0)</f>
        <v>19</v>
      </c>
      <c r="B20" t="str">
        <f>IFERROR(__xludf.DUMMYFUNCTION("""COMPUTED_VALUE"""),"La La Land")</f>
        <v>La La Land</v>
      </c>
      <c r="C20" t="str">
        <f>IFERROR(__xludf.DUMMYFUNCTION("""COMPUTED_VALUE"""),"LG/S")</f>
        <v>LG/S</v>
      </c>
      <c r="D20" t="str">
        <f>IFERROR(__xludf.DUMMYFUNCTION("""COMPUTED_VALUE"""),"$151,101,803")</f>
        <v>$151,101,803</v>
      </c>
      <c r="E20" s="1">
        <f>IFERROR(__xludf.DUMMYFUNCTION("""COMPUTED_VALUE"""),3236.0)</f>
        <v>3236</v>
      </c>
      <c r="F20" t="str">
        <f>IFERROR(__xludf.DUMMYFUNCTION("""COMPUTED_VALUE"""),"$881,104")</f>
        <v>$881,104</v>
      </c>
      <c r="G20">
        <f>IFERROR(__xludf.DUMMYFUNCTION("""COMPUTED_VALUE"""),5.0)</f>
        <v>5</v>
      </c>
      <c r="H20" s="2">
        <f>IFERROR(__xludf.DUMMYFUNCTION("""COMPUTED_VALUE"""),43443.0)</f>
        <v>43443</v>
      </c>
      <c r="I20" s="2">
        <f>IFERROR(__xludf.DUMMYFUNCTION("""COMPUTED_VALUE"""),43217.0)</f>
        <v>43217</v>
      </c>
      <c r="J20" t="str">
        <f>IFERROR(__xludf.DUMMYFUNCTION("""COMPUTED_VALUE"""),"/movies/?id=lalaland.htm")</f>
        <v>/movies/?id=lalaland.htm</v>
      </c>
    </row>
    <row r="21">
      <c r="A21">
        <f>IFERROR(__xludf.DUMMYFUNCTION("""COMPUTED_VALUE"""),20.0)</f>
        <v>20</v>
      </c>
      <c r="B21" t="str">
        <f>IFERROR(__xludf.DUMMYFUNCTION("""COMPUTED_VALUE"""),"Kung Fu Panda 3")</f>
        <v>Kung Fu Panda 3</v>
      </c>
      <c r="C21" t="str">
        <f>IFERROR(__xludf.DUMMYFUNCTION("""COMPUTED_VALUE"""),"Fox")</f>
        <v>Fox</v>
      </c>
      <c r="D21" t="str">
        <f>IFERROR(__xludf.DUMMYFUNCTION("""COMPUTED_VALUE"""),"$143,528,619")</f>
        <v>$143,528,619</v>
      </c>
      <c r="E21" s="1">
        <f>IFERROR(__xludf.DUMMYFUNCTION("""COMPUTED_VALUE"""),3987.0)</f>
        <v>3987</v>
      </c>
      <c r="F21" t="str">
        <f>IFERROR(__xludf.DUMMYFUNCTION("""COMPUTED_VALUE"""),"$41,282,042")</f>
        <v>$41,282,042</v>
      </c>
      <c r="G21" s="1">
        <f>IFERROR(__xludf.DUMMYFUNCTION("""COMPUTED_VALUE"""),3955.0)</f>
        <v>3955</v>
      </c>
      <c r="H21" s="2">
        <f>IFERROR(__xludf.DUMMYFUNCTION("""COMPUTED_VALUE"""),43129.0)</f>
        <v>43129</v>
      </c>
      <c r="I21" s="2">
        <f>IFERROR(__xludf.DUMMYFUNCTION("""COMPUTED_VALUE"""),43302.0)</f>
        <v>43302</v>
      </c>
      <c r="J21" t="str">
        <f>IFERROR(__xludf.DUMMYFUNCTION("""COMPUTED_VALUE"""),"/movies/?id=kungfupanda3.htm")</f>
        <v>/movies/?id=kungfupanda3.htm</v>
      </c>
    </row>
    <row r="22">
      <c r="A22">
        <f>IFERROR(__xludf.DUMMYFUNCTION("""COMPUTED_VALUE"""),21.0)</f>
        <v>21</v>
      </c>
      <c r="B22" t="str">
        <f>IFERROR(__xludf.DUMMYFUNCTION("""COMPUTED_VALUE"""),"Ghostbusters (2016)")</f>
        <v>Ghostbusters (2016)</v>
      </c>
      <c r="C22" t="str">
        <f>IFERROR(__xludf.DUMMYFUNCTION("""COMPUTED_VALUE"""),"Sony")</f>
        <v>Sony</v>
      </c>
      <c r="D22" t="str">
        <f>IFERROR(__xludf.DUMMYFUNCTION("""COMPUTED_VALUE"""),"$128,350,574")</f>
        <v>$128,350,574</v>
      </c>
      <c r="E22" s="1">
        <f>IFERROR(__xludf.DUMMYFUNCTION("""COMPUTED_VALUE"""),3963.0)</f>
        <v>3963</v>
      </c>
      <c r="F22" t="str">
        <f>IFERROR(__xludf.DUMMYFUNCTION("""COMPUTED_VALUE"""),"$46,018,755")</f>
        <v>$46,018,755</v>
      </c>
      <c r="G22" s="1">
        <f>IFERROR(__xludf.DUMMYFUNCTION("""COMPUTED_VALUE"""),3963.0)</f>
        <v>3963</v>
      </c>
      <c r="H22" s="2">
        <f>IFERROR(__xludf.DUMMYFUNCTION("""COMPUTED_VALUE"""),43296.0)</f>
        <v>43296</v>
      </c>
      <c r="I22" s="2">
        <f>IFERROR(__xludf.DUMMYFUNCTION("""COMPUTED_VALUE"""),43414.0)</f>
        <v>43414</v>
      </c>
      <c r="J22" t="str">
        <f>IFERROR(__xludf.DUMMYFUNCTION("""COMPUTED_VALUE"""),"/movies/?id=ghostbusters2016.htm")</f>
        <v>/movies/?id=ghostbusters2016.htm</v>
      </c>
    </row>
    <row r="23">
      <c r="A23">
        <f>IFERROR(__xludf.DUMMYFUNCTION("""COMPUTED_VALUE"""),22.0)</f>
        <v>22</v>
      </c>
      <c r="B23" t="str">
        <f>IFERROR(__xludf.DUMMYFUNCTION("""COMPUTED_VALUE"""),"Central Intelligence")</f>
        <v>Central Intelligence</v>
      </c>
      <c r="C23" t="str">
        <f>IFERROR(__xludf.DUMMYFUNCTION("""COMPUTED_VALUE"""),"WB (NL)")</f>
        <v>WB (NL)</v>
      </c>
      <c r="D23" t="str">
        <f>IFERROR(__xludf.DUMMYFUNCTION("""COMPUTED_VALUE"""),"$127,440,871")</f>
        <v>$127,440,871</v>
      </c>
      <c r="E23" s="1">
        <f>IFERROR(__xludf.DUMMYFUNCTION("""COMPUTED_VALUE"""),3508.0)</f>
        <v>3508</v>
      </c>
      <c r="F23" t="str">
        <f>IFERROR(__xludf.DUMMYFUNCTION("""COMPUTED_VALUE"""),"$35,535,250")</f>
        <v>$35,535,250</v>
      </c>
      <c r="G23" s="1">
        <f>IFERROR(__xludf.DUMMYFUNCTION("""COMPUTED_VALUE"""),3508.0)</f>
        <v>3508</v>
      </c>
      <c r="H23" s="2">
        <f>IFERROR(__xludf.DUMMYFUNCTION("""COMPUTED_VALUE"""),43268.0)</f>
        <v>43268</v>
      </c>
      <c r="I23" s="2">
        <f>IFERROR(__xludf.DUMMYFUNCTION("""COMPUTED_VALUE"""),43344.0)</f>
        <v>43344</v>
      </c>
      <c r="J23" t="str">
        <f>IFERROR(__xludf.DUMMYFUNCTION("""COMPUTED_VALUE"""),"/movies/?id=centralintelligence.htm")</f>
        <v>/movies/?id=centralintelligence.htm</v>
      </c>
    </row>
    <row r="24">
      <c r="A24">
        <f>IFERROR(__xludf.DUMMYFUNCTION("""COMPUTED_VALUE"""),23.0)</f>
        <v>23</v>
      </c>
      <c r="B24" t="str">
        <f>IFERROR(__xludf.DUMMYFUNCTION("""COMPUTED_VALUE"""),"The Legend of Tarzan")</f>
        <v>The Legend of Tarzan</v>
      </c>
      <c r="C24" t="str">
        <f>IFERROR(__xludf.DUMMYFUNCTION("""COMPUTED_VALUE"""),"WB")</f>
        <v>WB</v>
      </c>
      <c r="D24" t="str">
        <f>IFERROR(__xludf.DUMMYFUNCTION("""COMPUTED_VALUE"""),"$126,643,061")</f>
        <v>$126,643,061</v>
      </c>
      <c r="E24" s="1">
        <f>IFERROR(__xludf.DUMMYFUNCTION("""COMPUTED_VALUE"""),3591.0)</f>
        <v>3591</v>
      </c>
      <c r="F24" t="str">
        <f>IFERROR(__xludf.DUMMYFUNCTION("""COMPUTED_VALUE"""),"$38,527,856")</f>
        <v>$38,527,856</v>
      </c>
      <c r="G24" s="1">
        <f>IFERROR(__xludf.DUMMYFUNCTION("""COMPUTED_VALUE"""),3561.0)</f>
        <v>3561</v>
      </c>
      <c r="H24" s="2">
        <f>IFERROR(__xludf.DUMMYFUNCTION("""COMPUTED_VALUE"""),43282.0)</f>
        <v>43282</v>
      </c>
      <c r="I24" s="2">
        <f>IFERROR(__xludf.DUMMYFUNCTION("""COMPUTED_VALUE"""),43358.0)</f>
        <v>43358</v>
      </c>
      <c r="J24" t="str">
        <f>IFERROR(__xludf.DUMMYFUNCTION("""COMPUTED_VALUE"""),"/movies/?id=tarzan2016.htm")</f>
        <v>/movies/?id=tarzan2016.htm</v>
      </c>
    </row>
    <row r="25">
      <c r="A25">
        <f>IFERROR(__xludf.DUMMYFUNCTION("""COMPUTED_VALUE"""),24.0)</f>
        <v>24</v>
      </c>
      <c r="B25" t="str">
        <f>IFERROR(__xludf.DUMMYFUNCTION("""COMPUTED_VALUE"""),"Sully")</f>
        <v>Sully</v>
      </c>
      <c r="C25" t="str">
        <f>IFERROR(__xludf.DUMMYFUNCTION("""COMPUTED_VALUE"""),"WB")</f>
        <v>WB</v>
      </c>
      <c r="D25" t="str">
        <f>IFERROR(__xludf.DUMMYFUNCTION("""COMPUTED_VALUE"""),"$125,070,033")</f>
        <v>$125,070,033</v>
      </c>
      <c r="E25" s="1">
        <f>IFERROR(__xludf.DUMMYFUNCTION("""COMPUTED_VALUE"""),3955.0)</f>
        <v>3955</v>
      </c>
      <c r="F25" t="str">
        <f>IFERROR(__xludf.DUMMYFUNCTION("""COMPUTED_VALUE"""),"$35,028,301")</f>
        <v>$35,028,301</v>
      </c>
      <c r="G25" s="1">
        <f>IFERROR(__xludf.DUMMYFUNCTION("""COMPUTED_VALUE"""),3525.0)</f>
        <v>3525</v>
      </c>
      <c r="H25" s="2">
        <f>IFERROR(__xludf.DUMMYFUNCTION("""COMPUTED_VALUE"""),43352.0)</f>
        <v>43352</v>
      </c>
      <c r="I25" s="2">
        <f>IFERROR(__xludf.DUMMYFUNCTION("""COMPUTED_VALUE"""),43126.0)</f>
        <v>43126</v>
      </c>
      <c r="J25" t="str">
        <f>IFERROR(__xludf.DUMMYFUNCTION("""COMPUTED_VALUE"""),"/movies/?id=sully.htm")</f>
        <v>/movies/?id=sully.htm</v>
      </c>
    </row>
    <row r="26">
      <c r="A26">
        <f>IFERROR(__xludf.DUMMYFUNCTION("""COMPUTED_VALUE"""),25.0)</f>
        <v>25</v>
      </c>
      <c r="B26" t="str">
        <f>IFERROR(__xludf.DUMMYFUNCTION("""COMPUTED_VALUE"""),"Bad Moms")</f>
        <v>Bad Moms</v>
      </c>
      <c r="C26" t="str">
        <f>IFERROR(__xludf.DUMMYFUNCTION("""COMPUTED_VALUE"""),"STX")</f>
        <v>STX</v>
      </c>
      <c r="D26" t="str">
        <f>IFERROR(__xludf.DUMMYFUNCTION("""COMPUTED_VALUE"""),"$113,257,297")</f>
        <v>$113,257,297</v>
      </c>
      <c r="E26" s="1">
        <f>IFERROR(__xludf.DUMMYFUNCTION("""COMPUTED_VALUE"""),3215.0)</f>
        <v>3215</v>
      </c>
      <c r="F26" t="str">
        <f>IFERROR(__xludf.DUMMYFUNCTION("""COMPUTED_VALUE"""),"$23,817,340")</f>
        <v>$23,817,340</v>
      </c>
      <c r="G26" s="1">
        <f>IFERROR(__xludf.DUMMYFUNCTION("""COMPUTED_VALUE"""),3215.0)</f>
        <v>3215</v>
      </c>
      <c r="H26" s="2">
        <f>IFERROR(__xludf.DUMMYFUNCTION("""COMPUTED_VALUE"""),43310.0)</f>
        <v>43310</v>
      </c>
      <c r="I26" s="2">
        <f>IFERROR(__xludf.DUMMYFUNCTION("""COMPUTED_VALUE"""),43400.0)</f>
        <v>43400</v>
      </c>
      <c r="J26" t="str">
        <f>IFERROR(__xludf.DUMMYFUNCTION("""COMPUTED_VALUE"""),"/movies/?id=untitledlucasmoore.htm")</f>
        <v>/movies/?id=untitledlucasmoore.htm</v>
      </c>
    </row>
    <row r="27">
      <c r="A27">
        <f>IFERROR(__xludf.DUMMYFUNCTION("""COMPUTED_VALUE"""),26.0)</f>
        <v>26</v>
      </c>
      <c r="B27" t="str">
        <f>IFERROR(__xludf.DUMMYFUNCTION("""COMPUTED_VALUE"""),"The Angry Birds Movie")</f>
        <v>The Angry Birds Movie</v>
      </c>
      <c r="C27" t="str">
        <f>IFERROR(__xludf.DUMMYFUNCTION("""COMPUTED_VALUE"""),"Sony")</f>
        <v>Sony</v>
      </c>
      <c r="D27" t="str">
        <f>IFERROR(__xludf.DUMMYFUNCTION("""COMPUTED_VALUE"""),"$107,509,366")</f>
        <v>$107,509,366</v>
      </c>
      <c r="E27" s="1">
        <f>IFERROR(__xludf.DUMMYFUNCTION("""COMPUTED_VALUE"""),3932.0)</f>
        <v>3932</v>
      </c>
      <c r="F27" t="str">
        <f>IFERROR(__xludf.DUMMYFUNCTION("""COMPUTED_VALUE"""),"$38,155,177")</f>
        <v>$38,155,177</v>
      </c>
      <c r="G27" s="1">
        <f>IFERROR(__xludf.DUMMYFUNCTION("""COMPUTED_VALUE"""),3932.0)</f>
        <v>3932</v>
      </c>
      <c r="H27" s="2">
        <f>IFERROR(__xludf.DUMMYFUNCTION("""COMPUTED_VALUE"""),43240.0)</f>
        <v>43240</v>
      </c>
      <c r="I27" s="2">
        <f>IFERROR(__xludf.DUMMYFUNCTION("""COMPUTED_VALUE"""),43358.0)</f>
        <v>43358</v>
      </c>
      <c r="J27" t="str">
        <f>IFERROR(__xludf.DUMMYFUNCTION("""COMPUTED_VALUE"""),"/movies/?id=angrybirds.htm")</f>
        <v>/movies/?id=angrybirds.htm</v>
      </c>
    </row>
    <row r="28">
      <c r="A28">
        <f>IFERROR(__xludf.DUMMYFUNCTION("""COMPUTED_VALUE"""),27.0)</f>
        <v>27</v>
      </c>
      <c r="B28" t="str">
        <f>IFERROR(__xludf.DUMMYFUNCTION("""COMPUTED_VALUE"""),"Independence Day: Resurgence")</f>
        <v>Independence Day: Resurgence</v>
      </c>
      <c r="C28" t="str">
        <f>IFERROR(__xludf.DUMMYFUNCTION("""COMPUTED_VALUE"""),"Fox")</f>
        <v>Fox</v>
      </c>
      <c r="D28" t="str">
        <f>IFERROR(__xludf.DUMMYFUNCTION("""COMPUTED_VALUE"""),"$103,144,286")</f>
        <v>$103,144,286</v>
      </c>
      <c r="E28" s="1">
        <f>IFERROR(__xludf.DUMMYFUNCTION("""COMPUTED_VALUE"""),4130.0)</f>
        <v>4130</v>
      </c>
      <c r="F28" t="str">
        <f>IFERROR(__xludf.DUMMYFUNCTION("""COMPUTED_VALUE"""),"$41,039,944")</f>
        <v>$41,039,944</v>
      </c>
      <c r="G28" s="1">
        <f>IFERROR(__xludf.DUMMYFUNCTION("""COMPUTED_VALUE"""),4130.0)</f>
        <v>4130</v>
      </c>
      <c r="H28" s="2">
        <f>IFERROR(__xludf.DUMMYFUNCTION("""COMPUTED_VALUE"""),43275.0)</f>
        <v>43275</v>
      </c>
      <c r="I28" s="2">
        <f>IFERROR(__xludf.DUMMYFUNCTION("""COMPUTED_VALUE"""),43358.0)</f>
        <v>43358</v>
      </c>
      <c r="J28" t="str">
        <f>IFERROR(__xludf.DUMMYFUNCTION("""COMPUTED_VALUE"""),"/movies/?id=id42.htm")</f>
        <v>/movies/?id=id42.htm</v>
      </c>
    </row>
    <row r="29">
      <c r="A29">
        <f>IFERROR(__xludf.DUMMYFUNCTION("""COMPUTED_VALUE"""),28.0)</f>
        <v>28</v>
      </c>
      <c r="B29" t="str">
        <f>IFERROR(__xludf.DUMMYFUNCTION("""COMPUTED_VALUE"""),"The Conjuring 2")</f>
        <v>The Conjuring 2</v>
      </c>
      <c r="C29" t="str">
        <f>IFERROR(__xludf.DUMMYFUNCTION("""COMPUTED_VALUE"""),"WB (NL)")</f>
        <v>WB (NL)</v>
      </c>
      <c r="D29" t="str">
        <f>IFERROR(__xludf.DUMMYFUNCTION("""COMPUTED_VALUE"""),"$102,470,008")</f>
        <v>$102,470,008</v>
      </c>
      <c r="E29" s="1">
        <f>IFERROR(__xludf.DUMMYFUNCTION("""COMPUTED_VALUE"""),3356.0)</f>
        <v>3356</v>
      </c>
      <c r="F29" t="str">
        <f>IFERROR(__xludf.DUMMYFUNCTION("""COMPUTED_VALUE"""),"$40,406,314")</f>
        <v>$40,406,314</v>
      </c>
      <c r="G29" s="1">
        <f>IFERROR(__xludf.DUMMYFUNCTION("""COMPUTED_VALUE"""),3343.0)</f>
        <v>3343</v>
      </c>
      <c r="H29" s="2">
        <f>IFERROR(__xludf.DUMMYFUNCTION("""COMPUTED_VALUE"""),43261.0)</f>
        <v>43261</v>
      </c>
      <c r="I29" s="2">
        <f>IFERROR(__xludf.DUMMYFUNCTION("""COMPUTED_VALUE"""),43337.0)</f>
        <v>43337</v>
      </c>
      <c r="J29" t="str">
        <f>IFERROR(__xludf.DUMMYFUNCTION("""COMPUTED_VALUE"""),"/movies/?id=conjuring2.htm")</f>
        <v>/movies/?id=conjuring2.htm</v>
      </c>
    </row>
    <row r="30">
      <c r="A30">
        <f>IFERROR(__xludf.DUMMYFUNCTION("""COMPUTED_VALUE"""),29.0)</f>
        <v>29</v>
      </c>
      <c r="B30" t="str">
        <f>IFERROR(__xludf.DUMMYFUNCTION("""COMPUTED_VALUE"""),"Arrival")</f>
        <v>Arrival</v>
      </c>
      <c r="C30" t="str">
        <f>IFERROR(__xludf.DUMMYFUNCTION("""COMPUTED_VALUE"""),"Par.")</f>
        <v>Par.</v>
      </c>
      <c r="D30" t="str">
        <f>IFERROR(__xludf.DUMMYFUNCTION("""COMPUTED_VALUE"""),"$100,546,139")</f>
        <v>$100,546,139</v>
      </c>
      <c r="E30" s="1">
        <f>IFERROR(__xludf.DUMMYFUNCTION("""COMPUTED_VALUE"""),3115.0)</f>
        <v>3115</v>
      </c>
      <c r="F30" t="str">
        <f>IFERROR(__xludf.DUMMYFUNCTION("""COMPUTED_VALUE"""),"$24,074,047")</f>
        <v>$24,074,047</v>
      </c>
      <c r="G30" s="1">
        <f>IFERROR(__xludf.DUMMYFUNCTION("""COMPUTED_VALUE"""),2317.0)</f>
        <v>2317</v>
      </c>
      <c r="H30" s="2">
        <f>IFERROR(__xludf.DUMMYFUNCTION("""COMPUTED_VALUE"""),43415.0)</f>
        <v>43415</v>
      </c>
      <c r="I30" s="2">
        <f>IFERROR(__xludf.DUMMYFUNCTION("""COMPUTED_VALUE"""),43168.0)</f>
        <v>43168</v>
      </c>
      <c r="J30" t="str">
        <f>IFERROR(__xludf.DUMMYFUNCTION("""COMPUTED_VALUE"""),"/movies/?id=arrival2016.htm")</f>
        <v>/movies/?id=arrival2016.htm</v>
      </c>
    </row>
    <row r="31">
      <c r="A31">
        <f>IFERROR(__xludf.DUMMYFUNCTION("""COMPUTED_VALUE"""),30.0)</f>
        <v>30</v>
      </c>
      <c r="B31" t="str">
        <f>IFERROR(__xludf.DUMMYFUNCTION("""COMPUTED_VALUE"""),"Passengers (2016)")</f>
        <v>Passengers (2016)</v>
      </c>
      <c r="C31" t="str">
        <f>IFERROR(__xludf.DUMMYFUNCTION("""COMPUTED_VALUE"""),"Sony")</f>
        <v>Sony</v>
      </c>
      <c r="D31" t="str">
        <f>IFERROR(__xludf.DUMMYFUNCTION("""COMPUTED_VALUE"""),"$100,014,699")</f>
        <v>$100,014,699</v>
      </c>
      <c r="E31" s="1">
        <f>IFERROR(__xludf.DUMMYFUNCTION("""COMPUTED_VALUE"""),3478.0)</f>
        <v>3478</v>
      </c>
      <c r="F31" t="str">
        <f>IFERROR(__xludf.DUMMYFUNCTION("""COMPUTED_VALUE"""),"$14,869,736")</f>
        <v>$14,869,736</v>
      </c>
      <c r="G31" s="1">
        <f>IFERROR(__xludf.DUMMYFUNCTION("""COMPUTED_VALUE"""),3478.0)</f>
        <v>3478</v>
      </c>
      <c r="H31" s="2">
        <f>IFERROR(__xludf.DUMMYFUNCTION("""COMPUTED_VALUE"""),43455.0)</f>
        <v>43455</v>
      </c>
      <c r="I31" s="2">
        <f>IFERROR(__xludf.DUMMYFUNCTION("""COMPUTED_VALUE"""),43210.0)</f>
        <v>43210</v>
      </c>
      <c r="J31" t="str">
        <f>IFERROR(__xludf.DUMMYFUNCTION("""COMPUTED_VALUE"""),"/movies/?id=passengers2016.htm")</f>
        <v>/movies/?id=passengers2016.htm</v>
      </c>
    </row>
    <row r="32">
      <c r="A32">
        <f>IFERROR(__xludf.DUMMYFUNCTION("""COMPUTED_VALUE"""),31.0)</f>
        <v>31</v>
      </c>
      <c r="B32" t="str">
        <f>IFERROR(__xludf.DUMMYFUNCTION("""COMPUTED_VALUE"""),"Sausage Party")</f>
        <v>Sausage Party</v>
      </c>
      <c r="C32" t="str">
        <f>IFERROR(__xludf.DUMMYFUNCTION("""COMPUTED_VALUE"""),"Sony")</f>
        <v>Sony</v>
      </c>
      <c r="D32" t="str">
        <f>IFERROR(__xludf.DUMMYFUNCTION("""COMPUTED_VALUE"""),"$97,685,686")</f>
        <v>$97,685,686</v>
      </c>
      <c r="E32" s="1">
        <f>IFERROR(__xludf.DUMMYFUNCTION("""COMPUTED_VALUE"""),3135.0)</f>
        <v>3135</v>
      </c>
      <c r="F32" t="str">
        <f>IFERROR(__xludf.DUMMYFUNCTION("""COMPUTED_VALUE"""),"$34,263,534")</f>
        <v>$34,263,534</v>
      </c>
      <c r="G32" s="1">
        <f>IFERROR(__xludf.DUMMYFUNCTION("""COMPUTED_VALUE"""),3103.0)</f>
        <v>3103</v>
      </c>
      <c r="H32" s="2">
        <f>IFERROR(__xludf.DUMMYFUNCTION("""COMPUTED_VALUE"""),43324.0)</f>
        <v>43324</v>
      </c>
      <c r="I32" s="2">
        <f>IFERROR(__xludf.DUMMYFUNCTION("""COMPUTED_VALUE"""),43456.0)</f>
        <v>43456</v>
      </c>
      <c r="J32" t="str">
        <f>IFERROR(__xludf.DUMMYFUNCTION("""COMPUTED_VALUE"""),"/movies/?id=sausageparty.htm")</f>
        <v>/movies/?id=sausageparty.htm</v>
      </c>
    </row>
    <row r="33">
      <c r="A33">
        <f>IFERROR(__xludf.DUMMYFUNCTION("""COMPUTED_VALUE"""),32.0)</f>
        <v>32</v>
      </c>
      <c r="B33" t="str">
        <f>IFERROR(__xludf.DUMMYFUNCTION("""COMPUTED_VALUE"""),"The Magnificent Seven (2016)")</f>
        <v>The Magnificent Seven (2016)</v>
      </c>
      <c r="C33" t="str">
        <f>IFERROR(__xludf.DUMMYFUNCTION("""COMPUTED_VALUE"""),"Sony")</f>
        <v>Sony</v>
      </c>
      <c r="D33" t="str">
        <f>IFERROR(__xludf.DUMMYFUNCTION("""COMPUTED_VALUE"""),"$93,432,655")</f>
        <v>$93,432,655</v>
      </c>
      <c r="E33" s="1">
        <f>IFERROR(__xludf.DUMMYFUNCTION("""COMPUTED_VALUE"""),3696.0)</f>
        <v>3696</v>
      </c>
      <c r="F33" t="str">
        <f>IFERROR(__xludf.DUMMYFUNCTION("""COMPUTED_VALUE"""),"$34,703,397")</f>
        <v>$34,703,397</v>
      </c>
      <c r="G33" s="1">
        <f>IFERROR(__xludf.DUMMYFUNCTION("""COMPUTED_VALUE"""),3674.0)</f>
        <v>3674</v>
      </c>
      <c r="H33" s="2">
        <f>IFERROR(__xludf.DUMMYFUNCTION("""COMPUTED_VALUE"""),43366.0)</f>
        <v>43366</v>
      </c>
      <c r="I33" s="2">
        <f>IFERROR(__xludf.DUMMYFUNCTION("""COMPUTED_VALUE"""),43105.0)</f>
        <v>43105</v>
      </c>
      <c r="J33" t="str">
        <f>IFERROR(__xludf.DUMMYFUNCTION("""COMPUTED_VALUE"""),"/movies/?id=themagnificentseven.htm")</f>
        <v>/movies/?id=themagnificentseven.htm</v>
      </c>
    </row>
    <row r="34">
      <c r="A34">
        <f>IFERROR(__xludf.DUMMYFUNCTION("""COMPUTED_VALUE"""),33.0)</f>
        <v>33</v>
      </c>
      <c r="B34" t="str">
        <f>IFERROR(__xludf.DUMMYFUNCTION("""COMPUTED_VALUE"""),"Ride Along 2")</f>
        <v>Ride Along 2</v>
      </c>
      <c r="C34" t="str">
        <f>IFERROR(__xludf.DUMMYFUNCTION("""COMPUTED_VALUE"""),"Uni.")</f>
        <v>Uni.</v>
      </c>
      <c r="D34" t="str">
        <f>IFERROR(__xludf.DUMMYFUNCTION("""COMPUTED_VALUE"""),"$91,221,830")</f>
        <v>$91,221,830</v>
      </c>
      <c r="E34" s="1">
        <f>IFERROR(__xludf.DUMMYFUNCTION("""COMPUTED_VALUE"""),3192.0)</f>
        <v>3192</v>
      </c>
      <c r="F34" t="str">
        <f>IFERROR(__xludf.DUMMYFUNCTION("""COMPUTED_VALUE"""),"$35,243,095")</f>
        <v>$35,243,095</v>
      </c>
      <c r="G34" s="1">
        <f>IFERROR(__xludf.DUMMYFUNCTION("""COMPUTED_VALUE"""),3175.0)</f>
        <v>3175</v>
      </c>
      <c r="H34" s="2">
        <f>IFERROR(__xludf.DUMMYFUNCTION("""COMPUTED_VALUE"""),43115.0)</f>
        <v>43115</v>
      </c>
      <c r="I34" s="2">
        <f>IFERROR(__xludf.DUMMYFUNCTION("""COMPUTED_VALUE"""),43267.0)</f>
        <v>43267</v>
      </c>
      <c r="J34" t="str">
        <f>IFERROR(__xludf.DUMMYFUNCTION("""COMPUTED_VALUE"""),"/movies/?id=ridealong2.htm")</f>
        <v>/movies/?id=ridealong2.htm</v>
      </c>
    </row>
    <row r="35">
      <c r="A35">
        <f>IFERROR(__xludf.DUMMYFUNCTION("""COMPUTED_VALUE"""),34.0)</f>
        <v>34</v>
      </c>
      <c r="B35" t="str">
        <f>IFERROR(__xludf.DUMMYFUNCTION("""COMPUTED_VALUE"""),"Don't Breathe")</f>
        <v>Don't Breathe</v>
      </c>
      <c r="C35" t="str">
        <f>IFERROR(__xludf.DUMMYFUNCTION("""COMPUTED_VALUE"""),"SGem")</f>
        <v>SGem</v>
      </c>
      <c r="D35" t="str">
        <f>IFERROR(__xludf.DUMMYFUNCTION("""COMPUTED_VALUE"""),"$89,217,875")</f>
        <v>$89,217,875</v>
      </c>
      <c r="E35" s="1">
        <f>IFERROR(__xludf.DUMMYFUNCTION("""COMPUTED_VALUE"""),3384.0)</f>
        <v>3384</v>
      </c>
      <c r="F35" t="str">
        <f>IFERROR(__xludf.DUMMYFUNCTION("""COMPUTED_VALUE"""),"$26,411,706")</f>
        <v>$26,411,706</v>
      </c>
      <c r="G35" s="1">
        <f>IFERROR(__xludf.DUMMYFUNCTION("""COMPUTED_VALUE"""),3051.0)</f>
        <v>3051</v>
      </c>
      <c r="H35" s="2">
        <f>IFERROR(__xludf.DUMMYFUNCTION("""COMPUTED_VALUE"""),43338.0)</f>
        <v>43338</v>
      </c>
      <c r="I35" s="2">
        <f>IFERROR(__xludf.DUMMYFUNCTION("""COMPUTED_VALUE"""),43456.0)</f>
        <v>43456</v>
      </c>
      <c r="J35" t="str">
        <f>IFERROR(__xludf.DUMMYFUNCTION("""COMPUTED_VALUE"""),"/movies/?id=dontbreathe.htm")</f>
        <v>/movies/?id=dontbreathe.htm</v>
      </c>
    </row>
    <row r="36">
      <c r="A36">
        <f>IFERROR(__xludf.DUMMYFUNCTION("""COMPUTED_VALUE"""),35.0)</f>
        <v>35</v>
      </c>
      <c r="B36" t="str">
        <f>IFERROR(__xludf.DUMMYFUNCTION("""COMPUTED_VALUE"""),"Miss Peregrine's Home for Peculiar Children")</f>
        <v>Miss Peregrine's Home for Peculiar Children</v>
      </c>
      <c r="C36" t="str">
        <f>IFERROR(__xludf.DUMMYFUNCTION("""COMPUTED_VALUE"""),"Fox")</f>
        <v>Fox</v>
      </c>
      <c r="D36" t="str">
        <f>IFERROR(__xludf.DUMMYFUNCTION("""COMPUTED_VALUE"""),"$87,242,834")</f>
        <v>$87,242,834</v>
      </c>
      <c r="E36" s="1">
        <f>IFERROR(__xludf.DUMMYFUNCTION("""COMPUTED_VALUE"""),3835.0)</f>
        <v>3835</v>
      </c>
      <c r="F36" t="str">
        <f>IFERROR(__xludf.DUMMYFUNCTION("""COMPUTED_VALUE"""),"$28,871,140")</f>
        <v>$28,871,140</v>
      </c>
      <c r="G36" s="1">
        <f>IFERROR(__xludf.DUMMYFUNCTION("""COMPUTED_VALUE"""),3522.0)</f>
        <v>3522</v>
      </c>
      <c r="H36" s="2">
        <f>IFERROR(__xludf.DUMMYFUNCTION("""COMPUTED_VALUE"""),43373.0)</f>
        <v>43373</v>
      </c>
      <c r="I36" s="2">
        <f>IFERROR(__xludf.DUMMYFUNCTION("""COMPUTED_VALUE"""),43140.0)</f>
        <v>43140</v>
      </c>
      <c r="J36" t="str">
        <f>IFERROR(__xludf.DUMMYFUNCTION("""COMPUTED_VALUE"""),"/movies/?id=peregrine.htm")</f>
        <v>/movies/?id=peregrine.htm</v>
      </c>
    </row>
    <row r="37">
      <c r="A37">
        <f>IFERROR(__xludf.DUMMYFUNCTION("""COMPUTED_VALUE"""),36.0)</f>
        <v>36</v>
      </c>
      <c r="B37" t="str">
        <f>IFERROR(__xludf.DUMMYFUNCTION("""COMPUTED_VALUE"""),"The Accountant")</f>
        <v>The Accountant</v>
      </c>
      <c r="C37" t="str">
        <f>IFERROR(__xludf.DUMMYFUNCTION("""COMPUTED_VALUE"""),"WB")</f>
        <v>WB</v>
      </c>
      <c r="D37" t="str">
        <f>IFERROR(__xludf.DUMMYFUNCTION("""COMPUTED_VALUE"""),"$86,260,045")</f>
        <v>$86,260,045</v>
      </c>
      <c r="E37" s="1">
        <f>IFERROR(__xludf.DUMMYFUNCTION("""COMPUTED_VALUE"""),3402.0)</f>
        <v>3402</v>
      </c>
      <c r="F37" t="str">
        <f>IFERROR(__xludf.DUMMYFUNCTION("""COMPUTED_VALUE"""),"$24,710,273")</f>
        <v>$24,710,273</v>
      </c>
      <c r="G37" s="1">
        <f>IFERROR(__xludf.DUMMYFUNCTION("""COMPUTED_VALUE"""),3332.0)</f>
        <v>3332</v>
      </c>
      <c r="H37" s="2">
        <f>IFERROR(__xludf.DUMMYFUNCTION("""COMPUTED_VALUE"""),43387.0)</f>
        <v>43387</v>
      </c>
      <c r="I37" s="2">
        <f>IFERROR(__xludf.DUMMYFUNCTION("""COMPUTED_VALUE"""),43112.0)</f>
        <v>43112</v>
      </c>
      <c r="J37" t="str">
        <f>IFERROR(__xludf.DUMMYFUNCTION("""COMPUTED_VALUE"""),"/movies/?id=theaccountant.htm")</f>
        <v>/movies/?id=theaccountant.htm</v>
      </c>
    </row>
    <row r="38">
      <c r="A38">
        <f>IFERROR(__xludf.DUMMYFUNCTION("""COMPUTED_VALUE"""),37.0)</f>
        <v>37</v>
      </c>
      <c r="B38" t="str">
        <f>IFERROR(__xludf.DUMMYFUNCTION("""COMPUTED_VALUE"""),"Teenage Mutant Ninja Turtles: Out of the Shadows")</f>
        <v>Teenage Mutant Ninja Turtles: Out of the Shadows</v>
      </c>
      <c r="C38" t="str">
        <f>IFERROR(__xludf.DUMMYFUNCTION("""COMPUTED_VALUE"""),"Par.")</f>
        <v>Par.</v>
      </c>
      <c r="D38" t="str">
        <f>IFERROR(__xludf.DUMMYFUNCTION("""COMPUTED_VALUE"""),"$82,051,601")</f>
        <v>$82,051,601</v>
      </c>
      <c r="E38" s="1">
        <f>IFERROR(__xludf.DUMMYFUNCTION("""COMPUTED_VALUE"""),4071.0)</f>
        <v>4071</v>
      </c>
      <c r="F38" t="str">
        <f>IFERROR(__xludf.DUMMYFUNCTION("""COMPUTED_VALUE"""),"$35,316,382")</f>
        <v>$35,316,382</v>
      </c>
      <c r="G38" s="1">
        <f>IFERROR(__xludf.DUMMYFUNCTION("""COMPUTED_VALUE"""),4071.0)</f>
        <v>4071</v>
      </c>
      <c r="H38" s="2">
        <f>IFERROR(__xludf.DUMMYFUNCTION("""COMPUTED_VALUE"""),43254.0)</f>
        <v>43254</v>
      </c>
      <c r="I38" s="2">
        <f>IFERROR(__xludf.DUMMYFUNCTION("""COMPUTED_VALUE"""),43351.0)</f>
        <v>43351</v>
      </c>
      <c r="J38" t="str">
        <f>IFERROR(__xludf.DUMMYFUNCTION("""COMPUTED_VALUE"""),"/movies/?id=tmnt2016.htm")</f>
        <v>/movies/?id=tmnt2016.htm</v>
      </c>
    </row>
    <row r="39">
      <c r="A39">
        <f>IFERROR(__xludf.DUMMYFUNCTION("""COMPUTED_VALUE"""),38.0)</f>
        <v>38</v>
      </c>
      <c r="B39" t="str">
        <f>IFERROR(__xludf.DUMMYFUNCTION("""COMPUTED_VALUE"""),"The Purge: Election Year")</f>
        <v>The Purge: Election Year</v>
      </c>
      <c r="C39" t="str">
        <f>IFERROR(__xludf.DUMMYFUNCTION("""COMPUTED_VALUE"""),"Uni.")</f>
        <v>Uni.</v>
      </c>
      <c r="D39" t="str">
        <f>IFERROR(__xludf.DUMMYFUNCTION("""COMPUTED_VALUE"""),"$79,213,375")</f>
        <v>$79,213,375</v>
      </c>
      <c r="E39" s="1">
        <f>IFERROR(__xludf.DUMMYFUNCTION("""COMPUTED_VALUE"""),2821.0)</f>
        <v>2821</v>
      </c>
      <c r="F39" t="str">
        <f>IFERROR(__xludf.DUMMYFUNCTION("""COMPUTED_VALUE"""),"$31,515,110")</f>
        <v>$31,515,110</v>
      </c>
      <c r="G39" s="1">
        <f>IFERROR(__xludf.DUMMYFUNCTION("""COMPUTED_VALUE"""),2796.0)</f>
        <v>2796</v>
      </c>
      <c r="H39" s="2">
        <f>IFERROR(__xludf.DUMMYFUNCTION("""COMPUTED_VALUE"""),43282.0)</f>
        <v>43282</v>
      </c>
      <c r="I39" s="2">
        <f>IFERROR(__xludf.DUMMYFUNCTION("""COMPUTED_VALUE"""),43386.0)</f>
        <v>43386</v>
      </c>
      <c r="J39" t="str">
        <f>IFERROR(__xludf.DUMMYFUNCTION("""COMPUTED_VALUE"""),"/movies/?id=purge3.htm")</f>
        <v>/movies/?id=purge3.htm</v>
      </c>
    </row>
    <row r="40">
      <c r="A40">
        <f>IFERROR(__xludf.DUMMYFUNCTION("""COMPUTED_VALUE"""),39.0)</f>
        <v>39</v>
      </c>
      <c r="B40" t="str">
        <f>IFERROR(__xludf.DUMMYFUNCTION("""COMPUTED_VALUE"""),"Alice Through the Looking Glass")</f>
        <v>Alice Through the Looking Glass</v>
      </c>
      <c r="C40" t="str">
        <f>IFERROR(__xludf.DUMMYFUNCTION("""COMPUTED_VALUE"""),"BV")</f>
        <v>BV</v>
      </c>
      <c r="D40" t="str">
        <f>IFERROR(__xludf.DUMMYFUNCTION("""COMPUTED_VALUE"""),"$77,041,381")</f>
        <v>$77,041,381</v>
      </c>
      <c r="E40" s="1">
        <f>IFERROR(__xludf.DUMMYFUNCTION("""COMPUTED_VALUE"""),3763.0)</f>
        <v>3763</v>
      </c>
      <c r="F40" t="str">
        <f>IFERROR(__xludf.DUMMYFUNCTION("""COMPUTED_VALUE"""),"$26,858,726")</f>
        <v>$26,858,726</v>
      </c>
      <c r="G40" s="1">
        <f>IFERROR(__xludf.DUMMYFUNCTION("""COMPUTED_VALUE"""),3763.0)</f>
        <v>3763</v>
      </c>
      <c r="H40" s="2">
        <f>IFERROR(__xludf.DUMMYFUNCTION("""COMPUTED_VALUE"""),43247.0)</f>
        <v>43247</v>
      </c>
      <c r="I40" s="2">
        <f>IFERROR(__xludf.DUMMYFUNCTION("""COMPUTED_VALUE"""),43344.0)</f>
        <v>43344</v>
      </c>
      <c r="J40" t="str">
        <f>IFERROR(__xludf.DUMMYFUNCTION("""COMPUTED_VALUE"""),"/movies/?id=alice2.htm")</f>
        <v>/movies/?id=alice2.htm</v>
      </c>
    </row>
    <row r="41">
      <c r="A41">
        <f>IFERROR(__xludf.DUMMYFUNCTION("""COMPUTED_VALUE"""),40.0)</f>
        <v>40</v>
      </c>
      <c r="B41" t="str">
        <f>IFERROR(__xludf.DUMMYFUNCTION("""COMPUTED_VALUE"""),"Pete's Dragon (2016)")</f>
        <v>Pete's Dragon (2016)</v>
      </c>
      <c r="C41" t="str">
        <f>IFERROR(__xludf.DUMMYFUNCTION("""COMPUTED_VALUE"""),"BV")</f>
        <v>BV</v>
      </c>
      <c r="D41" t="str">
        <f>IFERROR(__xludf.DUMMYFUNCTION("""COMPUTED_VALUE"""),"$76,233,151")</f>
        <v>$76,233,151</v>
      </c>
      <c r="E41" s="1">
        <f>IFERROR(__xludf.DUMMYFUNCTION("""COMPUTED_VALUE"""),3702.0)</f>
        <v>3702</v>
      </c>
      <c r="F41" t="str">
        <f>IFERROR(__xludf.DUMMYFUNCTION("""COMPUTED_VALUE"""),"$21,514,095")</f>
        <v>$21,514,095</v>
      </c>
      <c r="G41" s="1">
        <f>IFERROR(__xludf.DUMMYFUNCTION("""COMPUTED_VALUE"""),3702.0)</f>
        <v>3702</v>
      </c>
      <c r="H41" s="2">
        <f>IFERROR(__xludf.DUMMYFUNCTION("""COMPUTED_VALUE"""),43324.0)</f>
        <v>43324</v>
      </c>
      <c r="I41" s="2">
        <f>IFERROR(__xludf.DUMMYFUNCTION("""COMPUTED_VALUE"""),43449.0)</f>
        <v>43449</v>
      </c>
      <c r="J41" t="str">
        <f>IFERROR(__xludf.DUMMYFUNCTION("""COMPUTED_VALUE"""),"/movies/?id=petesdragon2016.htm")</f>
        <v>/movies/?id=petesdragon2016.htm</v>
      </c>
    </row>
    <row r="42">
      <c r="A42">
        <f>IFERROR(__xludf.DUMMYFUNCTION("""COMPUTED_VALUE"""),41.0)</f>
        <v>41</v>
      </c>
      <c r="B42" t="str">
        <f>IFERROR(__xludf.DUMMYFUNCTION("""COMPUTED_VALUE"""),"The Girl on the Train (2016)")</f>
        <v>The Girl on the Train (2016)</v>
      </c>
      <c r="C42" t="str">
        <f>IFERROR(__xludf.DUMMYFUNCTION("""COMPUTED_VALUE"""),"Uni.")</f>
        <v>Uni.</v>
      </c>
      <c r="D42" t="str">
        <f>IFERROR(__xludf.DUMMYFUNCTION("""COMPUTED_VALUE"""),"$75,395,035")</f>
        <v>$75,395,035</v>
      </c>
      <c r="E42" s="1">
        <f>IFERROR(__xludf.DUMMYFUNCTION("""COMPUTED_VALUE"""),3241.0)</f>
        <v>3241</v>
      </c>
      <c r="F42" t="str">
        <f>IFERROR(__xludf.DUMMYFUNCTION("""COMPUTED_VALUE"""),"$24,536,265")</f>
        <v>$24,536,265</v>
      </c>
      <c r="G42" s="1">
        <f>IFERROR(__xludf.DUMMYFUNCTION("""COMPUTED_VALUE"""),3144.0)</f>
        <v>3144</v>
      </c>
      <c r="H42" s="2">
        <f>IFERROR(__xludf.DUMMYFUNCTION("""COMPUTED_VALUE"""),43380.0)</f>
        <v>43380</v>
      </c>
      <c r="I42" s="2">
        <f>IFERROR(__xludf.DUMMYFUNCTION("""COMPUTED_VALUE"""),43463.0)</f>
        <v>43463</v>
      </c>
      <c r="J42" t="str">
        <f>IFERROR(__xludf.DUMMYFUNCTION("""COMPUTED_VALUE"""),"/movies/?id=thegirlonthetrain2016.htm")</f>
        <v>/movies/?id=thegirlonthetrain2016.htm</v>
      </c>
    </row>
    <row r="43">
      <c r="A43">
        <f>IFERROR(__xludf.DUMMYFUNCTION("""COMPUTED_VALUE"""),42.0)</f>
        <v>42</v>
      </c>
      <c r="B43" t="str">
        <f>IFERROR(__xludf.DUMMYFUNCTION("""COMPUTED_VALUE"""),"Boo! A Madea Halloween")</f>
        <v>Boo! A Madea Halloween</v>
      </c>
      <c r="C43" t="str">
        <f>IFERROR(__xludf.DUMMYFUNCTION("""COMPUTED_VALUE"""),"LGF")</f>
        <v>LGF</v>
      </c>
      <c r="D43" t="str">
        <f>IFERROR(__xludf.DUMMYFUNCTION("""COMPUTED_VALUE"""),"$73,206,343")</f>
        <v>$73,206,343</v>
      </c>
      <c r="E43" s="1">
        <f>IFERROR(__xludf.DUMMYFUNCTION("""COMPUTED_VALUE"""),2299.0)</f>
        <v>2299</v>
      </c>
      <c r="F43" t="str">
        <f>IFERROR(__xludf.DUMMYFUNCTION("""COMPUTED_VALUE"""),"$28,501,448")</f>
        <v>$28,501,448</v>
      </c>
      <c r="G43" s="1">
        <f>IFERROR(__xludf.DUMMYFUNCTION("""COMPUTED_VALUE"""),2260.0)</f>
        <v>2260</v>
      </c>
      <c r="H43" s="2">
        <f>IFERROR(__xludf.DUMMYFUNCTION("""COMPUTED_VALUE"""),43394.0)</f>
        <v>43394</v>
      </c>
      <c r="I43" s="2">
        <f>IFERROR(__xludf.DUMMYFUNCTION("""COMPUTED_VALUE"""),43456.0)</f>
        <v>43456</v>
      </c>
      <c r="J43" t="str">
        <f>IFERROR(__xludf.DUMMYFUNCTION("""COMPUTED_VALUE"""),"/movies/?id=booamadeahalloween.htm")</f>
        <v>/movies/?id=booamadeahalloween.htm</v>
      </c>
    </row>
    <row r="44">
      <c r="A44">
        <f>IFERROR(__xludf.DUMMYFUNCTION("""COMPUTED_VALUE"""),43.0)</f>
        <v>43</v>
      </c>
      <c r="B44" t="str">
        <f>IFERROR(__xludf.DUMMYFUNCTION("""COMPUTED_VALUE"""),"Storks")</f>
        <v>Storks</v>
      </c>
      <c r="C44" t="str">
        <f>IFERROR(__xludf.DUMMYFUNCTION("""COMPUTED_VALUE"""),"WB")</f>
        <v>WB</v>
      </c>
      <c r="D44" t="str">
        <f>IFERROR(__xludf.DUMMYFUNCTION("""COMPUTED_VALUE"""),"$72,679,278")</f>
        <v>$72,679,278</v>
      </c>
      <c r="E44" s="1">
        <f>IFERROR(__xludf.DUMMYFUNCTION("""COMPUTED_VALUE"""),3922.0)</f>
        <v>3922</v>
      </c>
      <c r="F44" t="str">
        <f>IFERROR(__xludf.DUMMYFUNCTION("""COMPUTED_VALUE"""),"$21,311,407")</f>
        <v>$21,311,407</v>
      </c>
      <c r="G44" s="1">
        <f>IFERROR(__xludf.DUMMYFUNCTION("""COMPUTED_VALUE"""),3922.0)</f>
        <v>3922</v>
      </c>
      <c r="H44" s="2">
        <f>IFERROR(__xludf.DUMMYFUNCTION("""COMPUTED_VALUE"""),43366.0)</f>
        <v>43366</v>
      </c>
      <c r="I44" s="2">
        <f>IFERROR(__xludf.DUMMYFUNCTION("""COMPUTED_VALUE"""),43112.0)</f>
        <v>43112</v>
      </c>
      <c r="J44" t="str">
        <f>IFERROR(__xludf.DUMMYFUNCTION("""COMPUTED_VALUE"""),"/movies/?id=storks.htm")</f>
        <v>/movies/?id=storks.htm</v>
      </c>
    </row>
    <row r="45">
      <c r="A45">
        <f>IFERROR(__xludf.DUMMYFUNCTION("""COMPUTED_VALUE"""),44.0)</f>
        <v>44</v>
      </c>
      <c r="B45" t="str">
        <f>IFERROR(__xludf.DUMMYFUNCTION("""COMPUTED_VALUE"""),"10 Cloverfield Lane")</f>
        <v>10 Cloverfield Lane</v>
      </c>
      <c r="C45" t="str">
        <f>IFERROR(__xludf.DUMMYFUNCTION("""COMPUTED_VALUE"""),"Par.")</f>
        <v>Par.</v>
      </c>
      <c r="D45" t="str">
        <f>IFERROR(__xludf.DUMMYFUNCTION("""COMPUTED_VALUE"""),"$72,082,998")</f>
        <v>$72,082,998</v>
      </c>
      <c r="E45" s="1">
        <f>IFERROR(__xludf.DUMMYFUNCTION("""COMPUTED_VALUE"""),3427.0)</f>
        <v>3427</v>
      </c>
      <c r="F45" t="str">
        <f>IFERROR(__xludf.DUMMYFUNCTION("""COMPUTED_VALUE"""),"$24,727,437")</f>
        <v>$24,727,437</v>
      </c>
      <c r="G45" s="1">
        <f>IFERROR(__xludf.DUMMYFUNCTION("""COMPUTED_VALUE"""),3391.0)</f>
        <v>3391</v>
      </c>
      <c r="H45" s="2">
        <f>IFERROR(__xludf.DUMMYFUNCTION("""COMPUTED_VALUE"""),43170.0)</f>
        <v>43170</v>
      </c>
      <c r="I45" s="2">
        <f>IFERROR(__xludf.DUMMYFUNCTION("""COMPUTED_VALUE"""),43253.0)</f>
        <v>43253</v>
      </c>
      <c r="J45" t="str">
        <f>IFERROR(__xludf.DUMMYFUNCTION("""COMPUTED_VALUE"""),"/movies/?id=badrobot2016.htm")</f>
        <v>/movies/?id=badrobot2016.htm</v>
      </c>
    </row>
    <row r="46">
      <c r="A46">
        <f>IFERROR(__xludf.DUMMYFUNCTION("""COMPUTED_VALUE"""),45.0)</f>
        <v>45</v>
      </c>
      <c r="B46" t="str">
        <f>IFERROR(__xludf.DUMMYFUNCTION("""COMPUTED_VALUE"""),"Lights Out")</f>
        <v>Lights Out</v>
      </c>
      <c r="C46" t="str">
        <f>IFERROR(__xludf.DUMMYFUNCTION("""COMPUTED_VALUE"""),"WB (NL)")</f>
        <v>WB (NL)</v>
      </c>
      <c r="D46" t="str">
        <f>IFERROR(__xludf.DUMMYFUNCTION("""COMPUTED_VALUE"""),"$67,268,835")</f>
        <v>$67,268,835</v>
      </c>
      <c r="E46" s="1">
        <f>IFERROR(__xludf.DUMMYFUNCTION("""COMPUTED_VALUE"""),2835.0)</f>
        <v>2835</v>
      </c>
      <c r="F46" t="str">
        <f>IFERROR(__xludf.DUMMYFUNCTION("""COMPUTED_VALUE"""),"$21,688,103")</f>
        <v>$21,688,103</v>
      </c>
      <c r="G46" s="1">
        <f>IFERROR(__xludf.DUMMYFUNCTION("""COMPUTED_VALUE"""),2818.0)</f>
        <v>2818</v>
      </c>
      <c r="H46" s="2">
        <f>IFERROR(__xludf.DUMMYFUNCTION("""COMPUTED_VALUE"""),43303.0)</f>
        <v>43303</v>
      </c>
      <c r="I46" s="2">
        <f>IFERROR(__xludf.DUMMYFUNCTION("""COMPUTED_VALUE"""),43372.0)</f>
        <v>43372</v>
      </c>
      <c r="J46" t="str">
        <f>IFERROR(__xludf.DUMMYFUNCTION("""COMPUTED_VALUE"""),"/movies/?id=newline0116.htm")</f>
        <v>/movies/?id=newline0116.htm</v>
      </c>
    </row>
    <row r="47">
      <c r="A47">
        <f>IFERROR(__xludf.DUMMYFUNCTION("""COMPUTED_VALUE"""),46.0)</f>
        <v>46</v>
      </c>
      <c r="B47" t="str">
        <f>IFERROR(__xludf.DUMMYFUNCTION("""COMPUTED_VALUE"""),"Hacksaw Ridge")</f>
        <v>Hacksaw Ridge</v>
      </c>
      <c r="C47" t="str">
        <f>IFERROR(__xludf.DUMMYFUNCTION("""COMPUTED_VALUE"""),"LGF")</f>
        <v>LGF</v>
      </c>
      <c r="D47" t="str">
        <f>IFERROR(__xludf.DUMMYFUNCTION("""COMPUTED_VALUE"""),"$67,209,615")</f>
        <v>$67,209,615</v>
      </c>
      <c r="E47" s="1">
        <f>IFERROR(__xludf.DUMMYFUNCTION("""COMPUTED_VALUE"""),2971.0)</f>
        <v>2971</v>
      </c>
      <c r="F47" t="str">
        <f>IFERROR(__xludf.DUMMYFUNCTION("""COMPUTED_VALUE"""),"$15,190,758")</f>
        <v>$15,190,758</v>
      </c>
      <c r="G47" s="1">
        <f>IFERROR(__xludf.DUMMYFUNCTION("""COMPUTED_VALUE"""),2886.0)</f>
        <v>2886</v>
      </c>
      <c r="H47" s="2">
        <f>IFERROR(__xludf.DUMMYFUNCTION("""COMPUTED_VALUE"""),43408.0)</f>
        <v>43408</v>
      </c>
      <c r="I47" s="2">
        <f>IFERROR(__xludf.DUMMYFUNCTION("""COMPUTED_VALUE"""),43168.0)</f>
        <v>43168</v>
      </c>
      <c r="J47" t="str">
        <f>IFERROR(__xludf.DUMMYFUNCTION("""COMPUTED_VALUE"""),"/movies/?id=hacksawridge.htm")</f>
        <v>/movies/?id=hacksawridge.htm</v>
      </c>
    </row>
    <row r="48">
      <c r="A48">
        <f>IFERROR(__xludf.DUMMYFUNCTION("""COMPUTED_VALUE"""),47.0)</f>
        <v>47</v>
      </c>
      <c r="B48" t="str">
        <f>IFERROR(__xludf.DUMMYFUNCTION("""COMPUTED_VALUE"""),"The Divergent Series: Allegiant")</f>
        <v>The Divergent Series: Allegiant</v>
      </c>
      <c r="C48" t="str">
        <f>IFERROR(__xludf.DUMMYFUNCTION("""COMPUTED_VALUE"""),"LG/S")</f>
        <v>LG/S</v>
      </c>
      <c r="D48" t="str">
        <f>IFERROR(__xludf.DUMMYFUNCTION("""COMPUTED_VALUE"""),"$66,184,051")</f>
        <v>$66,184,051</v>
      </c>
      <c r="E48" s="1">
        <f>IFERROR(__xludf.DUMMYFUNCTION("""COMPUTED_VALUE"""),3740.0)</f>
        <v>3740</v>
      </c>
      <c r="F48" t="str">
        <f>IFERROR(__xludf.DUMMYFUNCTION("""COMPUTED_VALUE"""),"$29,027,348")</f>
        <v>$29,027,348</v>
      </c>
      <c r="G48" s="1">
        <f>IFERROR(__xludf.DUMMYFUNCTION("""COMPUTED_VALUE"""),3740.0)</f>
        <v>3740</v>
      </c>
      <c r="H48" s="2">
        <f>IFERROR(__xludf.DUMMYFUNCTION("""COMPUTED_VALUE"""),43177.0)</f>
        <v>43177</v>
      </c>
      <c r="I48" s="2">
        <f>IFERROR(__xludf.DUMMYFUNCTION("""COMPUTED_VALUE"""),43253.0)</f>
        <v>43253</v>
      </c>
      <c r="J48" t="str">
        <f>IFERROR(__xludf.DUMMYFUNCTION("""COMPUTED_VALUE"""),"/movies/?id=allegiant.htm")</f>
        <v>/movies/?id=allegiant.htm</v>
      </c>
    </row>
    <row r="49">
      <c r="A49">
        <f>IFERROR(__xludf.DUMMYFUNCTION("""COMPUTED_VALUE"""),48.0)</f>
        <v>48</v>
      </c>
      <c r="B49" t="str">
        <f>IFERROR(__xludf.DUMMYFUNCTION("""COMPUTED_VALUE"""),"Now You See Me 2")</f>
        <v>Now You See Me 2</v>
      </c>
      <c r="C49" t="str">
        <f>IFERROR(__xludf.DUMMYFUNCTION("""COMPUTED_VALUE"""),"LG/S")</f>
        <v>LG/S</v>
      </c>
      <c r="D49" t="str">
        <f>IFERROR(__xludf.DUMMYFUNCTION("""COMPUTED_VALUE"""),"$65,075,540")</f>
        <v>$65,075,540</v>
      </c>
      <c r="E49" s="1">
        <f>IFERROR(__xludf.DUMMYFUNCTION("""COMPUTED_VALUE"""),3232.0)</f>
        <v>3232</v>
      </c>
      <c r="F49" t="str">
        <f>IFERROR(__xludf.DUMMYFUNCTION("""COMPUTED_VALUE"""),"$22,383,146")</f>
        <v>$22,383,146</v>
      </c>
      <c r="G49" s="1">
        <f>IFERROR(__xludf.DUMMYFUNCTION("""COMPUTED_VALUE"""),3232.0)</f>
        <v>3232</v>
      </c>
      <c r="H49" s="2">
        <f>IFERROR(__xludf.DUMMYFUNCTION("""COMPUTED_VALUE"""),43261.0)</f>
        <v>43261</v>
      </c>
      <c r="I49" s="2">
        <f>IFERROR(__xludf.DUMMYFUNCTION("""COMPUTED_VALUE"""),43337.0)</f>
        <v>43337</v>
      </c>
      <c r="J49" t="str">
        <f>IFERROR(__xludf.DUMMYFUNCTION("""COMPUTED_VALUE"""),"/movies/?id=nowyouseeme2.htm")</f>
        <v>/movies/?id=nowyouseeme2.htm</v>
      </c>
    </row>
    <row r="50">
      <c r="A50">
        <f>IFERROR(__xludf.DUMMYFUNCTION("""COMPUTED_VALUE"""),49.0)</f>
        <v>49</v>
      </c>
      <c r="B50" t="str">
        <f>IFERROR(__xludf.DUMMYFUNCTION("""COMPUTED_VALUE"""),"Ice Age: Collision Course")</f>
        <v>Ice Age: Collision Course</v>
      </c>
      <c r="C50" t="str">
        <f>IFERROR(__xludf.DUMMYFUNCTION("""COMPUTED_VALUE"""),"Fox")</f>
        <v>Fox</v>
      </c>
      <c r="D50" t="str">
        <f>IFERROR(__xludf.DUMMYFUNCTION("""COMPUTED_VALUE"""),"$64,063,008")</f>
        <v>$64,063,008</v>
      </c>
      <c r="E50" s="1">
        <f>IFERROR(__xludf.DUMMYFUNCTION("""COMPUTED_VALUE"""),3997.0)</f>
        <v>3997</v>
      </c>
      <c r="F50" t="str">
        <f>IFERROR(__xludf.DUMMYFUNCTION("""COMPUTED_VALUE"""),"$21,373,064")</f>
        <v>$21,373,064</v>
      </c>
      <c r="G50" s="1">
        <f>IFERROR(__xludf.DUMMYFUNCTION("""COMPUTED_VALUE"""),3992.0)</f>
        <v>3992</v>
      </c>
      <c r="H50" s="2">
        <f>IFERROR(__xludf.DUMMYFUNCTION("""COMPUTED_VALUE"""),43303.0)</f>
        <v>43303</v>
      </c>
      <c r="I50" s="2">
        <f>IFERROR(__xludf.DUMMYFUNCTION("""COMPUTED_VALUE"""),43407.0)</f>
        <v>43407</v>
      </c>
      <c r="J50" t="str">
        <f>IFERROR(__xludf.DUMMYFUNCTION("""COMPUTED_VALUE"""),"/movies/?id=iceage5.htm")</f>
        <v>/movies/?id=iceage5.htm</v>
      </c>
    </row>
    <row r="51">
      <c r="A51">
        <f>IFERROR(__xludf.DUMMYFUNCTION("""COMPUTED_VALUE"""),50.0)</f>
        <v>50</v>
      </c>
      <c r="B51" t="str">
        <f>IFERROR(__xludf.DUMMYFUNCTION("""COMPUTED_VALUE"""),"The Boss")</f>
        <v>The Boss</v>
      </c>
      <c r="C51" t="str">
        <f>IFERROR(__xludf.DUMMYFUNCTION("""COMPUTED_VALUE"""),"Uni.")</f>
        <v>Uni.</v>
      </c>
      <c r="D51" t="str">
        <f>IFERROR(__xludf.DUMMYFUNCTION("""COMPUTED_VALUE"""),"$63,285,885")</f>
        <v>$63,285,885</v>
      </c>
      <c r="E51" s="1">
        <f>IFERROR(__xludf.DUMMYFUNCTION("""COMPUTED_VALUE"""),3495.0)</f>
        <v>3495</v>
      </c>
      <c r="F51" t="str">
        <f>IFERROR(__xludf.DUMMYFUNCTION("""COMPUTED_VALUE"""),"$23,586,645")</f>
        <v>$23,586,645</v>
      </c>
      <c r="G51" s="1">
        <f>IFERROR(__xludf.DUMMYFUNCTION("""COMPUTED_VALUE"""),3480.0)</f>
        <v>3480</v>
      </c>
      <c r="H51" s="2">
        <f>IFERROR(__xludf.DUMMYFUNCTION("""COMPUTED_VALUE"""),43198.0)</f>
        <v>43198</v>
      </c>
      <c r="I51" s="2">
        <f>IFERROR(__xludf.DUMMYFUNCTION("""COMPUTED_VALUE"""),43316.0)</f>
        <v>43316</v>
      </c>
      <c r="J51" t="str">
        <f>IFERROR(__xludf.DUMMYFUNCTION("""COMPUTED_VALUE"""),"/movies/?id=michelledarnell.htm")</f>
        <v>/movies/?id=michelledarnell.htm</v>
      </c>
    </row>
    <row r="52">
      <c r="A52">
        <f>IFERROR(__xludf.DUMMYFUNCTION("""COMPUTED_VALUE"""),51.0)</f>
        <v>51</v>
      </c>
      <c r="B52" t="str">
        <f>IFERROR(__xludf.DUMMYFUNCTION("""COMPUTED_VALUE"""),"London Has Fallen")</f>
        <v>London Has Fallen</v>
      </c>
      <c r="C52" t="str">
        <f>IFERROR(__xludf.DUMMYFUNCTION("""COMPUTED_VALUE"""),"Focus")</f>
        <v>Focus</v>
      </c>
      <c r="D52" t="str">
        <f>IFERROR(__xludf.DUMMYFUNCTION("""COMPUTED_VALUE"""),"$62,524,260")</f>
        <v>$62,524,260</v>
      </c>
      <c r="E52" s="1">
        <f>IFERROR(__xludf.DUMMYFUNCTION("""COMPUTED_VALUE"""),3492.0)</f>
        <v>3492</v>
      </c>
      <c r="F52" t="str">
        <f>IFERROR(__xludf.DUMMYFUNCTION("""COMPUTED_VALUE"""),"$21,635,601")</f>
        <v>$21,635,601</v>
      </c>
      <c r="G52" s="1">
        <f>IFERROR(__xludf.DUMMYFUNCTION("""COMPUTED_VALUE"""),3490.0)</f>
        <v>3490</v>
      </c>
      <c r="H52" s="2">
        <f>IFERROR(__xludf.DUMMYFUNCTION("""COMPUTED_VALUE"""),43163.0)</f>
        <v>43163</v>
      </c>
      <c r="I52" s="2">
        <f>IFERROR(__xludf.DUMMYFUNCTION("""COMPUTED_VALUE"""),43253.0)</f>
        <v>43253</v>
      </c>
      <c r="J52" t="str">
        <f>IFERROR(__xludf.DUMMYFUNCTION("""COMPUTED_VALUE"""),"/movies/?id=londonhasfallen.htm")</f>
        <v>/movies/?id=londonhasfallen.htm</v>
      </c>
    </row>
    <row r="53">
      <c r="A53">
        <f>IFERROR(__xludf.DUMMYFUNCTION("""COMPUTED_VALUE"""),52.0)</f>
        <v>52</v>
      </c>
      <c r="B53" t="str">
        <f>IFERROR(__xludf.DUMMYFUNCTION("""COMPUTED_VALUE"""),"Miracles from Heaven")</f>
        <v>Miracles from Heaven</v>
      </c>
      <c r="C53" t="str">
        <f>IFERROR(__xludf.DUMMYFUNCTION("""COMPUTED_VALUE"""),"TriS")</f>
        <v>TriS</v>
      </c>
      <c r="D53" t="str">
        <f>IFERROR(__xludf.DUMMYFUNCTION("""COMPUTED_VALUE"""),"$61,705,123")</f>
        <v>$61,705,123</v>
      </c>
      <c r="E53" s="1">
        <f>IFERROR(__xludf.DUMMYFUNCTION("""COMPUTED_VALUE"""),3155.0)</f>
        <v>3155</v>
      </c>
      <c r="F53" t="str">
        <f>IFERROR(__xludf.DUMMYFUNCTION("""COMPUTED_VALUE"""),"$14,812,393")</f>
        <v>$14,812,393</v>
      </c>
      <c r="G53" s="1">
        <f>IFERROR(__xludf.DUMMYFUNCTION("""COMPUTED_VALUE"""),3047.0)</f>
        <v>3047</v>
      </c>
      <c r="H53" s="2">
        <f>IFERROR(__xludf.DUMMYFUNCTION("""COMPUTED_VALUE"""),43175.0)</f>
        <v>43175</v>
      </c>
      <c r="I53" s="2">
        <f>IFERROR(__xludf.DUMMYFUNCTION("""COMPUTED_VALUE"""),43302.0)</f>
        <v>43302</v>
      </c>
      <c r="J53" t="str">
        <f>IFERROR(__xludf.DUMMYFUNCTION("""COMPUTED_VALUE"""),"/movies/?id=miraclesfromheaven.htm")</f>
        <v>/movies/?id=miraclesfromheaven.htm</v>
      </c>
    </row>
    <row r="54">
      <c r="A54">
        <f>IFERROR(__xludf.DUMMYFUNCTION("""COMPUTED_VALUE"""),53.0)</f>
        <v>53</v>
      </c>
      <c r="B54" t="str">
        <f>IFERROR(__xludf.DUMMYFUNCTION("""COMPUTED_VALUE"""),"Deepwater Horizon")</f>
        <v>Deepwater Horizon</v>
      </c>
      <c r="C54" t="str">
        <f>IFERROR(__xludf.DUMMYFUNCTION("""COMPUTED_VALUE"""),"LG/S")</f>
        <v>LG/S</v>
      </c>
      <c r="D54" t="str">
        <f>IFERROR(__xludf.DUMMYFUNCTION("""COMPUTED_VALUE"""),"$61,433,527")</f>
        <v>$61,433,527</v>
      </c>
      <c r="E54" s="1">
        <f>IFERROR(__xludf.DUMMYFUNCTION("""COMPUTED_VALUE"""),3403.0)</f>
        <v>3403</v>
      </c>
      <c r="F54" t="str">
        <f>IFERROR(__xludf.DUMMYFUNCTION("""COMPUTED_VALUE"""),"$20,223,544")</f>
        <v>$20,223,544</v>
      </c>
      <c r="G54" s="1">
        <f>IFERROR(__xludf.DUMMYFUNCTION("""COMPUTED_VALUE"""),3259.0)</f>
        <v>3259</v>
      </c>
      <c r="H54" s="2">
        <f>IFERROR(__xludf.DUMMYFUNCTION("""COMPUTED_VALUE"""),43373.0)</f>
        <v>43373</v>
      </c>
      <c r="I54" s="2">
        <f>IFERROR(__xludf.DUMMYFUNCTION("""COMPUTED_VALUE"""),43449.0)</f>
        <v>43449</v>
      </c>
      <c r="J54" t="str">
        <f>IFERROR(__xludf.DUMMYFUNCTION("""COMPUTED_VALUE"""),"/movies/?id=deepwaterhorizon.htm")</f>
        <v>/movies/?id=deepwaterhorizon.htm</v>
      </c>
    </row>
    <row r="55">
      <c r="A55">
        <f>IFERROR(__xludf.DUMMYFUNCTION("""COMPUTED_VALUE"""),54.0)</f>
        <v>54</v>
      </c>
      <c r="B55" t="str">
        <f>IFERROR(__xludf.DUMMYFUNCTION("""COMPUTED_VALUE"""),"Why Him?")</f>
        <v>Why Him?</v>
      </c>
      <c r="C55" t="str">
        <f>IFERROR(__xludf.DUMMYFUNCTION("""COMPUTED_VALUE"""),"Fox")</f>
        <v>Fox</v>
      </c>
      <c r="D55" t="str">
        <f>IFERROR(__xludf.DUMMYFUNCTION("""COMPUTED_VALUE"""),"$60,323,786")</f>
        <v>$60,323,786</v>
      </c>
      <c r="E55" s="1">
        <f>IFERROR(__xludf.DUMMYFUNCTION("""COMPUTED_VALUE"""),3008.0)</f>
        <v>3008</v>
      </c>
      <c r="F55" t="str">
        <f>IFERROR(__xludf.DUMMYFUNCTION("""COMPUTED_VALUE"""),"$11,002,986")</f>
        <v>$11,002,986</v>
      </c>
      <c r="G55" s="1">
        <f>IFERROR(__xludf.DUMMYFUNCTION("""COMPUTED_VALUE"""),2917.0)</f>
        <v>2917</v>
      </c>
      <c r="H55" s="2">
        <f>IFERROR(__xludf.DUMMYFUNCTION("""COMPUTED_VALUE"""),43457.0)</f>
        <v>43457</v>
      </c>
      <c r="I55" s="2">
        <f>IFERROR(__xludf.DUMMYFUNCTION("""COMPUTED_VALUE"""),43182.0)</f>
        <v>43182</v>
      </c>
      <c r="J55" t="str">
        <f>IFERROR(__xludf.DUMMYFUNCTION("""COMPUTED_VALUE"""),"/movies/?id=whyhim.htm")</f>
        <v>/movies/?id=whyhim.htm</v>
      </c>
    </row>
    <row r="56">
      <c r="A56">
        <f>IFERROR(__xludf.DUMMYFUNCTION("""COMPUTED_VALUE"""),55.0)</f>
        <v>55</v>
      </c>
      <c r="B56" t="str">
        <f>IFERROR(__xludf.DUMMYFUNCTION("""COMPUTED_VALUE"""),"My Big Fat Greek Wedding 2")</f>
        <v>My Big Fat Greek Wedding 2</v>
      </c>
      <c r="C56" t="str">
        <f>IFERROR(__xludf.DUMMYFUNCTION("""COMPUTED_VALUE"""),"Uni.")</f>
        <v>Uni.</v>
      </c>
      <c r="D56" t="str">
        <f>IFERROR(__xludf.DUMMYFUNCTION("""COMPUTED_VALUE"""),"$59,689,605")</f>
        <v>$59,689,605</v>
      </c>
      <c r="E56" s="1">
        <f>IFERROR(__xludf.DUMMYFUNCTION("""COMPUTED_VALUE"""),3179.0)</f>
        <v>3179</v>
      </c>
      <c r="F56" t="str">
        <f>IFERROR(__xludf.DUMMYFUNCTION("""COMPUTED_VALUE"""),"$17,861,950")</f>
        <v>$17,861,950</v>
      </c>
      <c r="G56" s="1">
        <f>IFERROR(__xludf.DUMMYFUNCTION("""COMPUTED_VALUE"""),3133.0)</f>
        <v>3133</v>
      </c>
      <c r="H56" s="2">
        <f>IFERROR(__xludf.DUMMYFUNCTION("""COMPUTED_VALUE"""),43184.0)</f>
        <v>43184</v>
      </c>
      <c r="I56" s="2">
        <f>IFERROR(__xludf.DUMMYFUNCTION("""COMPUTED_VALUE"""),43246.0)</f>
        <v>43246</v>
      </c>
      <c r="J56" t="str">
        <f>IFERROR(__xludf.DUMMYFUNCTION("""COMPUTED_VALUE"""),"/movies/?id=mybigfatgreekwedding2.htm")</f>
        <v>/movies/?id=mybigfatgreekwedding2.htm</v>
      </c>
    </row>
    <row r="57">
      <c r="A57">
        <f>IFERROR(__xludf.DUMMYFUNCTION("""COMPUTED_VALUE"""),56.0)</f>
        <v>56</v>
      </c>
      <c r="B57" t="str">
        <f>IFERROR(__xludf.DUMMYFUNCTION("""COMPUTED_VALUE"""),"Jack Reacher: Never Go Back")</f>
        <v>Jack Reacher: Never Go Back</v>
      </c>
      <c r="C57" t="str">
        <f>IFERROR(__xludf.DUMMYFUNCTION("""COMPUTED_VALUE"""),"Par.")</f>
        <v>Par.</v>
      </c>
      <c r="D57" t="str">
        <f>IFERROR(__xludf.DUMMYFUNCTION("""COMPUTED_VALUE"""),"$58,697,076")</f>
        <v>$58,697,076</v>
      </c>
      <c r="E57" s="1">
        <f>IFERROR(__xludf.DUMMYFUNCTION("""COMPUTED_VALUE"""),3780.0)</f>
        <v>3780</v>
      </c>
      <c r="F57" t="str">
        <f>IFERROR(__xludf.DUMMYFUNCTION("""COMPUTED_VALUE"""),"$22,872,490")</f>
        <v>$22,872,490</v>
      </c>
      <c r="G57" s="1">
        <f>IFERROR(__xludf.DUMMYFUNCTION("""COMPUTED_VALUE"""),3780.0)</f>
        <v>3780</v>
      </c>
      <c r="H57" s="2">
        <f>IFERROR(__xludf.DUMMYFUNCTION("""COMPUTED_VALUE"""),43394.0)</f>
        <v>43394</v>
      </c>
      <c r="I57" s="2">
        <f>IFERROR(__xludf.DUMMYFUNCTION("""COMPUTED_VALUE"""),43112.0)</f>
        <v>43112</v>
      </c>
      <c r="J57" t="str">
        <f>IFERROR(__xludf.DUMMYFUNCTION("""COMPUTED_VALUE"""),"/movies/?id=jackreacher2.htm")</f>
        <v>/movies/?id=jackreacher2.htm</v>
      </c>
    </row>
    <row r="58">
      <c r="A58">
        <f>IFERROR(__xludf.DUMMYFUNCTION("""COMPUTED_VALUE"""),57.0)</f>
        <v>57</v>
      </c>
      <c r="B58" t="str">
        <f>IFERROR(__xludf.DUMMYFUNCTION("""COMPUTED_VALUE"""),"Fences")</f>
        <v>Fences</v>
      </c>
      <c r="C58" t="str">
        <f>IFERROR(__xludf.DUMMYFUNCTION("""COMPUTED_VALUE"""),"Par.")</f>
        <v>Par.</v>
      </c>
      <c r="D58" t="str">
        <f>IFERROR(__xludf.DUMMYFUNCTION("""COMPUTED_VALUE"""),"$57,682,904")</f>
        <v>$57,682,904</v>
      </c>
      <c r="E58" s="1">
        <f>IFERROR(__xludf.DUMMYFUNCTION("""COMPUTED_VALUE"""),2368.0)</f>
        <v>2368</v>
      </c>
      <c r="F58" t="str">
        <f>IFERROR(__xludf.DUMMYFUNCTION("""COMPUTED_VALUE"""),"$129,462")</f>
        <v>$129,462</v>
      </c>
      <c r="G58">
        <f>IFERROR(__xludf.DUMMYFUNCTION("""COMPUTED_VALUE"""),4.0)</f>
        <v>4</v>
      </c>
      <c r="H58" s="2">
        <f>IFERROR(__xludf.DUMMYFUNCTION("""COMPUTED_VALUE"""),43450.0)</f>
        <v>43450</v>
      </c>
      <c r="I58" s="2">
        <f>IFERROR(__xludf.DUMMYFUNCTION("""COMPUTED_VALUE"""),43189.0)</f>
        <v>43189</v>
      </c>
      <c r="J58" t="str">
        <f>IFERROR(__xludf.DUMMYFUNCTION("""COMPUTED_VALUE"""),"/movies/?id=fences.htm")</f>
        <v>/movies/?id=fences.htm</v>
      </c>
    </row>
    <row r="59">
      <c r="A59">
        <f>IFERROR(__xludf.DUMMYFUNCTION("""COMPUTED_VALUE"""),58.0)</f>
        <v>58</v>
      </c>
      <c r="B59" t="str">
        <f>IFERROR(__xludf.DUMMYFUNCTION("""COMPUTED_VALUE"""),"Me Before You")</f>
        <v>Me Before You</v>
      </c>
      <c r="C59" t="str">
        <f>IFERROR(__xludf.DUMMYFUNCTION("""COMPUTED_VALUE"""),"WB (NL)")</f>
        <v>WB (NL)</v>
      </c>
      <c r="D59" t="str">
        <f>IFERROR(__xludf.DUMMYFUNCTION("""COMPUTED_VALUE"""),"$56,245,075")</f>
        <v>$56,245,075</v>
      </c>
      <c r="E59" s="1">
        <f>IFERROR(__xludf.DUMMYFUNCTION("""COMPUTED_VALUE"""),2762.0)</f>
        <v>2762</v>
      </c>
      <c r="F59" t="str">
        <f>IFERROR(__xludf.DUMMYFUNCTION("""COMPUTED_VALUE"""),"$18,723,269")</f>
        <v>$18,723,269</v>
      </c>
      <c r="G59" s="1">
        <f>IFERROR(__xludf.DUMMYFUNCTION("""COMPUTED_VALUE"""),2704.0)</f>
        <v>2704</v>
      </c>
      <c r="H59" s="2">
        <f>IFERROR(__xludf.DUMMYFUNCTION("""COMPUTED_VALUE"""),43254.0)</f>
        <v>43254</v>
      </c>
      <c r="I59" s="2">
        <f>IFERROR(__xludf.DUMMYFUNCTION("""COMPUTED_VALUE"""),43330.0)</f>
        <v>43330</v>
      </c>
      <c r="J59" t="str">
        <f>IFERROR(__xludf.DUMMYFUNCTION("""COMPUTED_VALUE"""),"/movies/?id=mebeforeyou.htm")</f>
        <v>/movies/?id=mebeforeyou.htm</v>
      </c>
    </row>
    <row r="60">
      <c r="A60">
        <f>IFERROR(__xludf.DUMMYFUNCTION("""COMPUTED_VALUE"""),59.0)</f>
        <v>59</v>
      </c>
      <c r="B60" t="str">
        <f>IFERROR(__xludf.DUMMYFUNCTION("""COMPUTED_VALUE"""),"The BFG")</f>
        <v>The BFG</v>
      </c>
      <c r="C60" t="str">
        <f>IFERROR(__xludf.DUMMYFUNCTION("""COMPUTED_VALUE"""),"BV")</f>
        <v>BV</v>
      </c>
      <c r="D60" t="str">
        <f>IFERROR(__xludf.DUMMYFUNCTION("""COMPUTED_VALUE"""),"$55,483,770")</f>
        <v>$55,483,770</v>
      </c>
      <c r="E60" s="1">
        <f>IFERROR(__xludf.DUMMYFUNCTION("""COMPUTED_VALUE"""),3392.0)</f>
        <v>3392</v>
      </c>
      <c r="F60" t="str">
        <f>IFERROR(__xludf.DUMMYFUNCTION("""COMPUTED_VALUE"""),"$18,775,350")</f>
        <v>$18,775,350</v>
      </c>
      <c r="G60" s="1">
        <f>IFERROR(__xludf.DUMMYFUNCTION("""COMPUTED_VALUE"""),3357.0)</f>
        <v>3357</v>
      </c>
      <c r="H60" s="2">
        <f>IFERROR(__xludf.DUMMYFUNCTION("""COMPUTED_VALUE"""),43282.0)</f>
        <v>43282</v>
      </c>
      <c r="I60" s="2">
        <f>IFERROR(__xludf.DUMMYFUNCTION("""COMPUTED_VALUE"""),43386.0)</f>
        <v>43386</v>
      </c>
      <c r="J60" t="str">
        <f>IFERROR(__xludf.DUMMYFUNCTION("""COMPUTED_VALUE"""),"/movies/?id=bfg.htm")</f>
        <v>/movies/?id=bfg.htm</v>
      </c>
    </row>
    <row r="61">
      <c r="A61">
        <f>IFERROR(__xludf.DUMMYFUNCTION("""COMPUTED_VALUE"""),60.0)</f>
        <v>60</v>
      </c>
      <c r="B61" t="str">
        <f>IFERROR(__xludf.DUMMYFUNCTION("""COMPUTED_VALUE"""),"Neighbors 2: Sorority Rising")</f>
        <v>Neighbors 2: Sorority Rising</v>
      </c>
      <c r="C61" t="str">
        <f>IFERROR(__xludf.DUMMYFUNCTION("""COMPUTED_VALUE"""),"Uni.")</f>
        <v>Uni.</v>
      </c>
      <c r="D61" t="str">
        <f>IFERROR(__xludf.DUMMYFUNCTION("""COMPUTED_VALUE"""),"$55,455,765")</f>
        <v>$55,455,765</v>
      </c>
      <c r="E61" s="1">
        <f>IFERROR(__xludf.DUMMYFUNCTION("""COMPUTED_VALUE"""),3416.0)</f>
        <v>3416</v>
      </c>
      <c r="F61" t="str">
        <f>IFERROR(__xludf.DUMMYFUNCTION("""COMPUTED_VALUE"""),"$21,760,405")</f>
        <v>$21,760,405</v>
      </c>
      <c r="G61" s="1">
        <f>IFERROR(__xludf.DUMMYFUNCTION("""COMPUTED_VALUE"""),3384.0)</f>
        <v>3384</v>
      </c>
      <c r="H61" s="2">
        <f>IFERROR(__xludf.DUMMYFUNCTION("""COMPUTED_VALUE"""),43240.0)</f>
        <v>43240</v>
      </c>
      <c r="I61" s="2">
        <f>IFERROR(__xludf.DUMMYFUNCTION("""COMPUTED_VALUE"""),43295.0)</f>
        <v>43295</v>
      </c>
      <c r="J61" t="str">
        <f>IFERROR(__xludf.DUMMYFUNCTION("""COMPUTED_VALUE"""),"/movies/?id=universalcomedy2016.htm")</f>
        <v>/movies/?id=universalcomedy2016.htm</v>
      </c>
    </row>
    <row r="62">
      <c r="A62">
        <f>IFERROR(__xludf.DUMMYFUNCTION("""COMPUTED_VALUE"""),61.0)</f>
        <v>61</v>
      </c>
      <c r="B62" t="str">
        <f>IFERROR(__xludf.DUMMYFUNCTION("""COMPUTED_VALUE"""),"The Shallows")</f>
        <v>The Shallows</v>
      </c>
      <c r="C62" t="str">
        <f>IFERROR(__xludf.DUMMYFUNCTION("""COMPUTED_VALUE"""),"Sony")</f>
        <v>Sony</v>
      </c>
      <c r="D62" t="str">
        <f>IFERROR(__xludf.DUMMYFUNCTION("""COMPUTED_VALUE"""),"$55,124,043")</f>
        <v>$55,124,043</v>
      </c>
      <c r="E62" s="1">
        <f>IFERROR(__xludf.DUMMYFUNCTION("""COMPUTED_VALUE"""),2962.0)</f>
        <v>2962</v>
      </c>
      <c r="F62" t="str">
        <f>IFERROR(__xludf.DUMMYFUNCTION("""COMPUTED_VALUE"""),"$16,800,868")</f>
        <v>$16,800,868</v>
      </c>
      <c r="G62" s="1">
        <f>IFERROR(__xludf.DUMMYFUNCTION("""COMPUTED_VALUE"""),2962.0)</f>
        <v>2962</v>
      </c>
      <c r="H62" s="2">
        <f>IFERROR(__xludf.DUMMYFUNCTION("""COMPUTED_VALUE"""),43275.0)</f>
        <v>43275</v>
      </c>
      <c r="I62" s="2">
        <f>IFERROR(__xludf.DUMMYFUNCTION("""COMPUTED_VALUE"""),43372.0)</f>
        <v>43372</v>
      </c>
      <c r="J62" t="str">
        <f>IFERROR(__xludf.DUMMYFUNCTION("""COMPUTED_VALUE"""),"/movies/?id=theshallows.htm")</f>
        <v>/movies/?id=theshallows.htm</v>
      </c>
    </row>
    <row r="63">
      <c r="A63">
        <f>IFERROR(__xludf.DUMMYFUNCTION("""COMPUTED_VALUE"""),62.0)</f>
        <v>62</v>
      </c>
      <c r="B63" t="str">
        <f>IFERROR(__xludf.DUMMYFUNCTION("""COMPUTED_VALUE"""),"Office Christmas Party")</f>
        <v>Office Christmas Party</v>
      </c>
      <c r="C63" t="str">
        <f>IFERROR(__xludf.DUMMYFUNCTION("""COMPUTED_VALUE"""),"Par.")</f>
        <v>Par.</v>
      </c>
      <c r="D63" t="str">
        <f>IFERROR(__xludf.DUMMYFUNCTION("""COMPUTED_VALUE"""),"$54,767,494")</f>
        <v>$54,767,494</v>
      </c>
      <c r="E63" s="1">
        <f>IFERROR(__xludf.DUMMYFUNCTION("""COMPUTED_VALUE"""),3210.0)</f>
        <v>3210</v>
      </c>
      <c r="F63" t="str">
        <f>IFERROR(__xludf.DUMMYFUNCTION("""COMPUTED_VALUE"""),"$16,890,204")</f>
        <v>$16,890,204</v>
      </c>
      <c r="G63" s="1">
        <f>IFERROR(__xludf.DUMMYFUNCTION("""COMPUTED_VALUE"""),3210.0)</f>
        <v>3210</v>
      </c>
      <c r="H63" s="2">
        <f>IFERROR(__xludf.DUMMYFUNCTION("""COMPUTED_VALUE"""),43443.0)</f>
        <v>43443</v>
      </c>
      <c r="I63" s="2">
        <f>IFERROR(__xludf.DUMMYFUNCTION("""COMPUTED_VALUE"""),43126.0)</f>
        <v>43126</v>
      </c>
      <c r="J63" t="str">
        <f>IFERROR(__xludf.DUMMYFUNCTION("""COMPUTED_VALUE"""),"/movies/?id=officechristmasparty.htm")</f>
        <v>/movies/?id=officechristmasparty.htm</v>
      </c>
    </row>
    <row r="64">
      <c r="A64">
        <f>IFERROR(__xludf.DUMMYFUNCTION("""COMPUTED_VALUE"""),63.0)</f>
        <v>63</v>
      </c>
      <c r="B64" t="str">
        <f>IFERROR(__xludf.DUMMYFUNCTION("""COMPUTED_VALUE"""),"Assassin's Creed")</f>
        <v>Assassin's Creed</v>
      </c>
      <c r="C64" t="str">
        <f>IFERROR(__xludf.DUMMYFUNCTION("""COMPUTED_VALUE"""),"Fox")</f>
        <v>Fox</v>
      </c>
      <c r="D64" t="str">
        <f>IFERROR(__xludf.DUMMYFUNCTION("""COMPUTED_VALUE"""),"$54,647,948")</f>
        <v>$54,647,948</v>
      </c>
      <c r="E64" s="1">
        <f>IFERROR(__xludf.DUMMYFUNCTION("""COMPUTED_VALUE"""),2996.0)</f>
        <v>2996</v>
      </c>
      <c r="F64" t="str">
        <f>IFERROR(__xludf.DUMMYFUNCTION("""COMPUTED_VALUE"""),"$10,278,225")</f>
        <v>$10,278,225</v>
      </c>
      <c r="G64" s="1">
        <f>IFERROR(__xludf.DUMMYFUNCTION("""COMPUTED_VALUE"""),2970.0)</f>
        <v>2970</v>
      </c>
      <c r="H64" s="2">
        <f>IFERROR(__xludf.DUMMYFUNCTION("""COMPUTED_VALUE"""),43455.0)</f>
        <v>43455</v>
      </c>
      <c r="I64" s="2">
        <f>IFERROR(__xludf.DUMMYFUNCTION("""COMPUTED_VALUE"""),43168.0)</f>
        <v>43168</v>
      </c>
      <c r="J64" t="str">
        <f>IFERROR(__xludf.DUMMYFUNCTION("""COMPUTED_VALUE"""),"/movies/?id=assassinscreed.htm")</f>
        <v>/movies/?id=assassinscreed.htm</v>
      </c>
    </row>
    <row r="65">
      <c r="A65">
        <f>IFERROR(__xludf.DUMMYFUNCTION("""COMPUTED_VALUE"""),64.0)</f>
        <v>64</v>
      </c>
      <c r="B65" t="str">
        <f>IFERROR(__xludf.DUMMYFUNCTION("""COMPUTED_VALUE"""),"Barbershop: The Next Cut")</f>
        <v>Barbershop: The Next Cut</v>
      </c>
      <c r="C65" t="str">
        <f>IFERROR(__xludf.DUMMYFUNCTION("""COMPUTED_VALUE"""),"WB (NL)")</f>
        <v>WB (NL)</v>
      </c>
      <c r="D65" t="str">
        <f>IFERROR(__xludf.DUMMYFUNCTION("""COMPUTED_VALUE"""),"$54,030,051")</f>
        <v>$54,030,051</v>
      </c>
      <c r="E65" s="1">
        <f>IFERROR(__xludf.DUMMYFUNCTION("""COMPUTED_VALUE"""),2676.0)</f>
        <v>2676</v>
      </c>
      <c r="F65" t="str">
        <f>IFERROR(__xludf.DUMMYFUNCTION("""COMPUTED_VALUE"""),"$20,242,415")</f>
        <v>$20,242,415</v>
      </c>
      <c r="G65" s="1">
        <f>IFERROR(__xludf.DUMMYFUNCTION("""COMPUTED_VALUE"""),2661.0)</f>
        <v>2661</v>
      </c>
      <c r="H65" s="2">
        <f>IFERROR(__xludf.DUMMYFUNCTION("""COMPUTED_VALUE"""),43205.0)</f>
        <v>43205</v>
      </c>
      <c r="I65" s="2">
        <f>IFERROR(__xludf.DUMMYFUNCTION("""COMPUTED_VALUE"""),43295.0)</f>
        <v>43295</v>
      </c>
      <c r="J65" t="str">
        <f>IFERROR(__xludf.DUMMYFUNCTION("""COMPUTED_VALUE"""),"/movies/?id=barbershop3.htm")</f>
        <v>/movies/?id=barbershop3.htm</v>
      </c>
    </row>
    <row r="66">
      <c r="A66">
        <f>IFERROR(__xludf.DUMMYFUNCTION("""COMPUTED_VALUE"""),65.0)</f>
        <v>65</v>
      </c>
      <c r="B66" t="str">
        <f>IFERROR(__xludf.DUMMYFUNCTION("""COMPUTED_VALUE"""),"13 Hours: The Secret Soldiers of Benghazi")</f>
        <v>13 Hours: The Secret Soldiers of Benghazi</v>
      </c>
      <c r="C66" t="str">
        <f>IFERROR(__xludf.DUMMYFUNCTION("""COMPUTED_VALUE"""),"Par.")</f>
        <v>Par.</v>
      </c>
      <c r="D66" t="str">
        <f>IFERROR(__xludf.DUMMYFUNCTION("""COMPUTED_VALUE"""),"$52,853,219")</f>
        <v>$52,853,219</v>
      </c>
      <c r="E66" s="1">
        <f>IFERROR(__xludf.DUMMYFUNCTION("""COMPUTED_VALUE"""),2917.0)</f>
        <v>2917</v>
      </c>
      <c r="F66" t="str">
        <f>IFERROR(__xludf.DUMMYFUNCTION("""COMPUTED_VALUE"""),"$16,194,738")</f>
        <v>$16,194,738</v>
      </c>
      <c r="G66" s="1">
        <f>IFERROR(__xludf.DUMMYFUNCTION("""COMPUTED_VALUE"""),2389.0)</f>
        <v>2389</v>
      </c>
      <c r="H66" s="2">
        <f>IFERROR(__xludf.DUMMYFUNCTION("""COMPUTED_VALUE"""),43115.0)</f>
        <v>43115</v>
      </c>
      <c r="I66" s="2">
        <f>IFERROR(__xludf.DUMMYFUNCTION("""COMPUTED_VALUE"""),43183.0)</f>
        <v>43183</v>
      </c>
      <c r="J66" t="str">
        <f>IFERROR(__xludf.DUMMYFUNCTION("""COMPUTED_VALUE"""),"/movies/?id=13hoursthesecretsoldiersofbenghazi.htm")</f>
        <v>/movies/?id=13hoursthesecretsoldiersofbenghazi.htm</v>
      </c>
    </row>
    <row r="67">
      <c r="A67">
        <f>IFERROR(__xludf.DUMMYFUNCTION("""COMPUTED_VALUE"""),66.0)</f>
        <v>66</v>
      </c>
      <c r="B67" t="str">
        <f>IFERROR(__xludf.DUMMYFUNCTION("""COMPUTED_VALUE"""),"Lion")</f>
        <v>Lion</v>
      </c>
      <c r="C67" t="str">
        <f>IFERROR(__xludf.DUMMYFUNCTION("""COMPUTED_VALUE"""),"Wein.")</f>
        <v>Wein.</v>
      </c>
      <c r="D67" t="str">
        <f>IFERROR(__xludf.DUMMYFUNCTION("""COMPUTED_VALUE"""),"$51,738,905")</f>
        <v>$51,738,905</v>
      </c>
      <c r="E67" s="1">
        <f>IFERROR(__xludf.DUMMYFUNCTION("""COMPUTED_VALUE"""),1802.0)</f>
        <v>1802</v>
      </c>
      <c r="F67" t="str">
        <f>IFERROR(__xludf.DUMMYFUNCTION("""COMPUTED_VALUE"""),"$123,360")</f>
        <v>$123,360</v>
      </c>
      <c r="G67">
        <f>IFERROR(__xludf.DUMMYFUNCTION("""COMPUTED_VALUE"""),4.0)</f>
        <v>4</v>
      </c>
      <c r="H67" s="2">
        <f>IFERROR(__xludf.DUMMYFUNCTION("""COMPUTED_VALUE"""),43429.0)</f>
        <v>43429</v>
      </c>
      <c r="I67" s="2">
        <f>IFERROR(__xludf.DUMMYFUNCTION("""COMPUTED_VALUE"""),43231.0)</f>
        <v>43231</v>
      </c>
      <c r="J67" t="str">
        <f>IFERROR(__xludf.DUMMYFUNCTION("""COMPUTED_VALUE"""),"/movies/?id=lion.htm")</f>
        <v>/movies/?id=lion.htm</v>
      </c>
    </row>
    <row r="68">
      <c r="A68">
        <f>IFERROR(__xludf.DUMMYFUNCTION("""COMPUTED_VALUE"""),67.0)</f>
        <v>67</v>
      </c>
      <c r="B68" t="str">
        <f>IFERROR(__xludf.DUMMYFUNCTION("""COMPUTED_VALUE"""),"The Huntsman: Winter's War")</f>
        <v>The Huntsman: Winter's War</v>
      </c>
      <c r="C68" t="str">
        <f>IFERROR(__xludf.DUMMYFUNCTION("""COMPUTED_VALUE"""),"Uni.")</f>
        <v>Uni.</v>
      </c>
      <c r="D68" t="str">
        <f>IFERROR(__xludf.DUMMYFUNCTION("""COMPUTED_VALUE"""),"$48,390,190")</f>
        <v>$48,390,190</v>
      </c>
      <c r="E68" s="1">
        <f>IFERROR(__xludf.DUMMYFUNCTION("""COMPUTED_VALUE"""),3802.0)</f>
        <v>3802</v>
      </c>
      <c r="F68" t="str">
        <f>IFERROR(__xludf.DUMMYFUNCTION("""COMPUTED_VALUE"""),"$19,445,035")</f>
        <v>$19,445,035</v>
      </c>
      <c r="G68" s="1">
        <f>IFERROR(__xludf.DUMMYFUNCTION("""COMPUTED_VALUE"""),3791.0)</f>
        <v>3791</v>
      </c>
      <c r="H68" s="2">
        <f>IFERROR(__xludf.DUMMYFUNCTION("""COMPUTED_VALUE"""),43212.0)</f>
        <v>43212</v>
      </c>
      <c r="I68" s="2">
        <f>IFERROR(__xludf.DUMMYFUNCTION("""COMPUTED_VALUE"""),43316.0)</f>
        <v>43316</v>
      </c>
      <c r="J68" t="str">
        <f>IFERROR(__xludf.DUMMYFUNCTION("""COMPUTED_VALUE"""),"/movies/?id=huntsman.htm")</f>
        <v>/movies/?id=huntsman.htm</v>
      </c>
    </row>
    <row r="69">
      <c r="A69">
        <f>IFERROR(__xludf.DUMMYFUNCTION("""COMPUTED_VALUE"""),68.0)</f>
        <v>68</v>
      </c>
      <c r="B69" t="str">
        <f>IFERROR(__xludf.DUMMYFUNCTION("""COMPUTED_VALUE"""),"Kubo and the Two Strings")</f>
        <v>Kubo and the Two Strings</v>
      </c>
      <c r="C69" t="str">
        <f>IFERROR(__xludf.DUMMYFUNCTION("""COMPUTED_VALUE"""),"Focus")</f>
        <v>Focus</v>
      </c>
      <c r="D69" t="str">
        <f>IFERROR(__xludf.DUMMYFUNCTION("""COMPUTED_VALUE"""),"$48,023,088")</f>
        <v>$48,023,088</v>
      </c>
      <c r="E69" s="1">
        <f>IFERROR(__xludf.DUMMYFUNCTION("""COMPUTED_VALUE"""),3279.0)</f>
        <v>3279</v>
      </c>
      <c r="F69" t="str">
        <f>IFERROR(__xludf.DUMMYFUNCTION("""COMPUTED_VALUE"""),"$12,608,372")</f>
        <v>$12,608,372</v>
      </c>
      <c r="G69" s="1">
        <f>IFERROR(__xludf.DUMMYFUNCTION("""COMPUTED_VALUE"""),3260.0)</f>
        <v>3260</v>
      </c>
      <c r="H69" s="2">
        <f>IFERROR(__xludf.DUMMYFUNCTION("""COMPUTED_VALUE"""),43331.0)</f>
        <v>43331</v>
      </c>
      <c r="I69" s="2">
        <f>IFERROR(__xludf.DUMMYFUNCTION("""COMPUTED_VALUE"""),43435.0)</f>
        <v>43435</v>
      </c>
      <c r="J69" t="str">
        <f>IFERROR(__xludf.DUMMYFUNCTION("""COMPUTED_VALUE"""),"/movies/?id=kuboandthetwostrings.htm")</f>
        <v>/movies/?id=kuboandthetwostrings.htm</v>
      </c>
    </row>
    <row r="70">
      <c r="A70">
        <f>IFERROR(__xludf.DUMMYFUNCTION("""COMPUTED_VALUE"""),69.0)</f>
        <v>69</v>
      </c>
      <c r="B70" t="str">
        <f>IFERROR(__xludf.DUMMYFUNCTION("""COMPUTED_VALUE"""),"Manchester by the Sea")</f>
        <v>Manchester by the Sea</v>
      </c>
      <c r="C70" t="str">
        <f>IFERROR(__xludf.DUMMYFUNCTION("""COMPUTED_VALUE"""),"RAtt.")</f>
        <v>RAtt.</v>
      </c>
      <c r="D70" t="str">
        <f>IFERROR(__xludf.DUMMYFUNCTION("""COMPUTED_VALUE"""),"$47,695,371")</f>
        <v>$47,695,371</v>
      </c>
      <c r="E70" s="1">
        <f>IFERROR(__xludf.DUMMYFUNCTION("""COMPUTED_VALUE"""),1213.0)</f>
        <v>1213</v>
      </c>
      <c r="F70" t="str">
        <f>IFERROR(__xludf.DUMMYFUNCTION("""COMPUTED_VALUE"""),"$256,498")</f>
        <v>$256,498</v>
      </c>
      <c r="G70">
        <f>IFERROR(__xludf.DUMMYFUNCTION("""COMPUTED_VALUE"""),4.0)</f>
        <v>4</v>
      </c>
      <c r="H70" s="2">
        <f>IFERROR(__xludf.DUMMYFUNCTION("""COMPUTED_VALUE"""),43422.0)</f>
        <v>43422</v>
      </c>
      <c r="I70" s="2">
        <f>IFERROR(__xludf.DUMMYFUNCTION("""COMPUTED_VALUE"""),43217.0)</f>
        <v>43217</v>
      </c>
      <c r="J70" t="str">
        <f>IFERROR(__xludf.DUMMYFUNCTION("""COMPUTED_VALUE"""),"/movies/?id=manchesterbythesea.htm")</f>
        <v>/movies/?id=manchesterbythesea.htm</v>
      </c>
    </row>
    <row r="71">
      <c r="A71">
        <f>IFERROR(__xludf.DUMMYFUNCTION("""COMPUTED_VALUE"""),70.0)</f>
        <v>70</v>
      </c>
      <c r="B71" t="str">
        <f>IFERROR(__xludf.DUMMYFUNCTION("""COMPUTED_VALUE"""),"Warcraft")</f>
        <v>Warcraft</v>
      </c>
      <c r="C71" t="str">
        <f>IFERROR(__xludf.DUMMYFUNCTION("""COMPUTED_VALUE"""),"Uni.")</f>
        <v>Uni.</v>
      </c>
      <c r="D71" t="str">
        <f>IFERROR(__xludf.DUMMYFUNCTION("""COMPUTED_VALUE"""),"$47,365,290")</f>
        <v>$47,365,290</v>
      </c>
      <c r="E71" s="1">
        <f>IFERROR(__xludf.DUMMYFUNCTION("""COMPUTED_VALUE"""),3406.0)</f>
        <v>3406</v>
      </c>
      <c r="F71" t="str">
        <f>IFERROR(__xludf.DUMMYFUNCTION("""COMPUTED_VALUE"""),"$24,166,110")</f>
        <v>$24,166,110</v>
      </c>
      <c r="G71" s="1">
        <f>IFERROR(__xludf.DUMMYFUNCTION("""COMPUTED_VALUE"""),3400.0)</f>
        <v>3400</v>
      </c>
      <c r="H71" s="2">
        <f>IFERROR(__xludf.DUMMYFUNCTION("""COMPUTED_VALUE"""),43261.0)</f>
        <v>43261</v>
      </c>
      <c r="I71" s="2">
        <f>IFERROR(__xludf.DUMMYFUNCTION("""COMPUTED_VALUE"""),43351.0)</f>
        <v>43351</v>
      </c>
      <c r="J71" t="str">
        <f>IFERROR(__xludf.DUMMYFUNCTION("""COMPUTED_VALUE"""),"/movies/?id=warcraft.htm")</f>
        <v>/movies/?id=warcraft.htm</v>
      </c>
    </row>
    <row r="72">
      <c r="A72">
        <f>IFERROR(__xludf.DUMMYFUNCTION("""COMPUTED_VALUE"""),71.0)</f>
        <v>71</v>
      </c>
      <c r="B72" t="str">
        <f>IFERROR(__xludf.DUMMYFUNCTION("""COMPUTED_VALUE"""),"How to Be Single")</f>
        <v>How to Be Single</v>
      </c>
      <c r="C72" t="str">
        <f>IFERROR(__xludf.DUMMYFUNCTION("""COMPUTED_VALUE"""),"WB (NL)")</f>
        <v>WB (NL)</v>
      </c>
      <c r="D72" t="str">
        <f>IFERROR(__xludf.DUMMYFUNCTION("""COMPUTED_VALUE"""),"$46,843,513")</f>
        <v>$46,843,513</v>
      </c>
      <c r="E72" s="1">
        <f>IFERROR(__xludf.DUMMYFUNCTION("""COMPUTED_VALUE"""),3357.0)</f>
        <v>3357</v>
      </c>
      <c r="F72" t="str">
        <f>IFERROR(__xludf.DUMMYFUNCTION("""COMPUTED_VALUE"""),"$17,878,911")</f>
        <v>$17,878,911</v>
      </c>
      <c r="G72" s="1">
        <f>IFERROR(__xludf.DUMMYFUNCTION("""COMPUTED_VALUE"""),3343.0)</f>
        <v>3343</v>
      </c>
      <c r="H72" s="2">
        <f>IFERROR(__xludf.DUMMYFUNCTION("""COMPUTED_VALUE"""),43143.0)</f>
        <v>43143</v>
      </c>
      <c r="I72" s="2">
        <f>IFERROR(__xludf.DUMMYFUNCTION("""COMPUTED_VALUE"""),43204.0)</f>
        <v>43204</v>
      </c>
      <c r="J72" t="str">
        <f>IFERROR(__xludf.DUMMYFUNCTION("""COMPUTED_VALUE"""),"/movies/?id=howtobesingle.htm")</f>
        <v>/movies/?id=howtobesingle.htm</v>
      </c>
    </row>
    <row r="73">
      <c r="A73">
        <f>IFERROR(__xludf.DUMMYFUNCTION("""COMPUTED_VALUE"""),72.0)</f>
        <v>72</v>
      </c>
      <c r="B73" t="str">
        <f>IFERROR(__xludf.DUMMYFUNCTION("""COMPUTED_VALUE"""),"Mike and Dave Need Wedding Dates")</f>
        <v>Mike and Dave Need Wedding Dates</v>
      </c>
      <c r="C73" t="str">
        <f>IFERROR(__xludf.DUMMYFUNCTION("""COMPUTED_VALUE"""),"Fox")</f>
        <v>Fox</v>
      </c>
      <c r="D73" t="str">
        <f>IFERROR(__xludf.DUMMYFUNCTION("""COMPUTED_VALUE"""),"$46,009,673")</f>
        <v>$46,009,673</v>
      </c>
      <c r="E73" s="1">
        <f>IFERROR(__xludf.DUMMYFUNCTION("""COMPUTED_VALUE"""),3008.0)</f>
        <v>3008</v>
      </c>
      <c r="F73" t="str">
        <f>IFERROR(__xludf.DUMMYFUNCTION("""COMPUTED_VALUE"""),"$16,628,170")</f>
        <v>$16,628,170</v>
      </c>
      <c r="G73" s="1">
        <f>IFERROR(__xludf.DUMMYFUNCTION("""COMPUTED_VALUE"""),2982.0)</f>
        <v>2982</v>
      </c>
      <c r="H73" s="2">
        <f>IFERROR(__xludf.DUMMYFUNCTION("""COMPUTED_VALUE"""),43289.0)</f>
        <v>43289</v>
      </c>
      <c r="I73" s="2">
        <f>IFERROR(__xludf.DUMMYFUNCTION("""COMPUTED_VALUE"""),43386.0)</f>
        <v>43386</v>
      </c>
      <c r="J73" t="str">
        <f>IFERROR(__xludf.DUMMYFUNCTION("""COMPUTED_VALUE"""),"/movies/?id=mikeanddave.htm")</f>
        <v>/movies/?id=mikeanddave.htm</v>
      </c>
    </row>
    <row r="74">
      <c r="A74">
        <f>IFERROR(__xludf.DUMMYFUNCTION("""COMPUTED_VALUE"""),73.0)</f>
        <v>73</v>
      </c>
      <c r="B74" t="str">
        <f>IFERROR(__xludf.DUMMYFUNCTION("""COMPUTED_VALUE"""),"War Dogs")</f>
        <v>War Dogs</v>
      </c>
      <c r="C74" t="str">
        <f>IFERROR(__xludf.DUMMYFUNCTION("""COMPUTED_VALUE"""),"WB")</f>
        <v>WB</v>
      </c>
      <c r="D74" t="str">
        <f>IFERROR(__xludf.DUMMYFUNCTION("""COMPUTED_VALUE"""),"$43,034,523")</f>
        <v>$43,034,523</v>
      </c>
      <c r="E74" s="1">
        <f>IFERROR(__xludf.DUMMYFUNCTION("""COMPUTED_VALUE"""),3258.0)</f>
        <v>3258</v>
      </c>
      <c r="F74" t="str">
        <f>IFERROR(__xludf.DUMMYFUNCTION("""COMPUTED_VALUE"""),"$14,685,305")</f>
        <v>$14,685,305</v>
      </c>
      <c r="G74" s="1">
        <f>IFERROR(__xludf.DUMMYFUNCTION("""COMPUTED_VALUE"""),3258.0)</f>
        <v>3258</v>
      </c>
      <c r="H74" s="2">
        <f>IFERROR(__xludf.DUMMYFUNCTION("""COMPUTED_VALUE"""),43331.0)</f>
        <v>43331</v>
      </c>
      <c r="I74" s="2">
        <f>IFERROR(__xludf.DUMMYFUNCTION("""COMPUTED_VALUE"""),43393.0)</f>
        <v>43393</v>
      </c>
      <c r="J74" t="str">
        <f>IFERROR(__xludf.DUMMYFUNCTION("""COMPUTED_VALUE"""),"/movies/?id=armsandthedudes.htm")</f>
        <v>/movies/?id=armsandthedudes.htm</v>
      </c>
    </row>
    <row r="75">
      <c r="A75">
        <f>IFERROR(__xludf.DUMMYFUNCTION("""COMPUTED_VALUE"""),74.0)</f>
        <v>74</v>
      </c>
      <c r="B75" t="str">
        <f>IFERROR(__xludf.DUMMYFUNCTION("""COMPUTED_VALUE"""),"Almost Christmas")</f>
        <v>Almost Christmas</v>
      </c>
      <c r="C75" t="str">
        <f>IFERROR(__xludf.DUMMYFUNCTION("""COMPUTED_VALUE"""),"Uni.")</f>
        <v>Uni.</v>
      </c>
      <c r="D75" t="str">
        <f>IFERROR(__xludf.DUMMYFUNCTION("""COMPUTED_VALUE"""),"$42,158,780")</f>
        <v>$42,158,780</v>
      </c>
      <c r="E75" s="1">
        <f>IFERROR(__xludf.DUMMYFUNCTION("""COMPUTED_VALUE"""),2379.0)</f>
        <v>2379</v>
      </c>
      <c r="F75" t="str">
        <f>IFERROR(__xludf.DUMMYFUNCTION("""COMPUTED_VALUE"""),"$15,134,235")</f>
        <v>$15,134,235</v>
      </c>
      <c r="G75" s="1">
        <f>IFERROR(__xludf.DUMMYFUNCTION("""COMPUTED_VALUE"""),2376.0)</f>
        <v>2376</v>
      </c>
      <c r="H75" s="2">
        <f>IFERROR(__xludf.DUMMYFUNCTION("""COMPUTED_VALUE"""),43415.0)</f>
        <v>43415</v>
      </c>
      <c r="I75" s="2">
        <f>IFERROR(__xludf.DUMMYFUNCTION("""COMPUTED_VALUE"""),43112.0)</f>
        <v>43112</v>
      </c>
      <c r="J75" t="str">
        <f>IFERROR(__xludf.DUMMYFUNCTION("""COMPUTED_VALUE"""),"/movies/?id=ameyerschristmas.htm")</f>
        <v>/movies/?id=ameyerschristmas.htm</v>
      </c>
    </row>
    <row r="76">
      <c r="A76">
        <f>IFERROR(__xludf.DUMMYFUNCTION("""COMPUTED_VALUE"""),75.0)</f>
        <v>75</v>
      </c>
      <c r="B76" t="str">
        <f>IFERROR(__xludf.DUMMYFUNCTION("""COMPUTED_VALUE"""),"Money Monster")</f>
        <v>Money Monster</v>
      </c>
      <c r="C76" t="str">
        <f>IFERROR(__xludf.DUMMYFUNCTION("""COMPUTED_VALUE"""),"TriS")</f>
        <v>TriS</v>
      </c>
      <c r="D76" t="str">
        <f>IFERROR(__xludf.DUMMYFUNCTION("""COMPUTED_VALUE"""),"$41,012,075")</f>
        <v>$41,012,075</v>
      </c>
      <c r="E76" s="1">
        <f>IFERROR(__xludf.DUMMYFUNCTION("""COMPUTED_VALUE"""),3104.0)</f>
        <v>3104</v>
      </c>
      <c r="F76" t="str">
        <f>IFERROR(__xludf.DUMMYFUNCTION("""COMPUTED_VALUE"""),"$14,788,157")</f>
        <v>$14,788,157</v>
      </c>
      <c r="G76" s="1">
        <f>IFERROR(__xludf.DUMMYFUNCTION("""COMPUTED_VALUE"""),3104.0)</f>
        <v>3104</v>
      </c>
      <c r="H76" s="2">
        <f>IFERROR(__xludf.DUMMYFUNCTION("""COMPUTED_VALUE"""),43233.0)</f>
        <v>43233</v>
      </c>
      <c r="I76" s="2">
        <f>IFERROR(__xludf.DUMMYFUNCTION("""COMPUTED_VALUE"""),43316.0)</f>
        <v>43316</v>
      </c>
      <c r="J76" t="str">
        <f>IFERROR(__xludf.DUMMYFUNCTION("""COMPUTED_VALUE"""),"/movies/?id=moneymonster.htm")</f>
        <v>/movies/?id=moneymonster.htm</v>
      </c>
    </row>
    <row r="77">
      <c r="A77">
        <f>IFERROR(__xludf.DUMMYFUNCTION("""COMPUTED_VALUE"""),76.0)</f>
        <v>76</v>
      </c>
      <c r="B77" t="str">
        <f>IFERROR(__xludf.DUMMYFUNCTION("""COMPUTED_VALUE"""),"Allied")</f>
        <v>Allied</v>
      </c>
      <c r="C77" t="str">
        <f>IFERROR(__xludf.DUMMYFUNCTION("""COMPUTED_VALUE"""),"Par.")</f>
        <v>Par.</v>
      </c>
      <c r="D77" t="str">
        <f>IFERROR(__xludf.DUMMYFUNCTION("""COMPUTED_VALUE"""),"$40,098,064")</f>
        <v>$40,098,064</v>
      </c>
      <c r="E77" s="1">
        <f>IFERROR(__xludf.DUMMYFUNCTION("""COMPUTED_VALUE"""),3160.0)</f>
        <v>3160</v>
      </c>
      <c r="F77" t="str">
        <f>IFERROR(__xludf.DUMMYFUNCTION("""COMPUTED_VALUE"""),"$12,701,743")</f>
        <v>$12,701,743</v>
      </c>
      <c r="G77" s="1">
        <f>IFERROR(__xludf.DUMMYFUNCTION("""COMPUTED_VALUE"""),3160.0)</f>
        <v>3160</v>
      </c>
      <c r="H77" s="2">
        <f>IFERROR(__xludf.DUMMYFUNCTION("""COMPUTED_VALUE"""),43427.0)</f>
        <v>43427</v>
      </c>
      <c r="I77" s="2">
        <f>IFERROR(__xludf.DUMMYFUNCTION("""COMPUTED_VALUE"""),43126.0)</f>
        <v>43126</v>
      </c>
      <c r="J77" t="str">
        <f>IFERROR(__xludf.DUMMYFUNCTION("""COMPUTED_VALUE"""),"/movies/?id=pittcotillard.htm")</f>
        <v>/movies/?id=pittcotillard.htm</v>
      </c>
    </row>
    <row r="78">
      <c r="A78">
        <f>IFERROR(__xludf.DUMMYFUNCTION("""COMPUTED_VALUE"""),77.0)</f>
        <v>77</v>
      </c>
      <c r="B78" t="str">
        <f>IFERROR(__xludf.DUMMYFUNCTION("""COMPUTED_VALUE"""),"Nerve")</f>
        <v>Nerve</v>
      </c>
      <c r="C78" t="str">
        <f>IFERROR(__xludf.DUMMYFUNCTION("""COMPUTED_VALUE"""),"LGF")</f>
        <v>LGF</v>
      </c>
      <c r="D78" t="str">
        <f>IFERROR(__xludf.DUMMYFUNCTION("""COMPUTED_VALUE"""),"$38,583,626")</f>
        <v>$38,583,626</v>
      </c>
      <c r="E78" s="1">
        <f>IFERROR(__xludf.DUMMYFUNCTION("""COMPUTED_VALUE"""),2538.0)</f>
        <v>2538</v>
      </c>
      <c r="F78" t="str">
        <f>IFERROR(__xludf.DUMMYFUNCTION("""COMPUTED_VALUE"""),"$9,445,456")</f>
        <v>$9,445,456</v>
      </c>
      <c r="G78" s="1">
        <f>IFERROR(__xludf.DUMMYFUNCTION("""COMPUTED_VALUE"""),2538.0)</f>
        <v>2538</v>
      </c>
      <c r="H78" s="2">
        <f>IFERROR(__xludf.DUMMYFUNCTION("""COMPUTED_VALUE"""),43308.0)</f>
        <v>43308</v>
      </c>
      <c r="I78" s="2">
        <f>IFERROR(__xludf.DUMMYFUNCTION("""COMPUTED_VALUE"""),43379.0)</f>
        <v>43379</v>
      </c>
      <c r="J78" t="str">
        <f>IFERROR(__xludf.DUMMYFUNCTION("""COMPUTED_VALUE"""),"/movies/?id=nerve.htm")</f>
        <v>/movies/?id=nerve.htm</v>
      </c>
    </row>
    <row r="79">
      <c r="A79">
        <f>IFERROR(__xludf.DUMMYFUNCTION("""COMPUTED_VALUE"""),78.0)</f>
        <v>78</v>
      </c>
      <c r="B79" t="str">
        <f>IFERROR(__xludf.DUMMYFUNCTION("""COMPUTED_VALUE"""),"Risen")</f>
        <v>Risen</v>
      </c>
      <c r="C79" t="str">
        <f>IFERROR(__xludf.DUMMYFUNCTION("""COMPUTED_VALUE"""),"Sony")</f>
        <v>Sony</v>
      </c>
      <c r="D79" t="str">
        <f>IFERROR(__xludf.DUMMYFUNCTION("""COMPUTED_VALUE"""),"$36,880,033")</f>
        <v>$36,880,033</v>
      </c>
      <c r="E79" s="1">
        <f>IFERROR(__xludf.DUMMYFUNCTION("""COMPUTED_VALUE"""),2915.0)</f>
        <v>2915</v>
      </c>
      <c r="F79" t="str">
        <f>IFERROR(__xludf.DUMMYFUNCTION("""COMPUTED_VALUE"""),"$11,801,271")</f>
        <v>$11,801,271</v>
      </c>
      <c r="G79" s="1">
        <f>IFERROR(__xludf.DUMMYFUNCTION("""COMPUTED_VALUE"""),2915.0)</f>
        <v>2915</v>
      </c>
      <c r="H79" s="2">
        <f>IFERROR(__xludf.DUMMYFUNCTION("""COMPUTED_VALUE"""),43150.0)</f>
        <v>43150</v>
      </c>
      <c r="I79" s="2">
        <f>IFERROR(__xludf.DUMMYFUNCTION("""COMPUTED_VALUE"""),43239.0)</f>
        <v>43239</v>
      </c>
      <c r="J79" t="str">
        <f>IFERROR(__xludf.DUMMYFUNCTION("""COMPUTED_VALUE"""),"/movies/?id=risen.htm")</f>
        <v>/movies/?id=risen.htm</v>
      </c>
    </row>
    <row r="80">
      <c r="A80">
        <f>IFERROR(__xludf.DUMMYFUNCTION("""COMPUTED_VALUE"""),79.0)</f>
        <v>79</v>
      </c>
      <c r="B80" t="str">
        <f>IFERROR(__xludf.DUMMYFUNCTION("""COMPUTED_VALUE"""),"The Nice Guys")</f>
        <v>The Nice Guys</v>
      </c>
      <c r="C80" t="str">
        <f>IFERROR(__xludf.DUMMYFUNCTION("""COMPUTED_VALUE"""),"WB")</f>
        <v>WB</v>
      </c>
      <c r="D80" t="str">
        <f>IFERROR(__xludf.DUMMYFUNCTION("""COMPUTED_VALUE"""),"$36,261,763")</f>
        <v>$36,261,763</v>
      </c>
      <c r="E80" s="1">
        <f>IFERROR(__xludf.DUMMYFUNCTION("""COMPUTED_VALUE"""),2865.0)</f>
        <v>2865</v>
      </c>
      <c r="F80" t="str">
        <f>IFERROR(__xludf.DUMMYFUNCTION("""COMPUTED_VALUE"""),"$11,203,270")</f>
        <v>$11,203,270</v>
      </c>
      <c r="G80" s="1">
        <f>IFERROR(__xludf.DUMMYFUNCTION("""COMPUTED_VALUE"""),2865.0)</f>
        <v>2865</v>
      </c>
      <c r="H80" s="2">
        <f>IFERROR(__xludf.DUMMYFUNCTION("""COMPUTED_VALUE"""),43240.0)</f>
        <v>43240</v>
      </c>
      <c r="I80" s="2">
        <f>IFERROR(__xludf.DUMMYFUNCTION("""COMPUTED_VALUE"""),43316.0)</f>
        <v>43316</v>
      </c>
      <c r="J80" t="str">
        <f>IFERROR(__xludf.DUMMYFUNCTION("""COMPUTED_VALUE"""),"/movies/?id=niceguys.htm")</f>
        <v>/movies/?id=niceguys.htm</v>
      </c>
    </row>
    <row r="81">
      <c r="A81">
        <f>IFERROR(__xludf.DUMMYFUNCTION("""COMPUTED_VALUE"""),80.0)</f>
        <v>80</v>
      </c>
      <c r="B81" t="str">
        <f>IFERROR(__xludf.DUMMYFUNCTION("""COMPUTED_VALUE"""),"The Boy (2016)")</f>
        <v>The Boy (2016)</v>
      </c>
      <c r="C81" t="str">
        <f>IFERROR(__xludf.DUMMYFUNCTION("""COMPUTED_VALUE"""),"STX")</f>
        <v>STX</v>
      </c>
      <c r="D81" t="str">
        <f>IFERROR(__xludf.DUMMYFUNCTION("""COMPUTED_VALUE"""),"$35,819,556")</f>
        <v>$35,819,556</v>
      </c>
      <c r="E81" s="1">
        <f>IFERROR(__xludf.DUMMYFUNCTION("""COMPUTED_VALUE"""),2671.0)</f>
        <v>2671</v>
      </c>
      <c r="F81" t="str">
        <f>IFERROR(__xludf.DUMMYFUNCTION("""COMPUTED_VALUE"""),"$10,778,392")</f>
        <v>$10,778,392</v>
      </c>
      <c r="G81" s="1">
        <f>IFERROR(__xludf.DUMMYFUNCTION("""COMPUTED_VALUE"""),2671.0)</f>
        <v>2671</v>
      </c>
      <c r="H81" s="2">
        <f>IFERROR(__xludf.DUMMYFUNCTION("""COMPUTED_VALUE"""),43122.0)</f>
        <v>43122</v>
      </c>
      <c r="I81" s="2">
        <f>IFERROR(__xludf.DUMMYFUNCTION("""COMPUTED_VALUE"""),43190.0)</f>
        <v>43190</v>
      </c>
      <c r="J81" t="str">
        <f>IFERROR(__xludf.DUMMYFUNCTION("""COMPUTED_VALUE"""),"/movies/?id=boy2016.htm")</f>
        <v>/movies/?id=boy2016.htm</v>
      </c>
    </row>
    <row r="82">
      <c r="A82">
        <f>IFERROR(__xludf.DUMMYFUNCTION("""COMPUTED_VALUE"""),81.0)</f>
        <v>81</v>
      </c>
      <c r="B82" t="str">
        <f>IFERROR(__xludf.DUMMYFUNCTION("""COMPUTED_VALUE"""),"Dirty Grandpa")</f>
        <v>Dirty Grandpa</v>
      </c>
      <c r="C82" t="str">
        <f>IFERROR(__xludf.DUMMYFUNCTION("""COMPUTED_VALUE"""),"LGF")</f>
        <v>LGF</v>
      </c>
      <c r="D82" t="str">
        <f>IFERROR(__xludf.DUMMYFUNCTION("""COMPUTED_VALUE"""),"$35,593,113")</f>
        <v>$35,593,113</v>
      </c>
      <c r="E82" s="1">
        <f>IFERROR(__xludf.DUMMYFUNCTION("""COMPUTED_VALUE"""),2912.0)</f>
        <v>2912</v>
      </c>
      <c r="F82" t="str">
        <f>IFERROR(__xludf.DUMMYFUNCTION("""COMPUTED_VALUE"""),"$11,111,875")</f>
        <v>$11,111,875</v>
      </c>
      <c r="G82" s="1">
        <f>IFERROR(__xludf.DUMMYFUNCTION("""COMPUTED_VALUE"""),2912.0)</f>
        <v>2912</v>
      </c>
      <c r="H82" s="2">
        <f>IFERROR(__xludf.DUMMYFUNCTION("""COMPUTED_VALUE"""),43122.0)</f>
        <v>43122</v>
      </c>
      <c r="I82" s="2">
        <f>IFERROR(__xludf.DUMMYFUNCTION("""COMPUTED_VALUE"""),43176.0)</f>
        <v>43176</v>
      </c>
      <c r="J82" t="str">
        <f>IFERROR(__xludf.DUMMYFUNCTION("""COMPUTED_VALUE"""),"/movies/?id=dirtygrandpa.htm")</f>
        <v>/movies/?id=dirtygrandpa.htm</v>
      </c>
    </row>
    <row r="83">
      <c r="A83">
        <f>IFERROR(__xludf.DUMMYFUNCTION("""COMPUTED_VALUE"""),82.0)</f>
        <v>82</v>
      </c>
      <c r="B83" t="str">
        <f>IFERROR(__xludf.DUMMYFUNCTION("""COMPUTED_VALUE"""),"Ouija: Origin of Evil")</f>
        <v>Ouija: Origin of Evil</v>
      </c>
      <c r="C83" t="str">
        <f>IFERROR(__xludf.DUMMYFUNCTION("""COMPUTED_VALUE"""),"Uni.")</f>
        <v>Uni.</v>
      </c>
      <c r="D83" t="str">
        <f>IFERROR(__xludf.DUMMYFUNCTION("""COMPUTED_VALUE"""),"$35,144,505")</f>
        <v>$35,144,505</v>
      </c>
      <c r="E83" s="1">
        <f>IFERROR(__xludf.DUMMYFUNCTION("""COMPUTED_VALUE"""),3168.0)</f>
        <v>3168</v>
      </c>
      <c r="F83" t="str">
        <f>IFERROR(__xludf.DUMMYFUNCTION("""COMPUTED_VALUE"""),"$14,065,500")</f>
        <v>$14,065,500</v>
      </c>
      <c r="G83" s="1">
        <f>IFERROR(__xludf.DUMMYFUNCTION("""COMPUTED_VALUE"""),3167.0)</f>
        <v>3167</v>
      </c>
      <c r="H83" s="2">
        <f>IFERROR(__xludf.DUMMYFUNCTION("""COMPUTED_VALUE"""),43394.0)</f>
        <v>43394</v>
      </c>
      <c r="I83" s="2">
        <f>IFERROR(__xludf.DUMMYFUNCTION("""COMPUTED_VALUE"""),43463.0)</f>
        <v>43463</v>
      </c>
      <c r="J83" t="str">
        <f>IFERROR(__xludf.DUMMYFUNCTION("""COMPUTED_VALUE"""),"/movies/?id=blumhouse3.htm")</f>
        <v>/movies/?id=blumhouse3.htm</v>
      </c>
    </row>
    <row r="84">
      <c r="A84">
        <f>IFERROR(__xludf.DUMMYFUNCTION("""COMPUTED_VALUE"""),83.0)</f>
        <v>83</v>
      </c>
      <c r="B84" t="str">
        <f>IFERROR(__xludf.DUMMYFUNCTION("""COMPUTED_VALUE"""),"The 5th Wave")</f>
        <v>The 5th Wave</v>
      </c>
      <c r="C84" t="str">
        <f>IFERROR(__xludf.DUMMYFUNCTION("""COMPUTED_VALUE"""),"Sony")</f>
        <v>Sony</v>
      </c>
      <c r="D84" t="str">
        <f>IFERROR(__xludf.DUMMYFUNCTION("""COMPUTED_VALUE"""),"$34,916,787")</f>
        <v>$34,916,787</v>
      </c>
      <c r="E84" s="1">
        <f>IFERROR(__xludf.DUMMYFUNCTION("""COMPUTED_VALUE"""),2908.0)</f>
        <v>2908</v>
      </c>
      <c r="F84" t="str">
        <f>IFERROR(__xludf.DUMMYFUNCTION("""COMPUTED_VALUE"""),"$10,326,356")</f>
        <v>$10,326,356</v>
      </c>
      <c r="G84" s="1">
        <f>IFERROR(__xludf.DUMMYFUNCTION("""COMPUTED_VALUE"""),2908.0)</f>
        <v>2908</v>
      </c>
      <c r="H84" s="2">
        <f>IFERROR(__xludf.DUMMYFUNCTION("""COMPUTED_VALUE"""),43122.0)</f>
        <v>43122</v>
      </c>
      <c r="I84" s="2">
        <f>IFERROR(__xludf.DUMMYFUNCTION("""COMPUTED_VALUE"""),43246.0)</f>
        <v>43246</v>
      </c>
      <c r="J84" t="str">
        <f>IFERROR(__xludf.DUMMYFUNCTION("""COMPUTED_VALUE"""),"/movies/?id=5thwave.htm")</f>
        <v>/movies/?id=5thwave.htm</v>
      </c>
    </row>
    <row r="85">
      <c r="A85">
        <f>IFERROR(__xludf.DUMMYFUNCTION("""COMPUTED_VALUE"""),84.0)</f>
        <v>84</v>
      </c>
      <c r="B85" t="str">
        <f>IFERROR(__xludf.DUMMYFUNCTION("""COMPUTED_VALUE"""),"Inferno")</f>
        <v>Inferno</v>
      </c>
      <c r="C85" t="str">
        <f>IFERROR(__xludf.DUMMYFUNCTION("""COMPUTED_VALUE"""),"Sony")</f>
        <v>Sony</v>
      </c>
      <c r="D85" t="str">
        <f>IFERROR(__xludf.DUMMYFUNCTION("""COMPUTED_VALUE"""),"$34,343,574")</f>
        <v>$34,343,574</v>
      </c>
      <c r="E85" s="1">
        <f>IFERROR(__xludf.DUMMYFUNCTION("""COMPUTED_VALUE"""),3576.0)</f>
        <v>3576</v>
      </c>
      <c r="F85" t="str">
        <f>IFERROR(__xludf.DUMMYFUNCTION("""COMPUTED_VALUE"""),"$14,860,425")</f>
        <v>$14,860,425</v>
      </c>
      <c r="G85" s="1">
        <f>IFERROR(__xludf.DUMMYFUNCTION("""COMPUTED_VALUE"""),3576.0)</f>
        <v>3576</v>
      </c>
      <c r="H85" s="2">
        <f>IFERROR(__xludf.DUMMYFUNCTION("""COMPUTED_VALUE"""),43401.0)</f>
        <v>43401</v>
      </c>
      <c r="I85" s="2">
        <f>IFERROR(__xludf.DUMMYFUNCTION("""COMPUTED_VALUE"""),43119.0)</f>
        <v>43119</v>
      </c>
      <c r="J85" t="str">
        <f>IFERROR(__xludf.DUMMYFUNCTION("""COMPUTED_VALUE"""),"/movies/?id=inferno2015.htm")</f>
        <v>/movies/?id=inferno2015.htm</v>
      </c>
    </row>
    <row r="86">
      <c r="A86">
        <f>IFERROR(__xludf.DUMMYFUNCTION("""COMPUTED_VALUE"""),85.0)</f>
        <v>85</v>
      </c>
      <c r="B86" t="str">
        <f>IFERROR(__xludf.DUMMYFUNCTION("""COMPUTED_VALUE"""),"Mother's Day")</f>
        <v>Mother's Day</v>
      </c>
      <c r="C86" t="str">
        <f>IFERROR(__xludf.DUMMYFUNCTION("""COMPUTED_VALUE"""),"ORF")</f>
        <v>ORF</v>
      </c>
      <c r="D86" t="str">
        <f>IFERROR(__xludf.DUMMYFUNCTION("""COMPUTED_VALUE"""),"$32,492,859")</f>
        <v>$32,492,859</v>
      </c>
      <c r="E86" s="1">
        <f>IFERROR(__xludf.DUMMYFUNCTION("""COMPUTED_VALUE"""),3291.0)</f>
        <v>3291</v>
      </c>
      <c r="F86" t="str">
        <f>IFERROR(__xludf.DUMMYFUNCTION("""COMPUTED_VALUE"""),"$8,369,184")</f>
        <v>$8,369,184</v>
      </c>
      <c r="G86" s="1">
        <f>IFERROR(__xludf.DUMMYFUNCTION("""COMPUTED_VALUE"""),3035.0)</f>
        <v>3035</v>
      </c>
      <c r="H86" s="2">
        <f>IFERROR(__xludf.DUMMYFUNCTION("""COMPUTED_VALUE"""),43219.0)</f>
        <v>43219</v>
      </c>
      <c r="I86" s="2">
        <f>IFERROR(__xludf.DUMMYFUNCTION("""COMPUTED_VALUE"""),43267.0)</f>
        <v>43267</v>
      </c>
      <c r="J86" t="str">
        <f>IFERROR(__xludf.DUMMYFUNCTION("""COMPUTED_VALUE"""),"/movies/?id=mothersday.htm")</f>
        <v>/movies/?id=mothersday.htm</v>
      </c>
    </row>
    <row r="87">
      <c r="A87">
        <f>IFERROR(__xludf.DUMMYFUNCTION("""COMPUTED_VALUE"""),86.0)</f>
        <v>86</v>
      </c>
      <c r="B87" t="str">
        <f>IFERROR(__xludf.DUMMYFUNCTION("""COMPUTED_VALUE"""),"Patriots Day")</f>
        <v>Patriots Day</v>
      </c>
      <c r="C87" t="str">
        <f>IFERROR(__xludf.DUMMYFUNCTION("""COMPUTED_VALUE"""),"LGF")</f>
        <v>LGF</v>
      </c>
      <c r="D87" t="str">
        <f>IFERROR(__xludf.DUMMYFUNCTION("""COMPUTED_VALUE"""),"$31,886,361")</f>
        <v>$31,886,361</v>
      </c>
      <c r="E87" s="1">
        <f>IFERROR(__xludf.DUMMYFUNCTION("""COMPUTED_VALUE"""),3120.0)</f>
        <v>3120</v>
      </c>
      <c r="F87" t="str">
        <f>IFERROR(__xludf.DUMMYFUNCTION("""COMPUTED_VALUE"""),"$161,306")</f>
        <v>$161,306</v>
      </c>
      <c r="G87">
        <f>IFERROR(__xludf.DUMMYFUNCTION("""COMPUTED_VALUE"""),7.0)</f>
        <v>7</v>
      </c>
      <c r="H87" s="2">
        <f>IFERROR(__xludf.DUMMYFUNCTION("""COMPUTED_VALUE"""),43455.0)</f>
        <v>43455</v>
      </c>
      <c r="I87" s="2">
        <f>IFERROR(__xludf.DUMMYFUNCTION("""COMPUTED_VALUE"""),43168.0)</f>
        <v>43168</v>
      </c>
      <c r="J87" t="str">
        <f>IFERROR(__xludf.DUMMYFUNCTION("""COMPUTED_VALUE"""),"/movies/?id=patriotsday.htm")</f>
        <v>/movies/?id=patriotsday.htm</v>
      </c>
    </row>
    <row r="88">
      <c r="A88">
        <f>IFERROR(__xludf.DUMMYFUNCTION("""COMPUTED_VALUE"""),87.0)</f>
        <v>87</v>
      </c>
      <c r="B88" t="str">
        <f>IFERROR(__xludf.DUMMYFUNCTION("""COMPUTED_VALUE"""),"Gods of Egypt")</f>
        <v>Gods of Egypt</v>
      </c>
      <c r="C88" t="str">
        <f>IFERROR(__xludf.DUMMYFUNCTION("""COMPUTED_VALUE"""),"LG/S")</f>
        <v>LG/S</v>
      </c>
      <c r="D88" t="str">
        <f>IFERROR(__xludf.DUMMYFUNCTION("""COMPUTED_VALUE"""),"$31,153,464")</f>
        <v>$31,153,464</v>
      </c>
      <c r="E88" s="1">
        <f>IFERROR(__xludf.DUMMYFUNCTION("""COMPUTED_VALUE"""),3117.0)</f>
        <v>3117</v>
      </c>
      <c r="F88" t="str">
        <f>IFERROR(__xludf.DUMMYFUNCTION("""COMPUTED_VALUE"""),"$14,123,903")</f>
        <v>$14,123,903</v>
      </c>
      <c r="G88" s="1">
        <f>IFERROR(__xludf.DUMMYFUNCTION("""COMPUTED_VALUE"""),3117.0)</f>
        <v>3117</v>
      </c>
      <c r="H88" s="2">
        <f>IFERROR(__xludf.DUMMYFUNCTION("""COMPUTED_VALUE"""),43157.0)</f>
        <v>43157</v>
      </c>
      <c r="I88" s="2">
        <f>IFERROR(__xludf.DUMMYFUNCTION("""COMPUTED_VALUE"""),43232.0)</f>
        <v>43232</v>
      </c>
      <c r="J88" t="str">
        <f>IFERROR(__xludf.DUMMYFUNCTION("""COMPUTED_VALUE"""),"/movies/?id=godsofegypt.htm")</f>
        <v>/movies/?id=godsofegypt.htm</v>
      </c>
    </row>
    <row r="89">
      <c r="A89">
        <f>IFERROR(__xludf.DUMMYFUNCTION("""COMPUTED_VALUE"""),88.0)</f>
        <v>88</v>
      </c>
      <c r="B89" t="str">
        <f>IFERROR(__xludf.DUMMYFUNCTION("""COMPUTED_VALUE"""),"Collateral Beauty")</f>
        <v>Collateral Beauty</v>
      </c>
      <c r="C89" t="str">
        <f>IFERROR(__xludf.DUMMYFUNCTION("""COMPUTED_VALUE"""),"WB (NL)")</f>
        <v>WB (NL)</v>
      </c>
      <c r="D89" t="str">
        <f>IFERROR(__xludf.DUMMYFUNCTION("""COMPUTED_VALUE"""),"$31,016,021")</f>
        <v>$31,016,021</v>
      </c>
      <c r="E89" s="1">
        <f>IFERROR(__xludf.DUMMYFUNCTION("""COMPUTED_VALUE"""),3028.0)</f>
        <v>3028</v>
      </c>
      <c r="F89" t="str">
        <f>IFERROR(__xludf.DUMMYFUNCTION("""COMPUTED_VALUE"""),"$7,102,085")</f>
        <v>$7,102,085</v>
      </c>
      <c r="G89" s="1">
        <f>IFERROR(__xludf.DUMMYFUNCTION("""COMPUTED_VALUE"""),3028.0)</f>
        <v>3028</v>
      </c>
      <c r="H89" s="2">
        <f>IFERROR(__xludf.DUMMYFUNCTION("""COMPUTED_VALUE"""),43450.0)</f>
        <v>43450</v>
      </c>
      <c r="I89" s="2">
        <f>IFERROR(__xludf.DUMMYFUNCTION("""COMPUTED_VALUE"""),43140.0)</f>
        <v>43140</v>
      </c>
      <c r="J89" t="str">
        <f>IFERROR(__xludf.DUMMYFUNCTION("""COMPUTED_VALUE"""),"/movies/?id=collateralbeauty.htm")</f>
        <v>/movies/?id=collateralbeauty.htm</v>
      </c>
    </row>
    <row r="90">
      <c r="A90">
        <f>IFERROR(__xludf.DUMMYFUNCTION("""COMPUTED_VALUE"""),89.0)</f>
        <v>89</v>
      </c>
      <c r="B90" t="str">
        <f>IFERROR(__xludf.DUMMYFUNCTION("""COMPUTED_VALUE"""),"Hail, Caesar!")</f>
        <v>Hail, Caesar!</v>
      </c>
      <c r="C90" t="str">
        <f>IFERROR(__xludf.DUMMYFUNCTION("""COMPUTED_VALUE"""),"Uni.")</f>
        <v>Uni.</v>
      </c>
      <c r="D90" t="str">
        <f>IFERROR(__xludf.DUMMYFUNCTION("""COMPUTED_VALUE"""),"$30,498,085")</f>
        <v>$30,498,085</v>
      </c>
      <c r="E90" s="1">
        <f>IFERROR(__xludf.DUMMYFUNCTION("""COMPUTED_VALUE"""),2248.0)</f>
        <v>2248</v>
      </c>
      <c r="F90" t="str">
        <f>IFERROR(__xludf.DUMMYFUNCTION("""COMPUTED_VALUE"""),"$11,355,225")</f>
        <v>$11,355,225</v>
      </c>
      <c r="G90" s="1">
        <f>IFERROR(__xludf.DUMMYFUNCTION("""COMPUTED_VALUE"""),2232.0)</f>
        <v>2232</v>
      </c>
      <c r="H90" s="2">
        <f>IFERROR(__xludf.DUMMYFUNCTION("""COMPUTED_VALUE"""),43136.0)</f>
        <v>43136</v>
      </c>
      <c r="I90" s="2">
        <f>IFERROR(__xludf.DUMMYFUNCTION("""COMPUTED_VALUE"""),43281.0)</f>
        <v>43281</v>
      </c>
      <c r="J90" t="str">
        <f>IFERROR(__xludf.DUMMYFUNCTION("""COMPUTED_VALUE"""),"/movies/?id=hailcaesar.htm")</f>
        <v>/movies/?id=hailcaesar.htm</v>
      </c>
    </row>
    <row r="91">
      <c r="A91">
        <f>IFERROR(__xludf.DUMMYFUNCTION("""COMPUTED_VALUE"""),90.0)</f>
        <v>90</v>
      </c>
      <c r="B91" t="str">
        <f>IFERROR(__xludf.DUMMYFUNCTION("""COMPUTED_VALUE"""),"When the Bough Breaks")</f>
        <v>When the Bough Breaks</v>
      </c>
      <c r="C91" t="str">
        <f>IFERROR(__xludf.DUMMYFUNCTION("""COMPUTED_VALUE"""),"SGem")</f>
        <v>SGem</v>
      </c>
      <c r="D91" t="str">
        <f>IFERROR(__xludf.DUMMYFUNCTION("""COMPUTED_VALUE"""),"$29,747,603")</f>
        <v>$29,747,603</v>
      </c>
      <c r="E91" s="1">
        <f>IFERROR(__xludf.DUMMYFUNCTION("""COMPUTED_VALUE"""),2246.0)</f>
        <v>2246</v>
      </c>
      <c r="F91" t="str">
        <f>IFERROR(__xludf.DUMMYFUNCTION("""COMPUTED_VALUE"""),"$14,202,323")</f>
        <v>$14,202,323</v>
      </c>
      <c r="G91" s="1">
        <f>IFERROR(__xludf.DUMMYFUNCTION("""COMPUTED_VALUE"""),2246.0)</f>
        <v>2246</v>
      </c>
      <c r="H91" s="2">
        <f>IFERROR(__xludf.DUMMYFUNCTION("""COMPUTED_VALUE"""),43352.0)</f>
        <v>43352</v>
      </c>
      <c r="I91" s="2">
        <f>IFERROR(__xludf.DUMMYFUNCTION("""COMPUTED_VALUE"""),43421.0)</f>
        <v>43421</v>
      </c>
      <c r="J91" t="str">
        <f>IFERROR(__xludf.DUMMYFUNCTION("""COMPUTED_VALUE"""),"/movies/?id=whentheboughbreaks.htm")</f>
        <v>/movies/?id=whentheboughbreaks.htm</v>
      </c>
    </row>
    <row r="92">
      <c r="A92">
        <f>IFERROR(__xludf.DUMMYFUNCTION("""COMPUTED_VALUE"""),91.0)</f>
        <v>91</v>
      </c>
      <c r="B92" t="str">
        <f>IFERROR(__xludf.DUMMYFUNCTION("""COMPUTED_VALUE"""),"Zoolander 2")</f>
        <v>Zoolander 2</v>
      </c>
      <c r="C92" t="str">
        <f>IFERROR(__xludf.DUMMYFUNCTION("""COMPUTED_VALUE"""),"Par.")</f>
        <v>Par.</v>
      </c>
      <c r="D92" t="str">
        <f>IFERROR(__xludf.DUMMYFUNCTION("""COMPUTED_VALUE"""),"$28,848,693")</f>
        <v>$28,848,693</v>
      </c>
      <c r="E92" s="1">
        <f>IFERROR(__xludf.DUMMYFUNCTION("""COMPUTED_VALUE"""),3418.0)</f>
        <v>3418</v>
      </c>
      <c r="F92" t="str">
        <f>IFERROR(__xludf.DUMMYFUNCTION("""COMPUTED_VALUE"""),"$13,841,146")</f>
        <v>$13,841,146</v>
      </c>
      <c r="G92" s="1">
        <f>IFERROR(__xludf.DUMMYFUNCTION("""COMPUTED_VALUE"""),3394.0)</f>
        <v>3394</v>
      </c>
      <c r="H92" s="2">
        <f>IFERROR(__xludf.DUMMYFUNCTION("""COMPUTED_VALUE"""),43143.0)</f>
        <v>43143</v>
      </c>
      <c r="I92" s="2">
        <f>IFERROR(__xludf.DUMMYFUNCTION("""COMPUTED_VALUE"""),43190.0)</f>
        <v>43190</v>
      </c>
      <c r="J92" t="str">
        <f>IFERROR(__xludf.DUMMYFUNCTION("""COMPUTED_VALUE"""),"/movies/?id=zoolander2.htm")</f>
        <v>/movies/?id=zoolander2.htm</v>
      </c>
    </row>
    <row r="93">
      <c r="A93">
        <f>IFERROR(__xludf.DUMMYFUNCTION("""COMPUTED_VALUE"""),92.0)</f>
        <v>92</v>
      </c>
      <c r="B93" t="str">
        <f>IFERROR(__xludf.DUMMYFUNCTION("""COMPUTED_VALUE"""),"Moonlight (2016)")</f>
        <v>Moonlight (2016)</v>
      </c>
      <c r="C93" t="str">
        <f>IFERROR(__xludf.DUMMYFUNCTION("""COMPUTED_VALUE"""),"A24")</f>
        <v>A24</v>
      </c>
      <c r="D93" t="str">
        <f>IFERROR(__xludf.DUMMYFUNCTION("""COMPUTED_VALUE"""),"$27,854,932")</f>
        <v>$27,854,932</v>
      </c>
      <c r="E93" s="1">
        <f>IFERROR(__xludf.DUMMYFUNCTION("""COMPUTED_VALUE"""),1564.0)</f>
        <v>1564</v>
      </c>
      <c r="F93" t="str">
        <f>IFERROR(__xludf.DUMMYFUNCTION("""COMPUTED_VALUE"""),"$402,075")</f>
        <v>$402,075</v>
      </c>
      <c r="G93">
        <f>IFERROR(__xludf.DUMMYFUNCTION("""COMPUTED_VALUE"""),4.0)</f>
        <v>4</v>
      </c>
      <c r="H93" s="2">
        <f>IFERROR(__xludf.DUMMYFUNCTION("""COMPUTED_VALUE"""),43394.0)</f>
        <v>43394</v>
      </c>
      <c r="I93" s="2">
        <f>IFERROR(__xludf.DUMMYFUNCTION("""COMPUTED_VALUE"""),43224.0)</f>
        <v>43224</v>
      </c>
      <c r="J93" t="str">
        <f>IFERROR(__xludf.DUMMYFUNCTION("""COMPUTED_VALUE"""),"/movies/?id=moonlight2016.htm")</f>
        <v>/movies/?id=moonlight2016.htm</v>
      </c>
    </row>
    <row r="94">
      <c r="A94">
        <f>IFERROR(__xludf.DUMMYFUNCTION("""COMPUTED_VALUE"""),93.0)</f>
        <v>93</v>
      </c>
      <c r="B94" t="str">
        <f>IFERROR(__xludf.DUMMYFUNCTION("""COMPUTED_VALUE"""),"The Finest Hours")</f>
        <v>The Finest Hours</v>
      </c>
      <c r="C94" t="str">
        <f>IFERROR(__xludf.DUMMYFUNCTION("""COMPUTED_VALUE"""),"BV")</f>
        <v>BV</v>
      </c>
      <c r="D94" t="str">
        <f>IFERROR(__xludf.DUMMYFUNCTION("""COMPUTED_VALUE"""),"$27,569,558")</f>
        <v>$27,569,558</v>
      </c>
      <c r="E94" s="1">
        <f>IFERROR(__xludf.DUMMYFUNCTION("""COMPUTED_VALUE"""),3143.0)</f>
        <v>3143</v>
      </c>
      <c r="F94" t="str">
        <f>IFERROR(__xludf.DUMMYFUNCTION("""COMPUTED_VALUE"""),"$10,288,932")</f>
        <v>$10,288,932</v>
      </c>
      <c r="G94" s="1">
        <f>IFERROR(__xludf.DUMMYFUNCTION("""COMPUTED_VALUE"""),3143.0)</f>
        <v>3143</v>
      </c>
      <c r="H94" s="2">
        <f>IFERROR(__xludf.DUMMYFUNCTION("""COMPUTED_VALUE"""),43129.0)</f>
        <v>43129</v>
      </c>
      <c r="I94" s="2">
        <f>IFERROR(__xludf.DUMMYFUNCTION("""COMPUTED_VALUE"""),43197.0)</f>
        <v>43197</v>
      </c>
      <c r="J94" t="str">
        <f>IFERROR(__xludf.DUMMYFUNCTION("""COMPUTED_VALUE"""),"/movies/?id=finesthours.htm")</f>
        <v>/movies/?id=finesthours.htm</v>
      </c>
    </row>
    <row r="95">
      <c r="A95">
        <f>IFERROR(__xludf.DUMMYFUNCTION("""COMPUTED_VALUE"""),94.0)</f>
        <v>94</v>
      </c>
      <c r="B95" t="str">
        <f>IFERROR(__xludf.DUMMYFUNCTION("""COMPUTED_VALUE"""),"Florence Foster Jenkins")</f>
        <v>Florence Foster Jenkins</v>
      </c>
      <c r="C95" t="str">
        <f>IFERROR(__xludf.DUMMYFUNCTION("""COMPUTED_VALUE"""),"Par.")</f>
        <v>Par.</v>
      </c>
      <c r="D95" t="str">
        <f>IFERROR(__xludf.DUMMYFUNCTION("""COMPUTED_VALUE"""),"$27,383,770")</f>
        <v>$27,383,770</v>
      </c>
      <c r="E95" s="1">
        <f>IFERROR(__xludf.DUMMYFUNCTION("""COMPUTED_VALUE"""),1528.0)</f>
        <v>1528</v>
      </c>
      <c r="F95" t="str">
        <f>IFERROR(__xludf.DUMMYFUNCTION("""COMPUTED_VALUE"""),"$6,601,313")</f>
        <v>$6,601,313</v>
      </c>
      <c r="G95" s="1">
        <f>IFERROR(__xludf.DUMMYFUNCTION("""COMPUTED_VALUE"""),1528.0)</f>
        <v>1528</v>
      </c>
      <c r="H95" s="2">
        <f>IFERROR(__xludf.DUMMYFUNCTION("""COMPUTED_VALUE"""),43324.0)</f>
        <v>43324</v>
      </c>
      <c r="I95" s="2">
        <f>IFERROR(__xludf.DUMMYFUNCTION("""COMPUTED_VALUE"""),43400.0)</f>
        <v>43400</v>
      </c>
      <c r="J95" t="str">
        <f>IFERROR(__xludf.DUMMYFUNCTION("""COMPUTED_VALUE"""),"/movies/?id=florencefosterjenkins.htm")</f>
        <v>/movies/?id=florencefosterjenkins.htm</v>
      </c>
    </row>
    <row r="96">
      <c r="A96">
        <f>IFERROR(__xludf.DUMMYFUNCTION("""COMPUTED_VALUE"""),95.0)</f>
        <v>95</v>
      </c>
      <c r="B96" t="str">
        <f>IFERROR(__xludf.DUMMYFUNCTION("""COMPUTED_VALUE"""),"Hell or High Water")</f>
        <v>Hell or High Water</v>
      </c>
      <c r="C96" t="str">
        <f>IFERROR(__xludf.DUMMYFUNCTION("""COMPUTED_VALUE"""),"LGF")</f>
        <v>LGF</v>
      </c>
      <c r="D96" t="str">
        <f>IFERROR(__xludf.DUMMYFUNCTION("""COMPUTED_VALUE"""),"$27,007,844")</f>
        <v>$27,007,844</v>
      </c>
      <c r="E96" s="1">
        <f>IFERROR(__xludf.DUMMYFUNCTION("""COMPUTED_VALUE"""),1505.0)</f>
        <v>1505</v>
      </c>
      <c r="F96" t="str">
        <f>IFERROR(__xludf.DUMMYFUNCTION("""COMPUTED_VALUE"""),"$621,329")</f>
        <v>$621,329</v>
      </c>
      <c r="G96">
        <f>IFERROR(__xludf.DUMMYFUNCTION("""COMPUTED_VALUE"""),32.0)</f>
        <v>32</v>
      </c>
      <c r="H96" s="2">
        <f>IFERROR(__xludf.DUMMYFUNCTION("""COMPUTED_VALUE"""),43324.0)</f>
        <v>43324</v>
      </c>
      <c r="I96" s="2">
        <f>IFERROR(__xludf.DUMMYFUNCTION("""COMPUTED_VALUE"""),43421.0)</f>
        <v>43421</v>
      </c>
      <c r="J96" t="str">
        <f>IFERROR(__xludf.DUMMYFUNCTION("""COMPUTED_VALUE"""),"/movies/?id=hellorhighwater.htm")</f>
        <v>/movies/?id=hellorhighwater.htm</v>
      </c>
    </row>
    <row r="97">
      <c r="A97">
        <f>IFERROR(__xludf.DUMMYFUNCTION("""COMPUTED_VALUE"""),96.0)</f>
        <v>96</v>
      </c>
      <c r="B97" t="str">
        <f>IFERROR(__xludf.DUMMYFUNCTION("""COMPUTED_VALUE"""),"The Forest")</f>
        <v>The Forest</v>
      </c>
      <c r="C97" t="str">
        <f>IFERROR(__xludf.DUMMYFUNCTION("""COMPUTED_VALUE"""),"Focus")</f>
        <v>Focus</v>
      </c>
      <c r="D97" t="str">
        <f>IFERROR(__xludf.DUMMYFUNCTION("""COMPUTED_VALUE"""),"$26,594,261")</f>
        <v>$26,594,261</v>
      </c>
      <c r="E97" s="1">
        <f>IFERROR(__xludf.DUMMYFUNCTION("""COMPUTED_VALUE"""),2509.0)</f>
        <v>2509</v>
      </c>
      <c r="F97" t="str">
        <f>IFERROR(__xludf.DUMMYFUNCTION("""COMPUTED_VALUE"""),"$12,741,176")</f>
        <v>$12,741,176</v>
      </c>
      <c r="G97" s="1">
        <f>IFERROR(__xludf.DUMMYFUNCTION("""COMPUTED_VALUE"""),2451.0)</f>
        <v>2451</v>
      </c>
      <c r="H97" s="2">
        <f>IFERROR(__xludf.DUMMYFUNCTION("""COMPUTED_VALUE"""),43108.0)</f>
        <v>43108</v>
      </c>
      <c r="I97" s="2">
        <f>IFERROR(__xludf.DUMMYFUNCTION("""COMPUTED_VALUE"""),43176.0)</f>
        <v>43176</v>
      </c>
      <c r="J97" t="str">
        <f>IFERROR(__xludf.DUMMYFUNCTION("""COMPUTED_VALUE"""),"/movies/?id=forest.htm")</f>
        <v>/movies/?id=forest.htm</v>
      </c>
    </row>
    <row r="98">
      <c r="A98">
        <f>IFERROR(__xludf.DUMMYFUNCTION("""COMPUTED_VALUE"""),97.0)</f>
        <v>97</v>
      </c>
      <c r="B98" t="str">
        <f>IFERROR(__xludf.DUMMYFUNCTION("""COMPUTED_VALUE"""),"Ben-Hur (2016)")</f>
        <v>Ben-Hur (2016)</v>
      </c>
      <c r="C98" t="str">
        <f>IFERROR(__xludf.DUMMYFUNCTION("""COMPUTED_VALUE"""),"Par.")</f>
        <v>Par.</v>
      </c>
      <c r="D98" t="str">
        <f>IFERROR(__xludf.DUMMYFUNCTION("""COMPUTED_VALUE"""),"$26,410,477")</f>
        <v>$26,410,477</v>
      </c>
      <c r="E98" s="1">
        <f>IFERROR(__xludf.DUMMYFUNCTION("""COMPUTED_VALUE"""),3084.0)</f>
        <v>3084</v>
      </c>
      <c r="F98" t="str">
        <f>IFERROR(__xludf.DUMMYFUNCTION("""COMPUTED_VALUE"""),"$11,203,815")</f>
        <v>$11,203,815</v>
      </c>
      <c r="G98" s="1">
        <f>IFERROR(__xludf.DUMMYFUNCTION("""COMPUTED_VALUE"""),3084.0)</f>
        <v>3084</v>
      </c>
      <c r="H98" s="2">
        <f>IFERROR(__xludf.DUMMYFUNCTION("""COMPUTED_VALUE"""),43331.0)</f>
        <v>43331</v>
      </c>
      <c r="I98" s="2">
        <f>IFERROR(__xludf.DUMMYFUNCTION("""COMPUTED_VALUE"""),43379.0)</f>
        <v>43379</v>
      </c>
      <c r="J98" t="str">
        <f>IFERROR(__xludf.DUMMYFUNCTION("""COMPUTED_VALUE"""),"/movies/?id=benhur2016.htm")</f>
        <v>/movies/?id=benhur2016.htm</v>
      </c>
    </row>
    <row r="99">
      <c r="A99">
        <f>IFERROR(__xludf.DUMMYFUNCTION("""COMPUTED_VALUE"""),98.0)</f>
        <v>98</v>
      </c>
      <c r="B99" t="str">
        <f>IFERROR(__xludf.DUMMYFUNCTION("""COMPUTED_VALUE"""),"The Witch")</f>
        <v>The Witch</v>
      </c>
      <c r="C99" t="str">
        <f>IFERROR(__xludf.DUMMYFUNCTION("""COMPUTED_VALUE"""),"A24")</f>
        <v>A24</v>
      </c>
      <c r="D99" t="str">
        <f>IFERROR(__xludf.DUMMYFUNCTION("""COMPUTED_VALUE"""),"$25,138,705")</f>
        <v>$25,138,705</v>
      </c>
      <c r="E99" s="1">
        <f>IFERROR(__xludf.DUMMYFUNCTION("""COMPUTED_VALUE"""),2204.0)</f>
        <v>2204</v>
      </c>
      <c r="F99" t="str">
        <f>IFERROR(__xludf.DUMMYFUNCTION("""COMPUTED_VALUE"""),"$8,800,230")</f>
        <v>$8,800,230</v>
      </c>
      <c r="G99" s="1">
        <f>IFERROR(__xludf.DUMMYFUNCTION("""COMPUTED_VALUE"""),2046.0)</f>
        <v>2046</v>
      </c>
      <c r="H99" s="2">
        <f>IFERROR(__xludf.DUMMYFUNCTION("""COMPUTED_VALUE"""),43150.0)</f>
        <v>43150</v>
      </c>
      <c r="I99" s="2">
        <f>IFERROR(__xludf.DUMMYFUNCTION("""COMPUTED_VALUE"""),43246.0)</f>
        <v>43246</v>
      </c>
      <c r="J99" t="str">
        <f>IFERROR(__xludf.DUMMYFUNCTION("""COMPUTED_VALUE"""),"/movies/?id=thewitch.htm")</f>
        <v>/movies/?id=thewitch.htm</v>
      </c>
    </row>
    <row r="100">
      <c r="A100">
        <f>IFERROR(__xludf.DUMMYFUNCTION("""COMPUTED_VALUE"""),99.0)</f>
        <v>99</v>
      </c>
      <c r="B100" t="str">
        <f>IFERROR(__xludf.DUMMYFUNCTION("""COMPUTED_VALUE"""),"Bridget Jones's Baby")</f>
        <v>Bridget Jones's Baby</v>
      </c>
      <c r="C100" t="str">
        <f>IFERROR(__xludf.DUMMYFUNCTION("""COMPUTED_VALUE"""),"Uni.")</f>
        <v>Uni.</v>
      </c>
      <c r="D100" t="str">
        <f>IFERROR(__xludf.DUMMYFUNCTION("""COMPUTED_VALUE"""),"$24,252,420")</f>
        <v>$24,252,420</v>
      </c>
      <c r="E100" s="1">
        <f>IFERROR(__xludf.DUMMYFUNCTION("""COMPUTED_VALUE"""),2930.0)</f>
        <v>2930</v>
      </c>
      <c r="F100" t="str">
        <f>IFERROR(__xludf.DUMMYFUNCTION("""COMPUTED_VALUE"""),"$8,571,785")</f>
        <v>$8,571,785</v>
      </c>
      <c r="G100" s="1">
        <f>IFERROR(__xludf.DUMMYFUNCTION("""COMPUTED_VALUE"""),2927.0)</f>
        <v>2927</v>
      </c>
      <c r="H100" s="2">
        <f>IFERROR(__xludf.DUMMYFUNCTION("""COMPUTED_VALUE"""),43359.0)</f>
        <v>43359</v>
      </c>
      <c r="I100" s="2">
        <f>IFERROR(__xludf.DUMMYFUNCTION("""COMPUTED_VALUE"""),43449.0)</f>
        <v>43449</v>
      </c>
      <c r="J100" t="str">
        <f>IFERROR(__xludf.DUMMYFUNCTION("""COMPUTED_VALUE"""),"/movies/?id=bridgetjonessbaby.htm")</f>
        <v>/movies/?id=bridgetjonessbaby.htm</v>
      </c>
    </row>
    <row r="101">
      <c r="A101">
        <f>IFERROR(__xludf.DUMMYFUNCTION("""COMPUTED_VALUE"""),100.0)</f>
        <v>100</v>
      </c>
      <c r="B101" t="str">
        <f>IFERROR(__xludf.DUMMYFUNCTION("""COMPUTED_VALUE"""),"Kevin Hart: What Now?")</f>
        <v>Kevin Hart: What Now?</v>
      </c>
      <c r="C101" t="str">
        <f>IFERROR(__xludf.DUMMYFUNCTION("""COMPUTED_VALUE"""),"Uni.")</f>
        <v>Uni.</v>
      </c>
      <c r="D101" t="str">
        <f>IFERROR(__xludf.DUMMYFUNCTION("""COMPUTED_VALUE"""),"$23,591,043")</f>
        <v>$23,591,043</v>
      </c>
      <c r="E101" s="1">
        <f>IFERROR(__xludf.DUMMYFUNCTION("""COMPUTED_VALUE"""),2567.0)</f>
        <v>2567</v>
      </c>
      <c r="F101" t="str">
        <f>IFERROR(__xludf.DUMMYFUNCTION("""COMPUTED_VALUE"""),"$11,767,210")</f>
        <v>$11,767,210</v>
      </c>
      <c r="G101" s="1">
        <f>IFERROR(__xludf.DUMMYFUNCTION("""COMPUTED_VALUE"""),2567.0)</f>
        <v>2567</v>
      </c>
      <c r="H101" s="2">
        <f>IFERROR(__xludf.DUMMYFUNCTION("""COMPUTED_VALUE"""),43387.0)</f>
        <v>43387</v>
      </c>
      <c r="I101" s="2">
        <f>IFERROR(__xludf.DUMMYFUNCTION("""COMPUTED_VALUE"""),43449.0)</f>
        <v>43449</v>
      </c>
      <c r="J101" t="str">
        <f>IFERROR(__xludf.DUMMYFUNCTION("""COMPUTED_VALUE"""),"/movies/?id=kevinhart2016.htm")</f>
        <v>/movies/?id=kevinhart2016.htm</v>
      </c>
    </row>
    <row r="102">
      <c r="A102" t="str">
        <f>IFERROR(__xludf.DUMMYFUNCTION("""COMPUTED_VALUE"""),"Summary of 737 Movies on Chart:")</f>
        <v>Summary of 737 Movies on Chart:</v>
      </c>
      <c r="B102" t="str">
        <f>IFERROR(__xludf.DUMMYFUNCTION("""COMPUTED_VALUE"""),"")</f>
        <v/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IFERROR(__xludf.DUMMYFUNCTION("""COMPUTED_VALUE"""),"")</f>
        <v/>
      </c>
      <c r="I102" t="str">
        <f>IFERROR(__xludf.DUMMYFUNCTION("""COMPUTED_VALUE"""),"")</f>
        <v/>
      </c>
    </row>
    <row r="103">
      <c r="A103" t="str">
        <f>IFERROR(__xludf.DUMMYFUNCTION("""COMPUTED_VALUE"""),"Totals:")</f>
        <v>Totals:</v>
      </c>
      <c r="B103" t="str">
        <f>IFERROR(__xludf.DUMMYFUNCTION("""COMPUTED_VALUE"""),"$11,373,416,438")</f>
        <v>$11,373,416,438</v>
      </c>
      <c r="C103" t="str">
        <f>IFERROR(__xludf.DUMMYFUNCTION("""COMPUTED_VALUE"""),"-")</f>
        <v>-</v>
      </c>
      <c r="D103" t="str">
        <f>IFERROR(__xludf.DUMMYFUNCTION("""COMPUTED_VALUE"""),"-")</f>
        <v>-</v>
      </c>
      <c r="E103" t="str">
        <f>IFERROR(__xludf.DUMMYFUNCTION("""COMPUTED_VALUE"""),"-")</f>
        <v>-</v>
      </c>
      <c r="F103" t="str">
        <f>IFERROR(__xludf.DUMMYFUNCTION("""COMPUTED_VALUE"""),"-")</f>
        <v>-</v>
      </c>
      <c r="G103" t="str">
        <f>IFERROR(__xludf.DUMMYFUNCTION("""COMPUTED_VALUE"""),"-")</f>
        <v>-</v>
      </c>
      <c r="H103" t="str">
        <f>IFERROR(__xludf.DUMMYFUNCTION("""COMPUTED_VALUE"""),"")</f>
        <v/>
      </c>
      <c r="I103" t="str">
        <f>IFERROR(__xludf.DUMMYFUNCTION("""COMPUTED_VALUE"""),"")</f>
        <v/>
      </c>
    </row>
    <row r="104">
      <c r="A104" t="str">
        <f>IFERROR(__xludf.DUMMYFUNCTION("""COMPUTED_VALUE"""),"Averages:")</f>
        <v>Averages:</v>
      </c>
      <c r="B104" t="str">
        <f>IFERROR(__xludf.DUMMYFUNCTION("""COMPUTED_VALUE"""),"$15,432,044")</f>
        <v>$15,432,044</v>
      </c>
      <c r="C104" t="str">
        <f>IFERROR(__xludf.DUMMYFUNCTION("""COMPUTED_VALUE"""),"-")</f>
        <v>-</v>
      </c>
      <c r="D104" t="str">
        <f>IFERROR(__xludf.DUMMYFUNCTION("""COMPUTED_VALUE"""),"-")</f>
        <v>-</v>
      </c>
      <c r="E104" t="str">
        <f>IFERROR(__xludf.DUMMYFUNCTION("""COMPUTED_VALUE"""),"-")</f>
        <v>-</v>
      </c>
      <c r="F104" t="str">
        <f>IFERROR(__xludf.DUMMYFUNCTION("""COMPUTED_VALUE"""),"-")</f>
        <v>-</v>
      </c>
      <c r="G104" t="str">
        <f>IFERROR(__xludf.DUMMYFUNCTION("""COMPUTED_VALUE"""),"-")</f>
        <v>-</v>
      </c>
      <c r="H104" t="str">
        <f>IFERROR(__xludf.DUMMYFUNCTION("""COMPUTED_VALUE"""),"")</f>
        <v/>
      </c>
      <c r="I104" t="str">
        <f>IFERROR(__xludf.DUMMYFUNCTION("""COMPUTED_VALUE"""),"")</f>
        <v/>
      </c>
    </row>
    <row r="105">
      <c r="A105" t="str">
        <f>IFERROR(__xludf.DUMMYFUNCTION("""COMPUTED_VALUE"""),"")</f>
        <v/>
      </c>
      <c r="B105" t="str">
        <f>IFERROR(__xludf.DUMMYFUNCTION("""COMPUTED_VALUE"""),"")</f>
        <v/>
      </c>
      <c r="C105" t="str">
        <f>IFERROR(__xludf.DUMMYFUNCTION("""COMPUTED_VALUE"""),"")</f>
        <v/>
      </c>
      <c r="D105" t="str">
        <f>IFERROR(__xludf.DUMMYFUNCTION("""COMPUTED_VALUE"""),"")</f>
        <v/>
      </c>
      <c r="E105" t="str">
        <f>IFERROR(__xludf.DUMMYFUNCTION("""COMPUTED_VALUE"""),"")</f>
        <v/>
      </c>
      <c r="F105" t="str">
        <f>IFERROR(__xludf.DUMMYFUNCTION("""COMPUTED_VALUE"""),"")</f>
        <v/>
      </c>
      <c r="G105" t="str">
        <f>IFERROR(__xludf.DUMMYFUNCTION("""COMPUTED_VALUE"""),"")</f>
        <v/>
      </c>
      <c r="H105" t="str">
        <f>IFERROR(__xludf.DUMMYFUNCTION("""COMPUTED_VALUE"""),"")</f>
        <v/>
      </c>
      <c r="I105" t="str">
        <f>IFERROR(__xludf.DUMMYFUNCTION("""COMPUTED_VALUE"""),"")</f>
        <v/>
      </c>
    </row>
    <row r="106">
      <c r="A106" t="str">
        <f>IFERROR(__xludf.DUMMYFUNCTION("""COMPUTED_VALUE"""),"Next Year &gt;")</f>
        <v>Next Year &gt;</v>
      </c>
      <c r="B106" t="str">
        <f>IFERROR(__xludf.DUMMYFUNCTION("""COMPUTED_VALUE"""),"")</f>
        <v/>
      </c>
      <c r="C106" t="str">
        <f>IFERROR(__xludf.DUMMYFUNCTION("""COMPUTED_VALUE"""),"")</f>
        <v/>
      </c>
      <c r="D106" t="str">
        <f>IFERROR(__xludf.DUMMYFUNCTION("""COMPUTED_VALUE"""),"")</f>
        <v/>
      </c>
      <c r="E106" t="str">
        <f>IFERROR(__xludf.DUMMYFUNCTION("""COMPUTED_VALUE"""),"")</f>
        <v/>
      </c>
      <c r="F106" t="str">
        <f>IFERROR(__xludf.DUMMYFUNCTION("""COMPUTED_VALUE"""),"")</f>
        <v/>
      </c>
      <c r="G106" t="str">
        <f>IFERROR(__xludf.DUMMYFUNCTION("""COMPUTED_VALUE"""),"")</f>
        <v/>
      </c>
      <c r="H106" t="str">
        <f>IFERROR(__xludf.DUMMYFUNCTION("""COMPUTED_VALUE"""),"")</f>
        <v/>
      </c>
      <c r="I106" t="str">
        <f>IFERROR(__xludf.DUMMYFUNCTION("""COMPUTED_VALUE"""),"")</f>
        <v/>
      </c>
    </row>
  </sheetData>
  <drawing r:id="rId1"/>
</worksheet>
</file>