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64" xfId="0" applyFont="1" applyNumberForma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IFERROR(__xludf.DUMMYFUNCTION("importxml(""https://www.boxofficemojo.com/yearly/chart/?view=releasedate&amp;view2=domestic&amp;yr=2017&amp;sort=gross&amp;order=DESC&amp;p=.htm"", ""//*[@id='body']/table[3]/tr/td[1]/table[1]/tr/td[2]/table[1]/tr/td/table[1]/tr/td/table[1]/tr"")"),"Total Gross /Theaters")</f>
        <v>Total Gross /Theaters</v>
      </c>
      <c r="B1" t="str">
        <f>IFERROR(__xludf.DUMMYFUNCTION("""COMPUTED_VALUE"""),"Opening /Theaters")</f>
        <v>Opening /Theaters</v>
      </c>
      <c r="C1" t="str">
        <f>IFERROR(__xludf.DUMMYFUNCTION("""COMPUTED_VALUE"""),"Open")</f>
        <v>Open</v>
      </c>
      <c r="D1" t="str">
        <f>IFERROR(__xludf.DUMMYFUNCTION("""COMPUTED_VALUE"""),"Close")</f>
        <v>Close</v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IFERROR(__xludf.DUMMYFUNCTION("""COMPUTED_VALUE"""),"")</f>
        <v/>
      </c>
      <c r="I1" t="str">
        <f>IFERROR(__xludf.DUMMYFUNCTION("""COMPUTED_VALUE"""),"")</f>
        <v/>
      </c>
    </row>
    <row r="2">
      <c r="A2">
        <f>IFERROR(__xludf.DUMMYFUNCTION("""COMPUTED_VALUE"""),1.0)</f>
        <v>1</v>
      </c>
      <c r="B2" t="str">
        <f>IFERROR(__xludf.DUMMYFUNCTION("""COMPUTED_VALUE"""),"Star Wars: The Last Jedi")</f>
        <v>Star Wars: The Last Jedi</v>
      </c>
      <c r="C2" t="str">
        <f>IFERROR(__xludf.DUMMYFUNCTION("""COMPUTED_VALUE"""),"BV")</f>
        <v>BV</v>
      </c>
      <c r="D2" t="str">
        <f>IFERROR(__xludf.DUMMYFUNCTION("""COMPUTED_VALUE"""),"$620,181,382")</f>
        <v>$620,181,382</v>
      </c>
      <c r="E2" s="1">
        <f>IFERROR(__xludf.DUMMYFUNCTION("""COMPUTED_VALUE"""),4232.0)</f>
        <v>4232</v>
      </c>
      <c r="F2" t="str">
        <f>IFERROR(__xludf.DUMMYFUNCTION("""COMPUTED_VALUE"""),"$220,009,584")</f>
        <v>$220,009,584</v>
      </c>
      <c r="G2" s="1">
        <f>IFERROR(__xludf.DUMMYFUNCTION("""COMPUTED_VALUE"""),4232.0)</f>
        <v>4232</v>
      </c>
      <c r="H2" s="2">
        <f>IFERROR(__xludf.DUMMYFUNCTION("""COMPUTED_VALUE"""),43449.0)</f>
        <v>43449</v>
      </c>
      <c r="I2" s="2">
        <f>IFERROR(__xludf.DUMMYFUNCTION("""COMPUTED_VALUE"""),43209.0)</f>
        <v>43209</v>
      </c>
      <c r="J2" s="3" t="str">
        <f>IFERROR(__xludf.DUMMYFUNCTION("importxml(""https://www.boxofficemojo.com/yearly/chart/?view=releasedate&amp;view2=domestic&amp;yr=2017&amp;sort=gross&amp;order=DESC&amp;p=.htm"", ""//*[@id='body']/table[3]/tr/td[1]/table[1]/tr/td[2]/table[1]/tr/td/table[1]/tr/td/table[1]/tr/td[2]/b/a/@href"")"),"/movies/?id=starwars8.htm")</f>
        <v>/movies/?id=starwars8.htm</v>
      </c>
    </row>
    <row r="3">
      <c r="A3">
        <f>IFERROR(__xludf.DUMMYFUNCTION("""COMPUTED_VALUE"""),2.0)</f>
        <v>2</v>
      </c>
      <c r="B3" t="str">
        <f>IFERROR(__xludf.DUMMYFUNCTION("""COMPUTED_VALUE"""),"Beauty and the Beast (2017)")</f>
        <v>Beauty and the Beast (2017)</v>
      </c>
      <c r="C3" t="str">
        <f>IFERROR(__xludf.DUMMYFUNCTION("""COMPUTED_VALUE"""),"BV")</f>
        <v>BV</v>
      </c>
      <c r="D3" t="str">
        <f>IFERROR(__xludf.DUMMYFUNCTION("""COMPUTED_VALUE"""),"$504,014,165")</f>
        <v>$504,014,165</v>
      </c>
      <c r="E3" s="1">
        <f>IFERROR(__xludf.DUMMYFUNCTION("""COMPUTED_VALUE"""),4210.0)</f>
        <v>4210</v>
      </c>
      <c r="F3" t="str">
        <f>IFERROR(__xludf.DUMMYFUNCTION("""COMPUTED_VALUE"""),"$174,750,616")</f>
        <v>$174,750,616</v>
      </c>
      <c r="G3" s="1">
        <f>IFERROR(__xludf.DUMMYFUNCTION("""COMPUTED_VALUE"""),4210.0)</f>
        <v>4210</v>
      </c>
      <c r="H3" s="2">
        <f>IFERROR(__xludf.DUMMYFUNCTION("""COMPUTED_VALUE"""),43176.0)</f>
        <v>43176</v>
      </c>
      <c r="I3" s="2">
        <f>IFERROR(__xludf.DUMMYFUNCTION("""COMPUTED_VALUE"""),43294.0)</f>
        <v>43294</v>
      </c>
      <c r="J3" t="str">
        <f>IFERROR(__xludf.DUMMYFUNCTION("""COMPUTED_VALUE"""),"/movies/?id=beautyandthebeast2017.htm")</f>
        <v>/movies/?id=beautyandthebeast2017.htm</v>
      </c>
    </row>
    <row r="4">
      <c r="A4">
        <f>IFERROR(__xludf.DUMMYFUNCTION("""COMPUTED_VALUE"""),3.0)</f>
        <v>3</v>
      </c>
      <c r="B4" t="str">
        <f>IFERROR(__xludf.DUMMYFUNCTION("""COMPUTED_VALUE"""),"Wonder Woman")</f>
        <v>Wonder Woman</v>
      </c>
      <c r="C4" t="str">
        <f>IFERROR(__xludf.DUMMYFUNCTION("""COMPUTED_VALUE"""),"WB")</f>
        <v>WB</v>
      </c>
      <c r="D4" t="str">
        <f>IFERROR(__xludf.DUMMYFUNCTION("""COMPUTED_VALUE"""),"$412,563,408")</f>
        <v>$412,563,408</v>
      </c>
      <c r="E4" s="1">
        <f>IFERROR(__xludf.DUMMYFUNCTION("""COMPUTED_VALUE"""),4165.0)</f>
        <v>4165</v>
      </c>
      <c r="F4" t="str">
        <f>IFERROR(__xludf.DUMMYFUNCTION("""COMPUTED_VALUE"""),"$103,251,471")</f>
        <v>$103,251,471</v>
      </c>
      <c r="G4" s="1">
        <f>IFERROR(__xludf.DUMMYFUNCTION("""COMPUTED_VALUE"""),4165.0)</f>
        <v>4165</v>
      </c>
      <c r="H4" s="2">
        <f>IFERROR(__xludf.DUMMYFUNCTION("""COMPUTED_VALUE"""),43253.0)</f>
        <v>43253</v>
      </c>
      <c r="I4" s="2">
        <f>IFERROR(__xludf.DUMMYFUNCTION("""COMPUTED_VALUE"""),43413.0)</f>
        <v>43413</v>
      </c>
      <c r="J4" t="str">
        <f>IFERROR(__xludf.DUMMYFUNCTION("""COMPUTED_VALUE"""),"/movies/?id=wonderwoman.htm")</f>
        <v>/movies/?id=wonderwoman.htm</v>
      </c>
    </row>
    <row r="5">
      <c r="A5">
        <f>IFERROR(__xludf.DUMMYFUNCTION("""COMPUTED_VALUE"""),4.0)</f>
        <v>4</v>
      </c>
      <c r="B5" t="str">
        <f>IFERROR(__xludf.DUMMYFUNCTION("""COMPUTED_VALUE"""),"Jumanji: Welcome to the Jungle")</f>
        <v>Jumanji: Welcome to the Jungle</v>
      </c>
      <c r="C5" t="str">
        <f>IFERROR(__xludf.DUMMYFUNCTION("""COMPUTED_VALUE"""),"Sony")</f>
        <v>Sony</v>
      </c>
      <c r="D5" t="str">
        <f>IFERROR(__xludf.DUMMYFUNCTION("""COMPUTED_VALUE"""),"$404,515,480")</f>
        <v>$404,515,480</v>
      </c>
      <c r="E5" s="1">
        <f>IFERROR(__xludf.DUMMYFUNCTION("""COMPUTED_VALUE"""),3849.0)</f>
        <v>3849</v>
      </c>
      <c r="F5" t="str">
        <f>IFERROR(__xludf.DUMMYFUNCTION("""COMPUTED_VALUE"""),"$36,169,328")</f>
        <v>$36,169,328</v>
      </c>
      <c r="G5" s="1">
        <f>IFERROR(__xludf.DUMMYFUNCTION("""COMPUTED_VALUE"""),3765.0)</f>
        <v>3765</v>
      </c>
      <c r="H5" s="2">
        <f>IFERROR(__xludf.DUMMYFUNCTION("""COMPUTED_VALUE"""),43454.0)</f>
        <v>43454</v>
      </c>
      <c r="I5" s="2">
        <f>IFERROR(__xludf.DUMMYFUNCTION("""COMPUTED_VALUE"""),43251.0)</f>
        <v>43251</v>
      </c>
      <c r="J5" t="str">
        <f>IFERROR(__xludf.DUMMYFUNCTION("""COMPUTED_VALUE"""),"/movies/?id=jumanji2016.htm")</f>
        <v>/movies/?id=jumanji2016.htm</v>
      </c>
    </row>
    <row r="6">
      <c r="A6">
        <f>IFERROR(__xludf.DUMMYFUNCTION("""COMPUTED_VALUE"""),5.0)</f>
        <v>5</v>
      </c>
      <c r="B6" t="str">
        <f>IFERROR(__xludf.DUMMYFUNCTION("""COMPUTED_VALUE"""),"Guardians of the Galaxy Vol. 2")</f>
        <v>Guardians of the Galaxy Vol. 2</v>
      </c>
      <c r="C6" t="str">
        <f>IFERROR(__xludf.DUMMYFUNCTION("""COMPUTED_VALUE"""),"BV")</f>
        <v>BV</v>
      </c>
      <c r="D6" t="str">
        <f>IFERROR(__xludf.DUMMYFUNCTION("""COMPUTED_VALUE"""),"$389,813,101")</f>
        <v>$389,813,101</v>
      </c>
      <c r="E6" s="1">
        <f>IFERROR(__xludf.DUMMYFUNCTION("""COMPUTED_VALUE"""),4347.0)</f>
        <v>4347</v>
      </c>
      <c r="F6" t="str">
        <f>IFERROR(__xludf.DUMMYFUNCTION("""COMPUTED_VALUE"""),"$146,510,104")</f>
        <v>$146,510,104</v>
      </c>
      <c r="G6" s="1">
        <f>IFERROR(__xludf.DUMMYFUNCTION("""COMPUTED_VALUE"""),4347.0)</f>
        <v>4347</v>
      </c>
      <c r="H6" s="2">
        <f>IFERROR(__xludf.DUMMYFUNCTION("""COMPUTED_VALUE"""),43225.0)</f>
        <v>43225</v>
      </c>
      <c r="I6" s="2">
        <f>IFERROR(__xludf.DUMMYFUNCTION("""COMPUTED_VALUE"""),43364.0)</f>
        <v>43364</v>
      </c>
      <c r="J6" t="str">
        <f>IFERROR(__xludf.DUMMYFUNCTION("""COMPUTED_VALUE"""),"/movies/?id=marvel17a.htm")</f>
        <v>/movies/?id=marvel17a.htm</v>
      </c>
    </row>
    <row r="7">
      <c r="A7">
        <f>IFERROR(__xludf.DUMMYFUNCTION("""COMPUTED_VALUE"""),6.0)</f>
        <v>6</v>
      </c>
      <c r="B7" t="str">
        <f>IFERROR(__xludf.DUMMYFUNCTION("""COMPUTED_VALUE"""),"Spider-Man: Homecoming")</f>
        <v>Spider-Man: Homecoming</v>
      </c>
      <c r="C7" t="str">
        <f>IFERROR(__xludf.DUMMYFUNCTION("""COMPUTED_VALUE"""),"Sony")</f>
        <v>Sony</v>
      </c>
      <c r="D7" t="str">
        <f>IFERROR(__xludf.DUMMYFUNCTION("""COMPUTED_VALUE"""),"$334,201,140")</f>
        <v>$334,201,140</v>
      </c>
      <c r="E7" s="1">
        <f>IFERROR(__xludf.DUMMYFUNCTION("""COMPUTED_VALUE"""),4348.0)</f>
        <v>4348</v>
      </c>
      <c r="F7" t="str">
        <f>IFERROR(__xludf.DUMMYFUNCTION("""COMPUTED_VALUE"""),"$117,027,503")</f>
        <v>$117,027,503</v>
      </c>
      <c r="G7" s="1">
        <f>IFERROR(__xludf.DUMMYFUNCTION("""COMPUTED_VALUE"""),4348.0)</f>
        <v>4348</v>
      </c>
      <c r="H7" s="2">
        <f>IFERROR(__xludf.DUMMYFUNCTION("""COMPUTED_VALUE"""),43288.0)</f>
        <v>43288</v>
      </c>
      <c r="I7" s="2">
        <f>IFERROR(__xludf.DUMMYFUNCTION("""COMPUTED_VALUE"""),43434.0)</f>
        <v>43434</v>
      </c>
      <c r="J7" t="str">
        <f>IFERROR(__xludf.DUMMYFUNCTION("""COMPUTED_VALUE"""),"/movies/?id=spiderman2017.htm")</f>
        <v>/movies/?id=spiderman2017.htm</v>
      </c>
    </row>
    <row r="8">
      <c r="A8">
        <f>IFERROR(__xludf.DUMMYFUNCTION("""COMPUTED_VALUE"""),7.0)</f>
        <v>7</v>
      </c>
      <c r="B8" t="str">
        <f>IFERROR(__xludf.DUMMYFUNCTION("""COMPUTED_VALUE"""),"It")</f>
        <v>It</v>
      </c>
      <c r="C8" t="str">
        <f>IFERROR(__xludf.DUMMYFUNCTION("""COMPUTED_VALUE"""),"WB (NL)")</f>
        <v>WB (NL)</v>
      </c>
      <c r="D8" t="str">
        <f>IFERROR(__xludf.DUMMYFUNCTION("""COMPUTED_VALUE"""),"$327,481,748")</f>
        <v>$327,481,748</v>
      </c>
      <c r="E8" s="1">
        <f>IFERROR(__xludf.DUMMYFUNCTION("""COMPUTED_VALUE"""),4148.0)</f>
        <v>4148</v>
      </c>
      <c r="F8" t="str">
        <f>IFERROR(__xludf.DUMMYFUNCTION("""COMPUTED_VALUE"""),"$123,403,419")</f>
        <v>$123,403,419</v>
      </c>
      <c r="G8" s="1">
        <f>IFERROR(__xludf.DUMMYFUNCTION("""COMPUTED_VALUE"""),4103.0)</f>
        <v>4103</v>
      </c>
      <c r="H8" s="2">
        <f>IFERROR(__xludf.DUMMYFUNCTION("""COMPUTED_VALUE"""),43351.0)</f>
        <v>43351</v>
      </c>
      <c r="I8" s="2">
        <f>IFERROR(__xludf.DUMMYFUNCTION("""COMPUTED_VALUE"""),43448.0)</f>
        <v>43448</v>
      </c>
      <c r="J8" t="str">
        <f>IFERROR(__xludf.DUMMYFUNCTION("""COMPUTED_VALUE"""),"/movies/?id=it.htm")</f>
        <v>/movies/?id=it.htm</v>
      </c>
    </row>
    <row r="9">
      <c r="A9">
        <f>IFERROR(__xludf.DUMMYFUNCTION("""COMPUTED_VALUE"""),8.0)</f>
        <v>8</v>
      </c>
      <c r="B9" t="str">
        <f>IFERROR(__xludf.DUMMYFUNCTION("""COMPUTED_VALUE"""),"Thor: Ragnarok")</f>
        <v>Thor: Ragnarok</v>
      </c>
      <c r="C9" t="str">
        <f>IFERROR(__xludf.DUMMYFUNCTION("""COMPUTED_VALUE"""),"BV")</f>
        <v>BV</v>
      </c>
      <c r="D9" t="str">
        <f>IFERROR(__xludf.DUMMYFUNCTION("""COMPUTED_VALUE"""),"$315,058,289")</f>
        <v>$315,058,289</v>
      </c>
      <c r="E9" s="1">
        <f>IFERROR(__xludf.DUMMYFUNCTION("""COMPUTED_VALUE"""),4080.0)</f>
        <v>4080</v>
      </c>
      <c r="F9" t="str">
        <f>IFERROR(__xludf.DUMMYFUNCTION("""COMPUTED_VALUE"""),"$122,744,989")</f>
        <v>$122,744,989</v>
      </c>
      <c r="G9" s="1">
        <f>IFERROR(__xludf.DUMMYFUNCTION("""COMPUTED_VALUE"""),4080.0)</f>
        <v>4080</v>
      </c>
      <c r="H9" s="2">
        <f>IFERROR(__xludf.DUMMYFUNCTION("""COMPUTED_VALUE"""),43407.0)</f>
        <v>43407</v>
      </c>
      <c r="I9" s="2">
        <f>IFERROR(__xludf.DUMMYFUNCTION("""COMPUTED_VALUE"""),43174.0)</f>
        <v>43174</v>
      </c>
      <c r="J9" t="str">
        <f>IFERROR(__xludf.DUMMYFUNCTION("""COMPUTED_VALUE"""),"/movies/?id=marvel2017.htm")</f>
        <v>/movies/?id=marvel2017.htm</v>
      </c>
    </row>
    <row r="10">
      <c r="A10">
        <f>IFERROR(__xludf.DUMMYFUNCTION("""COMPUTED_VALUE"""),9.0)</f>
        <v>9</v>
      </c>
      <c r="B10" t="str">
        <f>IFERROR(__xludf.DUMMYFUNCTION("""COMPUTED_VALUE"""),"Despicable Me 3")</f>
        <v>Despicable Me 3</v>
      </c>
      <c r="C10" t="str">
        <f>IFERROR(__xludf.DUMMYFUNCTION("""COMPUTED_VALUE"""),"Uni.")</f>
        <v>Uni.</v>
      </c>
      <c r="D10" t="str">
        <f>IFERROR(__xludf.DUMMYFUNCTION("""COMPUTED_VALUE"""),"$264,624,300")</f>
        <v>$264,624,300</v>
      </c>
      <c r="E10" s="1">
        <f>IFERROR(__xludf.DUMMYFUNCTION("""COMPUTED_VALUE"""),4535.0)</f>
        <v>4535</v>
      </c>
      <c r="F10" t="str">
        <f>IFERROR(__xludf.DUMMYFUNCTION("""COMPUTED_VALUE"""),"$72,434,025")</f>
        <v>$72,434,025</v>
      </c>
      <c r="G10" s="1">
        <f>IFERROR(__xludf.DUMMYFUNCTION("""COMPUTED_VALUE"""),4529.0)</f>
        <v>4529</v>
      </c>
      <c r="H10" s="2">
        <f>IFERROR(__xludf.DUMMYFUNCTION("""COMPUTED_VALUE"""),43281.0)</f>
        <v>43281</v>
      </c>
      <c r="I10" s="2">
        <f>IFERROR(__xludf.DUMMYFUNCTION("""COMPUTED_VALUE"""),43455.0)</f>
        <v>43455</v>
      </c>
      <c r="J10" t="str">
        <f>IFERROR(__xludf.DUMMYFUNCTION("""COMPUTED_VALUE"""),"/movies/?id=despicableme3.htm")</f>
        <v>/movies/?id=despicableme3.htm</v>
      </c>
    </row>
    <row r="11">
      <c r="A11">
        <f>IFERROR(__xludf.DUMMYFUNCTION("""COMPUTED_VALUE"""),10.0)</f>
        <v>10</v>
      </c>
      <c r="B11" t="str">
        <f>IFERROR(__xludf.DUMMYFUNCTION("""COMPUTED_VALUE"""),"Justice League")</f>
        <v>Justice League</v>
      </c>
      <c r="C11" t="str">
        <f>IFERROR(__xludf.DUMMYFUNCTION("""COMPUTED_VALUE"""),"WB")</f>
        <v>WB</v>
      </c>
      <c r="D11" t="str">
        <f>IFERROR(__xludf.DUMMYFUNCTION("""COMPUTED_VALUE"""),"$229,024,295")</f>
        <v>$229,024,295</v>
      </c>
      <c r="E11" s="1">
        <f>IFERROR(__xludf.DUMMYFUNCTION("""COMPUTED_VALUE"""),4051.0)</f>
        <v>4051</v>
      </c>
      <c r="F11" t="str">
        <f>IFERROR(__xludf.DUMMYFUNCTION("""COMPUTED_VALUE"""),"$93,842,239")</f>
        <v>$93,842,239</v>
      </c>
      <c r="G11" s="1">
        <f>IFERROR(__xludf.DUMMYFUNCTION("""COMPUTED_VALUE"""),4051.0)</f>
        <v>4051</v>
      </c>
      <c r="H11" s="2">
        <f>IFERROR(__xludf.DUMMYFUNCTION("""COMPUTED_VALUE"""),43421.0)</f>
        <v>43421</v>
      </c>
      <c r="I11" s="2">
        <f>IFERROR(__xludf.DUMMYFUNCTION("""COMPUTED_VALUE"""),43174.0)</f>
        <v>43174</v>
      </c>
      <c r="J11" t="str">
        <f>IFERROR(__xludf.DUMMYFUNCTION("""COMPUTED_VALUE"""),"/movies/?id=dcfilm1117.htm")</f>
        <v>/movies/?id=dcfilm1117.htm</v>
      </c>
    </row>
    <row r="12">
      <c r="A12">
        <f>IFERROR(__xludf.DUMMYFUNCTION("""COMPUTED_VALUE"""),11.0)</f>
        <v>11</v>
      </c>
      <c r="B12" t="str">
        <f>IFERROR(__xludf.DUMMYFUNCTION("""COMPUTED_VALUE"""),"Logan (2017)")</f>
        <v>Logan (2017)</v>
      </c>
      <c r="C12" t="str">
        <f>IFERROR(__xludf.DUMMYFUNCTION("""COMPUTED_VALUE"""),"Fox")</f>
        <v>Fox</v>
      </c>
      <c r="D12" t="str">
        <f>IFERROR(__xludf.DUMMYFUNCTION("""COMPUTED_VALUE"""),"$226,277,068")</f>
        <v>$226,277,068</v>
      </c>
      <c r="E12" s="1">
        <f>IFERROR(__xludf.DUMMYFUNCTION("""COMPUTED_VALUE"""),4071.0)</f>
        <v>4071</v>
      </c>
      <c r="F12" t="str">
        <f>IFERROR(__xludf.DUMMYFUNCTION("""COMPUTED_VALUE"""),"$88,411,916")</f>
        <v>$88,411,916</v>
      </c>
      <c r="G12" s="1">
        <f>IFERROR(__xludf.DUMMYFUNCTION("""COMPUTED_VALUE"""),4071.0)</f>
        <v>4071</v>
      </c>
      <c r="H12" s="2">
        <f>IFERROR(__xludf.DUMMYFUNCTION("""COMPUTED_VALUE"""),43162.0)</f>
        <v>43162</v>
      </c>
      <c r="I12" s="2">
        <f>IFERROR(__xludf.DUMMYFUNCTION("""COMPUTED_VALUE"""),43294.0)</f>
        <v>43294</v>
      </c>
      <c r="J12" t="str">
        <f>IFERROR(__xludf.DUMMYFUNCTION("""COMPUTED_VALUE"""),"/movies/?id=wolverine2017.htm")</f>
        <v>/movies/?id=wolverine2017.htm</v>
      </c>
    </row>
    <row r="13">
      <c r="A13">
        <f>IFERROR(__xludf.DUMMYFUNCTION("""COMPUTED_VALUE"""),12.0)</f>
        <v>12</v>
      </c>
      <c r="B13" t="str">
        <f>IFERROR(__xludf.DUMMYFUNCTION("""COMPUTED_VALUE"""),"The Fate of the Furious")</f>
        <v>The Fate of the Furious</v>
      </c>
      <c r="C13" t="str">
        <f>IFERROR(__xludf.DUMMYFUNCTION("""COMPUTED_VALUE"""),"Uni.")</f>
        <v>Uni.</v>
      </c>
      <c r="D13" t="str">
        <f>IFERROR(__xludf.DUMMYFUNCTION("""COMPUTED_VALUE"""),"$226,008,385")</f>
        <v>$226,008,385</v>
      </c>
      <c r="E13" s="1">
        <f>IFERROR(__xludf.DUMMYFUNCTION("""COMPUTED_VALUE"""),4329.0)</f>
        <v>4329</v>
      </c>
      <c r="F13" t="str">
        <f>IFERROR(__xludf.DUMMYFUNCTION("""COMPUTED_VALUE"""),"$98,786,705")</f>
        <v>$98,786,705</v>
      </c>
      <c r="G13" s="1">
        <f>IFERROR(__xludf.DUMMYFUNCTION("""COMPUTED_VALUE"""),4310.0)</f>
        <v>4310</v>
      </c>
      <c r="H13" s="2">
        <f>IFERROR(__xludf.DUMMYFUNCTION("""COMPUTED_VALUE"""),43204.0)</f>
        <v>43204</v>
      </c>
      <c r="I13" s="2">
        <f>IFERROR(__xludf.DUMMYFUNCTION("""COMPUTED_VALUE"""),43322.0)</f>
        <v>43322</v>
      </c>
      <c r="J13" t="str">
        <f>IFERROR(__xludf.DUMMYFUNCTION("""COMPUTED_VALUE"""),"/movies/?id=furious8.htm")</f>
        <v>/movies/?id=furious8.htm</v>
      </c>
    </row>
    <row r="14">
      <c r="A14">
        <f>IFERROR(__xludf.DUMMYFUNCTION("""COMPUTED_VALUE"""),13.0)</f>
        <v>13</v>
      </c>
      <c r="B14" t="str">
        <f>IFERROR(__xludf.DUMMYFUNCTION("""COMPUTED_VALUE"""),"Coco")</f>
        <v>Coco</v>
      </c>
      <c r="C14" t="str">
        <f>IFERROR(__xludf.DUMMYFUNCTION("""COMPUTED_VALUE"""),"BV")</f>
        <v>BV</v>
      </c>
      <c r="D14" t="str">
        <f>IFERROR(__xludf.DUMMYFUNCTION("""COMPUTED_VALUE"""),"$209,726,015")</f>
        <v>$209,726,015</v>
      </c>
      <c r="E14" s="1">
        <f>IFERROR(__xludf.DUMMYFUNCTION("""COMPUTED_VALUE"""),3987.0)</f>
        <v>3987</v>
      </c>
      <c r="F14" t="str">
        <f>IFERROR(__xludf.DUMMYFUNCTION("""COMPUTED_VALUE"""),"$50,802,605")</f>
        <v>$50,802,605</v>
      </c>
      <c r="G14" s="1">
        <f>IFERROR(__xludf.DUMMYFUNCTION("""COMPUTED_VALUE"""),3987.0)</f>
        <v>3987</v>
      </c>
      <c r="H14" s="2">
        <f>IFERROR(__xludf.DUMMYFUNCTION("""COMPUTED_VALUE"""),43426.0)</f>
        <v>43426</v>
      </c>
      <c r="I14" s="2">
        <f>IFERROR(__xludf.DUMMYFUNCTION("""COMPUTED_VALUE"""),43216.0)</f>
        <v>43216</v>
      </c>
      <c r="J14" t="str">
        <f>IFERROR(__xludf.DUMMYFUNCTION("""COMPUTED_VALUE"""),"/movies/?id=pixar1117.htm")</f>
        <v>/movies/?id=pixar1117.htm</v>
      </c>
    </row>
    <row r="15">
      <c r="A15">
        <f>IFERROR(__xludf.DUMMYFUNCTION("""COMPUTED_VALUE"""),14.0)</f>
        <v>14</v>
      </c>
      <c r="B15" t="str">
        <f>IFERROR(__xludf.DUMMYFUNCTION("""COMPUTED_VALUE"""),"Dunkirk")</f>
        <v>Dunkirk</v>
      </c>
      <c r="C15" t="str">
        <f>IFERROR(__xludf.DUMMYFUNCTION("""COMPUTED_VALUE"""),"WB")</f>
        <v>WB</v>
      </c>
      <c r="D15" t="str">
        <f>IFERROR(__xludf.DUMMYFUNCTION("""COMPUTED_VALUE"""),"$188,045,546")</f>
        <v>$188,045,546</v>
      </c>
      <c r="E15" s="1">
        <f>IFERROR(__xludf.DUMMYFUNCTION("""COMPUTED_VALUE"""),4014.0)</f>
        <v>4014</v>
      </c>
      <c r="F15" t="str">
        <f>IFERROR(__xludf.DUMMYFUNCTION("""COMPUTED_VALUE"""),"$50,513,488")</f>
        <v>$50,513,488</v>
      </c>
      <c r="G15" s="1">
        <f>IFERROR(__xludf.DUMMYFUNCTION("""COMPUTED_VALUE"""),3720.0)</f>
        <v>3720</v>
      </c>
      <c r="H15" s="2">
        <f>IFERROR(__xludf.DUMMYFUNCTION("""COMPUTED_VALUE"""),43302.0)</f>
        <v>43302</v>
      </c>
      <c r="I15" s="2">
        <f>IFERROR(__xludf.DUMMYFUNCTION("""COMPUTED_VALUE"""),43427.0)</f>
        <v>43427</v>
      </c>
      <c r="J15" t="str">
        <f>IFERROR(__xludf.DUMMYFUNCTION("""COMPUTED_VALUE"""),"/movies/?id=chrisnolan2017.htm")</f>
        <v>/movies/?id=chrisnolan2017.htm</v>
      </c>
    </row>
    <row r="16">
      <c r="A16">
        <f>IFERROR(__xludf.DUMMYFUNCTION("""COMPUTED_VALUE"""),15.0)</f>
        <v>15</v>
      </c>
      <c r="B16" t="str">
        <f>IFERROR(__xludf.DUMMYFUNCTION("""COMPUTED_VALUE"""),"Get Out")</f>
        <v>Get Out</v>
      </c>
      <c r="C16" t="str">
        <f>IFERROR(__xludf.DUMMYFUNCTION("""COMPUTED_VALUE"""),"Uni.")</f>
        <v>Uni.</v>
      </c>
      <c r="D16" t="str">
        <f>IFERROR(__xludf.DUMMYFUNCTION("""COMPUTED_VALUE"""),"$176,040,665")</f>
        <v>$176,040,665</v>
      </c>
      <c r="E16" s="1">
        <f>IFERROR(__xludf.DUMMYFUNCTION("""COMPUTED_VALUE"""),3143.0)</f>
        <v>3143</v>
      </c>
      <c r="F16" t="str">
        <f>IFERROR(__xludf.DUMMYFUNCTION("""COMPUTED_VALUE"""),"$33,377,060")</f>
        <v>$33,377,060</v>
      </c>
      <c r="G16" s="1">
        <f>IFERROR(__xludf.DUMMYFUNCTION("""COMPUTED_VALUE"""),2781.0)</f>
        <v>2781</v>
      </c>
      <c r="H16" s="2">
        <f>IFERROR(__xludf.DUMMYFUNCTION("""COMPUTED_VALUE"""),43155.0)</f>
        <v>43155</v>
      </c>
      <c r="I16" s="2">
        <f>IFERROR(__xludf.DUMMYFUNCTION("""COMPUTED_VALUE"""),43146.0)</f>
        <v>43146</v>
      </c>
      <c r="J16" t="str">
        <f>IFERROR(__xludf.DUMMYFUNCTION("""COMPUTED_VALUE"""),"/movies/?id=blumhouse2.htm")</f>
        <v>/movies/?id=blumhouse2.htm</v>
      </c>
    </row>
    <row r="17">
      <c r="A17">
        <f>IFERROR(__xludf.DUMMYFUNCTION("""COMPUTED_VALUE"""),16.0)</f>
        <v>16</v>
      </c>
      <c r="B17" t="str">
        <f>IFERROR(__xludf.DUMMYFUNCTION("""COMPUTED_VALUE"""),"The LEGO Batman Movie")</f>
        <v>The LEGO Batman Movie</v>
      </c>
      <c r="C17" t="str">
        <f>IFERROR(__xludf.DUMMYFUNCTION("""COMPUTED_VALUE"""),"WB")</f>
        <v>WB</v>
      </c>
      <c r="D17" t="str">
        <f>IFERROR(__xludf.DUMMYFUNCTION("""COMPUTED_VALUE"""),"$175,750,384")</f>
        <v>$175,750,384</v>
      </c>
      <c r="E17" s="1">
        <f>IFERROR(__xludf.DUMMYFUNCTION("""COMPUTED_VALUE"""),4088.0)</f>
        <v>4088</v>
      </c>
      <c r="F17" t="str">
        <f>IFERROR(__xludf.DUMMYFUNCTION("""COMPUTED_VALUE"""),"$53,003,468")</f>
        <v>$53,003,468</v>
      </c>
      <c r="G17" s="1">
        <f>IFERROR(__xludf.DUMMYFUNCTION("""COMPUTED_VALUE"""),4088.0)</f>
        <v>4088</v>
      </c>
      <c r="H17" s="2">
        <f>IFERROR(__xludf.DUMMYFUNCTION("""COMPUTED_VALUE"""),43141.0)</f>
        <v>43141</v>
      </c>
      <c r="I17" s="2">
        <f>IFERROR(__xludf.DUMMYFUNCTION("""COMPUTED_VALUE"""),43259.0)</f>
        <v>43259</v>
      </c>
      <c r="J17" t="str">
        <f>IFERROR(__xludf.DUMMYFUNCTION("""COMPUTED_VALUE"""),"/movies/?id=lego2.htm")</f>
        <v>/movies/?id=lego2.htm</v>
      </c>
    </row>
    <row r="18">
      <c r="A18">
        <f>IFERROR(__xludf.DUMMYFUNCTION("""COMPUTED_VALUE"""),17.0)</f>
        <v>17</v>
      </c>
      <c r="B18" t="str">
        <f>IFERROR(__xludf.DUMMYFUNCTION("""COMPUTED_VALUE"""),"The Boss Baby")</f>
        <v>The Boss Baby</v>
      </c>
      <c r="C18" t="str">
        <f>IFERROR(__xludf.DUMMYFUNCTION("""COMPUTED_VALUE"""),"Fox")</f>
        <v>Fox</v>
      </c>
      <c r="D18" t="str">
        <f>IFERROR(__xludf.DUMMYFUNCTION("""COMPUTED_VALUE"""),"$175,003,033")</f>
        <v>$175,003,033</v>
      </c>
      <c r="E18" s="1">
        <f>IFERROR(__xludf.DUMMYFUNCTION("""COMPUTED_VALUE"""),3829.0)</f>
        <v>3829</v>
      </c>
      <c r="F18" t="str">
        <f>IFERROR(__xludf.DUMMYFUNCTION("""COMPUTED_VALUE"""),"$50,198,902")</f>
        <v>$50,198,902</v>
      </c>
      <c r="G18" s="1">
        <f>IFERROR(__xludf.DUMMYFUNCTION("""COMPUTED_VALUE"""),3773.0)</f>
        <v>3773</v>
      </c>
      <c r="H18" s="2">
        <f>IFERROR(__xludf.DUMMYFUNCTION("""COMPUTED_VALUE"""),43190.0)</f>
        <v>43190</v>
      </c>
      <c r="I18" s="2">
        <f>IFERROR(__xludf.DUMMYFUNCTION("""COMPUTED_VALUE"""),43406.0)</f>
        <v>43406</v>
      </c>
      <c r="J18" t="str">
        <f>IFERROR(__xludf.DUMMYFUNCTION("""COMPUTED_VALUE"""),"/movies/?id=bossbaby.htm")</f>
        <v>/movies/?id=bossbaby.htm</v>
      </c>
    </row>
    <row r="19">
      <c r="A19">
        <f>IFERROR(__xludf.DUMMYFUNCTION("""COMPUTED_VALUE"""),18.0)</f>
        <v>18</v>
      </c>
      <c r="B19" t="str">
        <f>IFERROR(__xludf.DUMMYFUNCTION("""COMPUTED_VALUE"""),"The Greatest Showman")</f>
        <v>The Greatest Showman</v>
      </c>
      <c r="C19" t="str">
        <f>IFERROR(__xludf.DUMMYFUNCTION("""COMPUTED_VALUE"""),"Fox")</f>
        <v>Fox</v>
      </c>
      <c r="D19" t="str">
        <f>IFERROR(__xludf.DUMMYFUNCTION("""COMPUTED_VALUE"""),"$174,340,174")</f>
        <v>$174,340,174</v>
      </c>
      <c r="E19" s="1">
        <f>IFERROR(__xludf.DUMMYFUNCTION("""COMPUTED_VALUE"""),3342.0)</f>
        <v>3342</v>
      </c>
      <c r="F19" t="str">
        <f>IFERROR(__xludf.DUMMYFUNCTION("""COMPUTED_VALUE"""),"$8,805,843")</f>
        <v>$8,805,843</v>
      </c>
      <c r="G19" s="1">
        <f>IFERROR(__xludf.DUMMYFUNCTION("""COMPUTED_VALUE"""),3006.0)</f>
        <v>3006</v>
      </c>
      <c r="H19" s="2">
        <f>IFERROR(__xludf.DUMMYFUNCTION("""COMPUTED_VALUE"""),43454.0)</f>
        <v>43454</v>
      </c>
      <c r="I19" s="2">
        <f>IFERROR(__xludf.DUMMYFUNCTION("""COMPUTED_VALUE"""),43307.0)</f>
        <v>43307</v>
      </c>
      <c r="J19" t="str">
        <f>IFERROR(__xludf.DUMMYFUNCTION("""COMPUTED_VALUE"""),"/movies/?id=greatestshowman.htm")</f>
        <v>/movies/?id=greatestshowman.htm</v>
      </c>
    </row>
    <row r="20">
      <c r="A20">
        <f>IFERROR(__xludf.DUMMYFUNCTION("""COMPUTED_VALUE"""),19.0)</f>
        <v>19</v>
      </c>
      <c r="B20" t="str">
        <f>IFERROR(__xludf.DUMMYFUNCTION("""COMPUTED_VALUE"""),"Pirates of the Caribbean: Dead Men Tell No Tales")</f>
        <v>Pirates of the Caribbean: Dead Men Tell No Tales</v>
      </c>
      <c r="C20" t="str">
        <f>IFERROR(__xludf.DUMMYFUNCTION("""COMPUTED_VALUE"""),"BV")</f>
        <v>BV</v>
      </c>
      <c r="D20" t="str">
        <f>IFERROR(__xludf.DUMMYFUNCTION("""COMPUTED_VALUE"""),"$172,558,876")</f>
        <v>$172,558,876</v>
      </c>
      <c r="E20" s="1">
        <f>IFERROR(__xludf.DUMMYFUNCTION("""COMPUTED_VALUE"""),4276.0)</f>
        <v>4276</v>
      </c>
      <c r="F20" t="str">
        <f>IFERROR(__xludf.DUMMYFUNCTION("""COMPUTED_VALUE"""),"$62,983,253")</f>
        <v>$62,983,253</v>
      </c>
      <c r="G20" s="1">
        <f>IFERROR(__xludf.DUMMYFUNCTION("""COMPUTED_VALUE"""),4276.0)</f>
        <v>4276</v>
      </c>
      <c r="H20" s="2">
        <f>IFERROR(__xludf.DUMMYFUNCTION("""COMPUTED_VALUE"""),43246.0)</f>
        <v>43246</v>
      </c>
      <c r="I20" s="2">
        <f>IFERROR(__xludf.DUMMYFUNCTION("""COMPUTED_VALUE"""),43364.0)</f>
        <v>43364</v>
      </c>
      <c r="J20" t="str">
        <f>IFERROR(__xludf.DUMMYFUNCTION("""COMPUTED_VALUE"""),"/movies/?id=potc5.htm")</f>
        <v>/movies/?id=potc5.htm</v>
      </c>
    </row>
    <row r="21">
      <c r="A21">
        <f>IFERROR(__xludf.DUMMYFUNCTION("""COMPUTED_VALUE"""),20.0)</f>
        <v>20</v>
      </c>
      <c r="B21" t="str">
        <f>IFERROR(__xludf.DUMMYFUNCTION("""COMPUTED_VALUE"""),"Kong: Skull Island")</f>
        <v>Kong: Skull Island</v>
      </c>
      <c r="C21" t="str">
        <f>IFERROR(__xludf.DUMMYFUNCTION("""COMPUTED_VALUE"""),"WB")</f>
        <v>WB</v>
      </c>
      <c r="D21" t="str">
        <f>IFERROR(__xludf.DUMMYFUNCTION("""COMPUTED_VALUE"""),"$168,052,812")</f>
        <v>$168,052,812</v>
      </c>
      <c r="E21" s="1">
        <f>IFERROR(__xludf.DUMMYFUNCTION("""COMPUTED_VALUE"""),3846.0)</f>
        <v>3846</v>
      </c>
      <c r="F21" t="str">
        <f>IFERROR(__xludf.DUMMYFUNCTION("""COMPUTED_VALUE"""),"$61,025,472")</f>
        <v>$61,025,472</v>
      </c>
      <c r="G21" s="1">
        <f>IFERROR(__xludf.DUMMYFUNCTION("""COMPUTED_VALUE"""),3846.0)</f>
        <v>3846</v>
      </c>
      <c r="H21" s="2">
        <f>IFERROR(__xludf.DUMMYFUNCTION("""COMPUTED_VALUE"""),43169.0)</f>
        <v>43169</v>
      </c>
      <c r="I21" s="2">
        <f>IFERROR(__xludf.DUMMYFUNCTION("""COMPUTED_VALUE"""),43266.0)</f>
        <v>43266</v>
      </c>
      <c r="J21" t="str">
        <f>IFERROR(__xludf.DUMMYFUNCTION("""COMPUTED_VALUE"""),"/movies/?id=legendary2016.htm")</f>
        <v>/movies/?id=legendary2016.htm</v>
      </c>
    </row>
    <row r="22">
      <c r="A22">
        <f>IFERROR(__xludf.DUMMYFUNCTION("""COMPUTED_VALUE"""),21.0)</f>
        <v>21</v>
      </c>
      <c r="B22" t="str">
        <f>IFERROR(__xludf.DUMMYFUNCTION("""COMPUTED_VALUE"""),"Cars 3")</f>
        <v>Cars 3</v>
      </c>
      <c r="C22" t="str">
        <f>IFERROR(__xludf.DUMMYFUNCTION("""COMPUTED_VALUE"""),"BV")</f>
        <v>BV</v>
      </c>
      <c r="D22" t="str">
        <f>IFERROR(__xludf.DUMMYFUNCTION("""COMPUTED_VALUE"""),"$152,901,115")</f>
        <v>$152,901,115</v>
      </c>
      <c r="E22" s="1">
        <f>IFERROR(__xludf.DUMMYFUNCTION("""COMPUTED_VALUE"""),4256.0)</f>
        <v>4256</v>
      </c>
      <c r="F22" t="str">
        <f>IFERROR(__xludf.DUMMYFUNCTION("""COMPUTED_VALUE"""),"$53,688,680")</f>
        <v>$53,688,680</v>
      </c>
      <c r="G22" s="1">
        <f>IFERROR(__xludf.DUMMYFUNCTION("""COMPUTED_VALUE"""),4256.0)</f>
        <v>4256</v>
      </c>
      <c r="H22" s="2">
        <f>IFERROR(__xludf.DUMMYFUNCTION("""COMPUTED_VALUE"""),43267.0)</f>
        <v>43267</v>
      </c>
      <c r="I22" s="2">
        <f>IFERROR(__xludf.DUMMYFUNCTION("""COMPUTED_VALUE"""),43406.0)</f>
        <v>43406</v>
      </c>
      <c r="J22" t="str">
        <f>IFERROR(__xludf.DUMMYFUNCTION("""COMPUTED_VALUE"""),"/movies/?id=cars3.htm")</f>
        <v>/movies/?id=cars3.htm</v>
      </c>
    </row>
    <row r="23">
      <c r="A23">
        <f>IFERROR(__xludf.DUMMYFUNCTION("""COMPUTED_VALUE"""),22.0)</f>
        <v>22</v>
      </c>
      <c r="B23" t="str">
        <f>IFERROR(__xludf.DUMMYFUNCTION("""COMPUTED_VALUE"""),"War for the Planet of the Apes")</f>
        <v>War for the Planet of the Apes</v>
      </c>
      <c r="C23" t="str">
        <f>IFERROR(__xludf.DUMMYFUNCTION("""COMPUTED_VALUE"""),"Fox")</f>
        <v>Fox</v>
      </c>
      <c r="D23" t="str">
        <f>IFERROR(__xludf.DUMMYFUNCTION("""COMPUTED_VALUE"""),"$146,880,162")</f>
        <v>$146,880,162</v>
      </c>
      <c r="E23" s="1">
        <f>IFERROR(__xludf.DUMMYFUNCTION("""COMPUTED_VALUE"""),4100.0)</f>
        <v>4100</v>
      </c>
      <c r="F23" t="str">
        <f>IFERROR(__xludf.DUMMYFUNCTION("""COMPUTED_VALUE"""),"$56,262,929")</f>
        <v>$56,262,929</v>
      </c>
      <c r="G23" s="1">
        <f>IFERROR(__xludf.DUMMYFUNCTION("""COMPUTED_VALUE"""),4022.0)</f>
        <v>4022</v>
      </c>
      <c r="H23" s="2">
        <f>IFERROR(__xludf.DUMMYFUNCTION("""COMPUTED_VALUE"""),43295.0)</f>
        <v>43295</v>
      </c>
      <c r="I23" s="2">
        <f>IFERROR(__xludf.DUMMYFUNCTION("""COMPUTED_VALUE"""),43434.0)</f>
        <v>43434</v>
      </c>
      <c r="J23" t="str">
        <f>IFERROR(__xludf.DUMMYFUNCTION("""COMPUTED_VALUE"""),"/movies/?id=planetoftheapes16.htm")</f>
        <v>/movies/?id=planetoftheapes16.htm</v>
      </c>
    </row>
    <row r="24">
      <c r="A24">
        <f>IFERROR(__xludf.DUMMYFUNCTION("""COMPUTED_VALUE"""),23.0)</f>
        <v>23</v>
      </c>
      <c r="B24" t="str">
        <f>IFERROR(__xludf.DUMMYFUNCTION("""COMPUTED_VALUE"""),"Split")</f>
        <v>Split</v>
      </c>
      <c r="C24" t="str">
        <f>IFERROR(__xludf.DUMMYFUNCTION("""COMPUTED_VALUE"""),"Uni.")</f>
        <v>Uni.</v>
      </c>
      <c r="D24" t="str">
        <f>IFERROR(__xludf.DUMMYFUNCTION("""COMPUTED_VALUE"""),"$138,291,365")</f>
        <v>$138,291,365</v>
      </c>
      <c r="E24" s="1">
        <f>IFERROR(__xludf.DUMMYFUNCTION("""COMPUTED_VALUE"""),3373.0)</f>
        <v>3373</v>
      </c>
      <c r="F24" t="str">
        <f>IFERROR(__xludf.DUMMYFUNCTION("""COMPUTED_VALUE"""),"$40,010,975")</f>
        <v>$40,010,975</v>
      </c>
      <c r="G24" s="1">
        <f>IFERROR(__xludf.DUMMYFUNCTION("""COMPUTED_VALUE"""),3038.0)</f>
        <v>3038</v>
      </c>
      <c r="H24" s="2">
        <f>IFERROR(__xludf.DUMMYFUNCTION("""COMPUTED_VALUE"""),43120.0)</f>
        <v>43120</v>
      </c>
      <c r="I24" s="2">
        <f>IFERROR(__xludf.DUMMYFUNCTION("""COMPUTED_VALUE"""),43231.0)</f>
        <v>43231</v>
      </c>
      <c r="J24" t="str">
        <f>IFERROR(__xludf.DUMMYFUNCTION("""COMPUTED_VALUE"""),"/movies/?id=split2017.htm")</f>
        <v>/movies/?id=split2017.htm</v>
      </c>
    </row>
    <row r="25">
      <c r="A25">
        <f>IFERROR(__xludf.DUMMYFUNCTION("""COMPUTED_VALUE"""),24.0)</f>
        <v>24</v>
      </c>
      <c r="B25" t="str">
        <f>IFERROR(__xludf.DUMMYFUNCTION("""COMPUTED_VALUE"""),"Wonder")</f>
        <v>Wonder</v>
      </c>
      <c r="C25" t="str">
        <f>IFERROR(__xludf.DUMMYFUNCTION("""COMPUTED_VALUE"""),"LGF")</f>
        <v>LGF</v>
      </c>
      <c r="D25" t="str">
        <f>IFERROR(__xludf.DUMMYFUNCTION("""COMPUTED_VALUE"""),"$132,422,809")</f>
        <v>$132,422,809</v>
      </c>
      <c r="E25" s="1">
        <f>IFERROR(__xludf.DUMMYFUNCTION("""COMPUTED_VALUE"""),3519.0)</f>
        <v>3519</v>
      </c>
      <c r="F25" t="str">
        <f>IFERROR(__xludf.DUMMYFUNCTION("""COMPUTED_VALUE"""),"$27,547,866")</f>
        <v>$27,547,866</v>
      </c>
      <c r="G25" s="1">
        <f>IFERROR(__xludf.DUMMYFUNCTION("""COMPUTED_VALUE"""),3096.0)</f>
        <v>3096</v>
      </c>
      <c r="H25" s="2">
        <f>IFERROR(__xludf.DUMMYFUNCTION("""COMPUTED_VALUE"""),43421.0)</f>
        <v>43421</v>
      </c>
      <c r="I25" s="2">
        <f>IFERROR(__xludf.DUMMYFUNCTION("""COMPUTED_VALUE"""),43181.0)</f>
        <v>43181</v>
      </c>
      <c r="J25" t="str">
        <f>IFERROR(__xludf.DUMMYFUNCTION("""COMPUTED_VALUE"""),"/movies/?id=wonder.htm")</f>
        <v>/movies/?id=wonder.htm</v>
      </c>
    </row>
    <row r="26">
      <c r="A26">
        <f>IFERROR(__xludf.DUMMYFUNCTION("""COMPUTED_VALUE"""),25.0)</f>
        <v>25</v>
      </c>
      <c r="B26" t="str">
        <f>IFERROR(__xludf.DUMMYFUNCTION("""COMPUTED_VALUE"""),"Transformers: The Last Knight")</f>
        <v>Transformers: The Last Knight</v>
      </c>
      <c r="C26" t="str">
        <f>IFERROR(__xludf.DUMMYFUNCTION("""COMPUTED_VALUE"""),"Par.")</f>
        <v>Par.</v>
      </c>
      <c r="D26" t="str">
        <f>IFERROR(__xludf.DUMMYFUNCTION("""COMPUTED_VALUE"""),"$130,168,683")</f>
        <v>$130,168,683</v>
      </c>
      <c r="E26" s="1">
        <f>IFERROR(__xludf.DUMMYFUNCTION("""COMPUTED_VALUE"""),4132.0)</f>
        <v>4132</v>
      </c>
      <c r="F26" t="str">
        <f>IFERROR(__xludf.DUMMYFUNCTION("""COMPUTED_VALUE"""),"$44,680,073")</f>
        <v>$44,680,073</v>
      </c>
      <c r="G26" s="1">
        <f>IFERROR(__xludf.DUMMYFUNCTION("""COMPUTED_VALUE"""),4069.0)</f>
        <v>4069</v>
      </c>
      <c r="H26" s="2">
        <f>IFERROR(__xludf.DUMMYFUNCTION("""COMPUTED_VALUE"""),43272.0)</f>
        <v>43272</v>
      </c>
      <c r="I26" s="2">
        <f>IFERROR(__xludf.DUMMYFUNCTION("""COMPUTED_VALUE"""),43336.0)</f>
        <v>43336</v>
      </c>
      <c r="J26" t="str">
        <f>IFERROR(__xludf.DUMMYFUNCTION("""COMPUTED_VALUE"""),"/movies/?id=transformers5.htm")</f>
        <v>/movies/?id=transformers5.htm</v>
      </c>
    </row>
    <row r="27">
      <c r="A27">
        <f>IFERROR(__xludf.DUMMYFUNCTION("""COMPUTED_VALUE"""),26.0)</f>
        <v>26</v>
      </c>
      <c r="B27" t="str">
        <f>IFERROR(__xludf.DUMMYFUNCTION("""COMPUTED_VALUE"""),"Girls Trip")</f>
        <v>Girls Trip</v>
      </c>
      <c r="C27" t="str">
        <f>IFERROR(__xludf.DUMMYFUNCTION("""COMPUTED_VALUE"""),"Uni.")</f>
        <v>Uni.</v>
      </c>
      <c r="D27" t="str">
        <f>IFERROR(__xludf.DUMMYFUNCTION("""COMPUTED_VALUE"""),"$115,171,585")</f>
        <v>$115,171,585</v>
      </c>
      <c r="E27" s="1">
        <f>IFERROR(__xludf.DUMMYFUNCTION("""COMPUTED_VALUE"""),2648.0)</f>
        <v>2648</v>
      </c>
      <c r="F27" t="str">
        <f>IFERROR(__xludf.DUMMYFUNCTION("""COMPUTED_VALUE"""),"$31,201,920")</f>
        <v>$31,201,920</v>
      </c>
      <c r="G27" s="1">
        <f>IFERROR(__xludf.DUMMYFUNCTION("""COMPUTED_VALUE"""),2591.0)</f>
        <v>2591</v>
      </c>
      <c r="H27" s="2">
        <f>IFERROR(__xludf.DUMMYFUNCTION("""COMPUTED_VALUE"""),43302.0)</f>
        <v>43302</v>
      </c>
      <c r="I27" s="2">
        <f>IFERROR(__xludf.DUMMYFUNCTION("""COMPUTED_VALUE"""),43392.0)</f>
        <v>43392</v>
      </c>
      <c r="J27" t="str">
        <f>IFERROR(__xludf.DUMMYFUNCTION("""COMPUTED_VALUE"""),"/movies/?id=girltrip.htm")</f>
        <v>/movies/?id=girltrip.htm</v>
      </c>
    </row>
    <row r="28">
      <c r="A28">
        <f>IFERROR(__xludf.DUMMYFUNCTION("""COMPUTED_VALUE"""),27.0)</f>
        <v>27</v>
      </c>
      <c r="B28" t="str">
        <f>IFERROR(__xludf.DUMMYFUNCTION("""COMPUTED_VALUE"""),"Fifty Shades Darker")</f>
        <v>Fifty Shades Darker</v>
      </c>
      <c r="C28" t="str">
        <f>IFERROR(__xludf.DUMMYFUNCTION("""COMPUTED_VALUE"""),"Uni.")</f>
        <v>Uni.</v>
      </c>
      <c r="D28" t="str">
        <f>IFERROR(__xludf.DUMMYFUNCTION("""COMPUTED_VALUE"""),"$114,581,250")</f>
        <v>$114,581,250</v>
      </c>
      <c r="E28" s="1">
        <f>IFERROR(__xludf.DUMMYFUNCTION("""COMPUTED_VALUE"""),3714.0)</f>
        <v>3714</v>
      </c>
      <c r="F28" t="str">
        <f>IFERROR(__xludf.DUMMYFUNCTION("""COMPUTED_VALUE"""),"$46,607,250")</f>
        <v>$46,607,250</v>
      </c>
      <c r="G28" s="1">
        <f>IFERROR(__xludf.DUMMYFUNCTION("""COMPUTED_VALUE"""),3710.0)</f>
        <v>3710</v>
      </c>
      <c r="H28" s="2">
        <f>IFERROR(__xludf.DUMMYFUNCTION("""COMPUTED_VALUE"""),43141.0)</f>
        <v>43141</v>
      </c>
      <c r="I28" s="2">
        <f>IFERROR(__xludf.DUMMYFUNCTION("""COMPUTED_VALUE"""),43196.0)</f>
        <v>43196</v>
      </c>
      <c r="J28" t="str">
        <f>IFERROR(__xludf.DUMMYFUNCTION("""COMPUTED_VALUE"""),"/movies/?id=fiftyshadesdarker.htm")</f>
        <v>/movies/?id=fiftyshadesdarker.htm</v>
      </c>
    </row>
    <row r="29">
      <c r="A29">
        <f>IFERROR(__xludf.DUMMYFUNCTION("""COMPUTED_VALUE"""),28.0)</f>
        <v>28</v>
      </c>
      <c r="B29" t="str">
        <f>IFERROR(__xludf.DUMMYFUNCTION("""COMPUTED_VALUE"""),"Baby Driver")</f>
        <v>Baby Driver</v>
      </c>
      <c r="C29" t="str">
        <f>IFERROR(__xludf.DUMMYFUNCTION("""COMPUTED_VALUE"""),"TriS")</f>
        <v>TriS</v>
      </c>
      <c r="D29" t="str">
        <f>IFERROR(__xludf.DUMMYFUNCTION("""COMPUTED_VALUE"""),"$107,825,862")</f>
        <v>$107,825,862</v>
      </c>
      <c r="E29" s="1">
        <f>IFERROR(__xludf.DUMMYFUNCTION("""COMPUTED_VALUE"""),3226.0)</f>
        <v>3226</v>
      </c>
      <c r="F29" t="str">
        <f>IFERROR(__xludf.DUMMYFUNCTION("""COMPUTED_VALUE"""),"$20,553,320")</f>
        <v>$20,553,320</v>
      </c>
      <c r="G29" s="1">
        <f>IFERROR(__xludf.DUMMYFUNCTION("""COMPUTED_VALUE"""),3226.0)</f>
        <v>3226</v>
      </c>
      <c r="H29" s="2">
        <f>IFERROR(__xludf.DUMMYFUNCTION("""COMPUTED_VALUE"""),43279.0)</f>
        <v>43279</v>
      </c>
      <c r="I29" s="2">
        <f>IFERROR(__xludf.DUMMYFUNCTION("""COMPUTED_VALUE"""),43392.0)</f>
        <v>43392</v>
      </c>
      <c r="J29" t="str">
        <f>IFERROR(__xludf.DUMMYFUNCTION("""COMPUTED_VALUE"""),"/movies/?id=babydriver.htm")</f>
        <v>/movies/?id=babydriver.htm</v>
      </c>
    </row>
    <row r="30">
      <c r="A30">
        <f>IFERROR(__xludf.DUMMYFUNCTION("""COMPUTED_VALUE"""),29.0)</f>
        <v>29</v>
      </c>
      <c r="B30" t="str">
        <f>IFERROR(__xludf.DUMMYFUNCTION("""COMPUTED_VALUE"""),"Pitch Perfect 3")</f>
        <v>Pitch Perfect 3</v>
      </c>
      <c r="C30" t="str">
        <f>IFERROR(__xludf.DUMMYFUNCTION("""COMPUTED_VALUE"""),"Uni.")</f>
        <v>Uni.</v>
      </c>
      <c r="D30" t="str">
        <f>IFERROR(__xludf.DUMMYFUNCTION("""COMPUTED_VALUE"""),"$104,897,530")</f>
        <v>$104,897,530</v>
      </c>
      <c r="E30" s="1">
        <f>IFERROR(__xludf.DUMMYFUNCTION("""COMPUTED_VALUE"""),3468.0)</f>
        <v>3468</v>
      </c>
      <c r="F30" t="str">
        <f>IFERROR(__xludf.DUMMYFUNCTION("""COMPUTED_VALUE"""),"$19,928,525")</f>
        <v>$19,928,525</v>
      </c>
      <c r="G30" s="1">
        <f>IFERROR(__xludf.DUMMYFUNCTION("""COMPUTED_VALUE"""),3447.0)</f>
        <v>3447</v>
      </c>
      <c r="H30" s="2">
        <f>IFERROR(__xludf.DUMMYFUNCTION("""COMPUTED_VALUE"""),43456.0)</f>
        <v>43456</v>
      </c>
      <c r="I30" s="2">
        <f>IFERROR(__xludf.DUMMYFUNCTION("""COMPUTED_VALUE"""),43167.0)</f>
        <v>43167</v>
      </c>
      <c r="J30" t="str">
        <f>IFERROR(__xludf.DUMMYFUNCTION("""COMPUTED_VALUE"""),"/movies/?id=pitchperfect3.htm")</f>
        <v>/movies/?id=pitchperfect3.htm</v>
      </c>
    </row>
    <row r="31">
      <c r="A31">
        <f>IFERROR(__xludf.DUMMYFUNCTION("""COMPUTED_VALUE"""),30.0)</f>
        <v>30</v>
      </c>
      <c r="B31" t="str">
        <f>IFERROR(__xludf.DUMMYFUNCTION("""COMPUTED_VALUE"""),"Daddy's Home 2")</f>
        <v>Daddy's Home 2</v>
      </c>
      <c r="C31" t="str">
        <f>IFERROR(__xludf.DUMMYFUNCTION("""COMPUTED_VALUE"""),"Par.")</f>
        <v>Par.</v>
      </c>
      <c r="D31" t="str">
        <f>IFERROR(__xludf.DUMMYFUNCTION("""COMPUTED_VALUE"""),"$104,029,443")</f>
        <v>$104,029,443</v>
      </c>
      <c r="E31" s="1">
        <f>IFERROR(__xludf.DUMMYFUNCTION("""COMPUTED_VALUE"""),3575.0)</f>
        <v>3575</v>
      </c>
      <c r="F31" t="str">
        <f>IFERROR(__xludf.DUMMYFUNCTION("""COMPUTED_VALUE"""),"$29,651,193")</f>
        <v>$29,651,193</v>
      </c>
      <c r="G31" s="1">
        <f>IFERROR(__xludf.DUMMYFUNCTION("""COMPUTED_VALUE"""),3575.0)</f>
        <v>3575</v>
      </c>
      <c r="H31" s="2">
        <f>IFERROR(__xludf.DUMMYFUNCTION("""COMPUTED_VALUE"""),43414.0)</f>
        <v>43414</v>
      </c>
      <c r="I31" s="2">
        <f>IFERROR(__xludf.DUMMYFUNCTION("""COMPUTED_VALUE"""),43146.0)</f>
        <v>43146</v>
      </c>
      <c r="J31" t="str">
        <f>IFERROR(__xludf.DUMMYFUNCTION("""COMPUTED_VALUE"""),"/movies/?id=daddyshome2.htm")</f>
        <v>/movies/?id=daddyshome2.htm</v>
      </c>
    </row>
    <row r="32">
      <c r="A32">
        <f>IFERROR(__xludf.DUMMYFUNCTION("""COMPUTED_VALUE"""),31.0)</f>
        <v>31</v>
      </c>
      <c r="B32" t="str">
        <f>IFERROR(__xludf.DUMMYFUNCTION("""COMPUTED_VALUE"""),"Murder on the Orient Express (2017)")</f>
        <v>Murder on the Orient Express (2017)</v>
      </c>
      <c r="C32" t="str">
        <f>IFERROR(__xludf.DUMMYFUNCTION("""COMPUTED_VALUE"""),"Fox")</f>
        <v>Fox</v>
      </c>
      <c r="D32" t="str">
        <f>IFERROR(__xludf.DUMMYFUNCTION("""COMPUTED_VALUE"""),"$102,826,543")</f>
        <v>$102,826,543</v>
      </c>
      <c r="E32" s="1">
        <f>IFERROR(__xludf.DUMMYFUNCTION("""COMPUTED_VALUE"""),3354.0)</f>
        <v>3354</v>
      </c>
      <c r="F32" t="str">
        <f>IFERROR(__xludf.DUMMYFUNCTION("""COMPUTED_VALUE"""),"$28,681,472")</f>
        <v>$28,681,472</v>
      </c>
      <c r="G32" s="1">
        <f>IFERROR(__xludf.DUMMYFUNCTION("""COMPUTED_VALUE"""),3341.0)</f>
        <v>3341</v>
      </c>
      <c r="H32" s="2">
        <f>IFERROR(__xludf.DUMMYFUNCTION("""COMPUTED_VALUE"""),43414.0)</f>
        <v>43414</v>
      </c>
      <c r="I32" t="str">
        <f>IFERROR(__xludf.DUMMYFUNCTION("""COMPUTED_VALUE"""),"-")</f>
        <v>-</v>
      </c>
      <c r="J32" t="str">
        <f>IFERROR(__xludf.DUMMYFUNCTION("""COMPUTED_VALUE"""),"/movies/?id=murderorientexpress17.htm")</f>
        <v>/movies/?id=murderorientexpress17.htm</v>
      </c>
    </row>
    <row r="33">
      <c r="A33">
        <f>IFERROR(__xludf.DUMMYFUNCTION("""COMPUTED_VALUE"""),32.0)</f>
        <v>32</v>
      </c>
      <c r="B33" t="str">
        <f>IFERROR(__xludf.DUMMYFUNCTION("""COMPUTED_VALUE"""),"Annabelle: Creation")</f>
        <v>Annabelle: Creation</v>
      </c>
      <c r="C33" t="str">
        <f>IFERROR(__xludf.DUMMYFUNCTION("""COMPUTED_VALUE"""),"WB (NL)")</f>
        <v>WB (NL)</v>
      </c>
      <c r="D33" t="str">
        <f>IFERROR(__xludf.DUMMYFUNCTION("""COMPUTED_VALUE"""),"$102,092,201")</f>
        <v>$102,092,201</v>
      </c>
      <c r="E33" s="1">
        <f>IFERROR(__xludf.DUMMYFUNCTION("""COMPUTED_VALUE"""),3565.0)</f>
        <v>3565</v>
      </c>
      <c r="F33" t="str">
        <f>IFERROR(__xludf.DUMMYFUNCTION("""COMPUTED_VALUE"""),"$35,006,404")</f>
        <v>$35,006,404</v>
      </c>
      <c r="G33" s="1">
        <f>IFERROR(__xludf.DUMMYFUNCTION("""COMPUTED_VALUE"""),3502.0)</f>
        <v>3502</v>
      </c>
      <c r="H33" s="2">
        <f>IFERROR(__xludf.DUMMYFUNCTION("""COMPUTED_VALUE"""),43323.0)</f>
        <v>43323</v>
      </c>
      <c r="I33" s="2">
        <f>IFERROR(__xludf.DUMMYFUNCTION("""COMPUTED_VALUE"""),43406.0)</f>
        <v>43406</v>
      </c>
      <c r="J33" t="str">
        <f>IFERROR(__xludf.DUMMYFUNCTION("""COMPUTED_VALUE"""),"/movies/?id=annabelle2.htm")</f>
        <v>/movies/?id=annabelle2.htm</v>
      </c>
    </row>
    <row r="34">
      <c r="A34">
        <f>IFERROR(__xludf.DUMMYFUNCTION("""COMPUTED_VALUE"""),33.0)</f>
        <v>33</v>
      </c>
      <c r="B34" t="str">
        <f>IFERROR(__xludf.DUMMYFUNCTION("""COMPUTED_VALUE"""),"Kingsman: The Golden Circle")</f>
        <v>Kingsman: The Golden Circle</v>
      </c>
      <c r="C34" t="str">
        <f>IFERROR(__xludf.DUMMYFUNCTION("""COMPUTED_VALUE"""),"Fox")</f>
        <v>Fox</v>
      </c>
      <c r="D34" t="str">
        <f>IFERROR(__xludf.DUMMYFUNCTION("""COMPUTED_VALUE"""),"$100,234,838")</f>
        <v>$100,234,838</v>
      </c>
      <c r="E34" s="1">
        <f>IFERROR(__xludf.DUMMYFUNCTION("""COMPUTED_VALUE"""),4038.0)</f>
        <v>4038</v>
      </c>
      <c r="F34" t="str">
        <f>IFERROR(__xludf.DUMMYFUNCTION("""COMPUTED_VALUE"""),"$39,023,010")</f>
        <v>$39,023,010</v>
      </c>
      <c r="G34" s="1">
        <f>IFERROR(__xludf.DUMMYFUNCTION("""COMPUTED_VALUE"""),4003.0)</f>
        <v>4003</v>
      </c>
      <c r="H34" s="2">
        <f>IFERROR(__xludf.DUMMYFUNCTION("""COMPUTED_VALUE"""),43365.0)</f>
        <v>43365</v>
      </c>
      <c r="I34" s="2">
        <f>IFERROR(__xludf.DUMMYFUNCTION("""COMPUTED_VALUE"""),43104.0)</f>
        <v>43104</v>
      </c>
      <c r="J34" t="str">
        <f>IFERROR(__xludf.DUMMYFUNCTION("""COMPUTED_VALUE"""),"/movies/?id=kingsman2.htm")</f>
        <v>/movies/?id=kingsman2.htm</v>
      </c>
    </row>
    <row r="35">
      <c r="A35">
        <f>IFERROR(__xludf.DUMMYFUNCTION("""COMPUTED_VALUE"""),34.0)</f>
        <v>34</v>
      </c>
      <c r="B35" t="str">
        <f>IFERROR(__xludf.DUMMYFUNCTION("""COMPUTED_VALUE"""),"Blade Runner 2049")</f>
        <v>Blade Runner 2049</v>
      </c>
      <c r="C35" t="str">
        <f>IFERROR(__xludf.DUMMYFUNCTION("""COMPUTED_VALUE"""),"WB")</f>
        <v>WB</v>
      </c>
      <c r="D35" t="str">
        <f>IFERROR(__xludf.DUMMYFUNCTION("""COMPUTED_VALUE"""),"$92,054,159")</f>
        <v>$92,054,159</v>
      </c>
      <c r="E35" s="1">
        <f>IFERROR(__xludf.DUMMYFUNCTION("""COMPUTED_VALUE"""),4058.0)</f>
        <v>4058</v>
      </c>
      <c r="F35" t="str">
        <f>IFERROR(__xludf.DUMMYFUNCTION("""COMPUTED_VALUE"""),"$32,753,122")</f>
        <v>$32,753,122</v>
      </c>
      <c r="G35" s="1">
        <f>IFERROR(__xludf.DUMMYFUNCTION("""COMPUTED_VALUE"""),4058.0)</f>
        <v>4058</v>
      </c>
      <c r="H35" s="2">
        <f>IFERROR(__xludf.DUMMYFUNCTION("""COMPUTED_VALUE"""),43379.0)</f>
        <v>43379</v>
      </c>
      <c r="I35" s="2">
        <f>IFERROR(__xludf.DUMMYFUNCTION("""COMPUTED_VALUE"""),43132.0)</f>
        <v>43132</v>
      </c>
      <c r="J35" t="str">
        <f>IFERROR(__xludf.DUMMYFUNCTION("""COMPUTED_VALUE"""),"/movies/?id=bladerunnersequel.htm")</f>
        <v>/movies/?id=bladerunnersequel.htm</v>
      </c>
    </row>
    <row r="36">
      <c r="A36">
        <f>IFERROR(__xludf.DUMMYFUNCTION("""COMPUTED_VALUE"""),35.0)</f>
        <v>35</v>
      </c>
      <c r="B36" t="str">
        <f>IFERROR(__xludf.DUMMYFUNCTION("""COMPUTED_VALUE"""),"John Wick: Chapter Two")</f>
        <v>John Wick: Chapter Two</v>
      </c>
      <c r="C36" t="str">
        <f>IFERROR(__xludf.DUMMYFUNCTION("""COMPUTED_VALUE"""),"LG/S")</f>
        <v>LG/S</v>
      </c>
      <c r="D36" t="str">
        <f>IFERROR(__xludf.DUMMYFUNCTION("""COMPUTED_VALUE"""),"$92,029,184")</f>
        <v>$92,029,184</v>
      </c>
      <c r="E36" s="1">
        <f>IFERROR(__xludf.DUMMYFUNCTION("""COMPUTED_VALUE"""),3113.0)</f>
        <v>3113</v>
      </c>
      <c r="F36" t="str">
        <f>IFERROR(__xludf.DUMMYFUNCTION("""COMPUTED_VALUE"""),"$30,436,123")</f>
        <v>$30,436,123</v>
      </c>
      <c r="G36" s="1">
        <f>IFERROR(__xludf.DUMMYFUNCTION("""COMPUTED_VALUE"""),3113.0)</f>
        <v>3113</v>
      </c>
      <c r="H36" s="2">
        <f>IFERROR(__xludf.DUMMYFUNCTION("""COMPUTED_VALUE"""),43141.0)</f>
        <v>43141</v>
      </c>
      <c r="I36" s="2">
        <f>IFERROR(__xludf.DUMMYFUNCTION("""COMPUTED_VALUE"""),43217.0)</f>
        <v>43217</v>
      </c>
      <c r="J36" t="str">
        <f>IFERROR(__xludf.DUMMYFUNCTION("""COMPUTED_VALUE"""),"/movies/?id=johnwick2.htm")</f>
        <v>/movies/?id=johnwick2.htm</v>
      </c>
    </row>
    <row r="37">
      <c r="A37">
        <f>IFERROR(__xludf.DUMMYFUNCTION("""COMPUTED_VALUE"""),36.0)</f>
        <v>36</v>
      </c>
      <c r="B37" t="str">
        <f>IFERROR(__xludf.DUMMYFUNCTION("""COMPUTED_VALUE"""),"The Emoji Movie")</f>
        <v>The Emoji Movie</v>
      </c>
      <c r="C37" t="str">
        <f>IFERROR(__xludf.DUMMYFUNCTION("""COMPUTED_VALUE"""),"Sony")</f>
        <v>Sony</v>
      </c>
      <c r="D37" t="str">
        <f>IFERROR(__xludf.DUMMYFUNCTION("""COMPUTED_VALUE"""),"$86,089,513")</f>
        <v>$86,089,513</v>
      </c>
      <c r="E37" s="1">
        <f>IFERROR(__xludf.DUMMYFUNCTION("""COMPUTED_VALUE"""),4075.0)</f>
        <v>4075</v>
      </c>
      <c r="F37" t="str">
        <f>IFERROR(__xludf.DUMMYFUNCTION("""COMPUTED_VALUE"""),"$24,531,923")</f>
        <v>$24,531,923</v>
      </c>
      <c r="G37" s="1">
        <f>IFERROR(__xludf.DUMMYFUNCTION("""COMPUTED_VALUE"""),4075.0)</f>
        <v>4075</v>
      </c>
      <c r="H37" s="2">
        <f>IFERROR(__xludf.DUMMYFUNCTION("""COMPUTED_VALUE"""),43309.0)</f>
        <v>43309</v>
      </c>
      <c r="I37" s="2">
        <f>IFERROR(__xludf.DUMMYFUNCTION("""COMPUTED_VALUE"""),43434.0)</f>
        <v>43434</v>
      </c>
      <c r="J37" t="str">
        <f>IFERROR(__xludf.DUMMYFUNCTION("""COMPUTED_VALUE"""),"/movies/?id=theemojimovie.htm")</f>
        <v>/movies/?id=theemojimovie.htm</v>
      </c>
    </row>
    <row r="38">
      <c r="A38">
        <f>IFERROR(__xludf.DUMMYFUNCTION("""COMPUTED_VALUE"""),37.0)</f>
        <v>37</v>
      </c>
      <c r="B38" t="str">
        <f>IFERROR(__xludf.DUMMYFUNCTION("""COMPUTED_VALUE"""),"Power Rangers (2017)")</f>
        <v>Power Rangers (2017)</v>
      </c>
      <c r="C38" t="str">
        <f>IFERROR(__xludf.DUMMYFUNCTION("""COMPUTED_VALUE"""),"LGF")</f>
        <v>LGF</v>
      </c>
      <c r="D38" t="str">
        <f>IFERROR(__xludf.DUMMYFUNCTION("""COMPUTED_VALUE"""),"$85,364,450")</f>
        <v>$85,364,450</v>
      </c>
      <c r="E38" s="1">
        <f>IFERROR(__xludf.DUMMYFUNCTION("""COMPUTED_VALUE"""),3693.0)</f>
        <v>3693</v>
      </c>
      <c r="F38" t="str">
        <f>IFERROR(__xludf.DUMMYFUNCTION("""COMPUTED_VALUE"""),"$40,300,288")</f>
        <v>$40,300,288</v>
      </c>
      <c r="G38" s="1">
        <f>IFERROR(__xludf.DUMMYFUNCTION("""COMPUTED_VALUE"""),3693.0)</f>
        <v>3693</v>
      </c>
      <c r="H38" s="2">
        <f>IFERROR(__xludf.DUMMYFUNCTION("""COMPUTED_VALUE"""),43183.0)</f>
        <v>43183</v>
      </c>
      <c r="I38" s="2">
        <f>IFERROR(__xludf.DUMMYFUNCTION("""COMPUTED_VALUE"""),43252.0)</f>
        <v>43252</v>
      </c>
      <c r="J38" t="str">
        <f>IFERROR(__xludf.DUMMYFUNCTION("""COMPUTED_VALUE"""),"/movies/?id=powerrangers16.htm")</f>
        <v>/movies/?id=powerrangers16.htm</v>
      </c>
    </row>
    <row r="39">
      <c r="A39">
        <f>IFERROR(__xludf.DUMMYFUNCTION("""COMPUTED_VALUE"""),38.0)</f>
        <v>38</v>
      </c>
      <c r="B39" t="str">
        <f>IFERROR(__xludf.DUMMYFUNCTION("""COMPUTED_VALUE"""),"Ferdinand")</f>
        <v>Ferdinand</v>
      </c>
      <c r="C39" t="str">
        <f>IFERROR(__xludf.DUMMYFUNCTION("""COMPUTED_VALUE"""),"Fox")</f>
        <v>Fox</v>
      </c>
      <c r="D39" t="str">
        <f>IFERROR(__xludf.DUMMYFUNCTION("""COMPUTED_VALUE"""),"$84,410,380")</f>
        <v>$84,410,380</v>
      </c>
      <c r="E39" s="1">
        <f>IFERROR(__xludf.DUMMYFUNCTION("""COMPUTED_VALUE"""),3630.0)</f>
        <v>3630</v>
      </c>
      <c r="F39" t="str">
        <f>IFERROR(__xludf.DUMMYFUNCTION("""COMPUTED_VALUE"""),"$13,401,586")</f>
        <v>$13,401,586</v>
      </c>
      <c r="G39" s="1">
        <f>IFERROR(__xludf.DUMMYFUNCTION("""COMPUTED_VALUE"""),3621.0)</f>
        <v>3621</v>
      </c>
      <c r="H39" s="2">
        <f>IFERROR(__xludf.DUMMYFUNCTION("""COMPUTED_VALUE"""),43449.0)</f>
        <v>43449</v>
      </c>
      <c r="I39" s="2">
        <f>IFERROR(__xludf.DUMMYFUNCTION("""COMPUTED_VALUE"""),43251.0)</f>
        <v>43251</v>
      </c>
      <c r="J39" t="str">
        <f>IFERROR(__xludf.DUMMYFUNCTION("""COMPUTED_VALUE"""),"/movies/?id=ferdinand.htm")</f>
        <v>/movies/?id=ferdinand.htm</v>
      </c>
    </row>
    <row r="40">
      <c r="A40">
        <f>IFERROR(__xludf.DUMMYFUNCTION("""COMPUTED_VALUE"""),39.0)</f>
        <v>39</v>
      </c>
      <c r="B40" t="str">
        <f>IFERROR(__xludf.DUMMYFUNCTION("""COMPUTED_VALUE"""),"The Post")</f>
        <v>The Post</v>
      </c>
      <c r="C40" t="str">
        <f>IFERROR(__xludf.DUMMYFUNCTION("""COMPUTED_VALUE"""),"Fox")</f>
        <v>Fox</v>
      </c>
      <c r="D40" t="str">
        <f>IFERROR(__xludf.DUMMYFUNCTION("""COMPUTED_VALUE"""),"$81,903,458")</f>
        <v>$81,903,458</v>
      </c>
      <c r="E40" s="1">
        <f>IFERROR(__xludf.DUMMYFUNCTION("""COMPUTED_VALUE"""),2851.0)</f>
        <v>2851</v>
      </c>
      <c r="F40" t="str">
        <f>IFERROR(__xludf.DUMMYFUNCTION("""COMPUTED_VALUE"""),"$526,011")</f>
        <v>$526,011</v>
      </c>
      <c r="G40">
        <f>IFERROR(__xludf.DUMMYFUNCTION("""COMPUTED_VALUE"""),9.0)</f>
        <v>9</v>
      </c>
      <c r="H40" s="2">
        <f>IFERROR(__xludf.DUMMYFUNCTION("""COMPUTED_VALUE"""),43456.0)</f>
        <v>43456</v>
      </c>
      <c r="I40" s="2">
        <f>IFERROR(__xludf.DUMMYFUNCTION("""COMPUTED_VALUE"""),43237.0)</f>
        <v>43237</v>
      </c>
      <c r="J40" t="str">
        <f>IFERROR(__xludf.DUMMYFUNCTION("""COMPUTED_VALUE"""),"/movies/?id=untitledstevenspielberg.htm")</f>
        <v>/movies/?id=untitledstevenspielberg.htm</v>
      </c>
    </row>
    <row r="41">
      <c r="A41">
        <f>IFERROR(__xludf.DUMMYFUNCTION("""COMPUTED_VALUE"""),40.0)</f>
        <v>40</v>
      </c>
      <c r="B41" t="str">
        <f>IFERROR(__xludf.DUMMYFUNCTION("""COMPUTED_VALUE"""),"The Mummy (2017)")</f>
        <v>The Mummy (2017)</v>
      </c>
      <c r="C41" t="str">
        <f>IFERROR(__xludf.DUMMYFUNCTION("""COMPUTED_VALUE"""),"Uni.")</f>
        <v>Uni.</v>
      </c>
      <c r="D41" t="str">
        <f>IFERROR(__xludf.DUMMYFUNCTION("""COMPUTED_VALUE"""),"$80,227,895")</f>
        <v>$80,227,895</v>
      </c>
      <c r="E41" s="1">
        <f>IFERROR(__xludf.DUMMYFUNCTION("""COMPUTED_VALUE"""),4035.0)</f>
        <v>4035</v>
      </c>
      <c r="F41" t="str">
        <f>IFERROR(__xludf.DUMMYFUNCTION("""COMPUTED_VALUE"""),"$31,688,375")</f>
        <v>$31,688,375</v>
      </c>
      <c r="G41" s="1">
        <f>IFERROR(__xludf.DUMMYFUNCTION("""COMPUTED_VALUE"""),4035.0)</f>
        <v>4035</v>
      </c>
      <c r="H41" s="2">
        <f>IFERROR(__xludf.DUMMYFUNCTION("""COMPUTED_VALUE"""),43260.0)</f>
        <v>43260</v>
      </c>
      <c r="I41" s="2">
        <f>IFERROR(__xludf.DUMMYFUNCTION("""COMPUTED_VALUE"""),43336.0)</f>
        <v>43336</v>
      </c>
      <c r="J41" t="str">
        <f>IFERROR(__xludf.DUMMYFUNCTION("""COMPUTED_VALUE"""),"/movies/?id=mummy2016.htm")</f>
        <v>/movies/?id=mummy2016.htm</v>
      </c>
    </row>
    <row r="42">
      <c r="A42">
        <f>IFERROR(__xludf.DUMMYFUNCTION("""COMPUTED_VALUE"""),41.0)</f>
        <v>41</v>
      </c>
      <c r="B42" t="str">
        <f>IFERROR(__xludf.DUMMYFUNCTION("""COMPUTED_VALUE"""),"The Hitman's Bodyguard")</f>
        <v>The Hitman's Bodyguard</v>
      </c>
      <c r="C42" t="str">
        <f>IFERROR(__xludf.DUMMYFUNCTION("""COMPUTED_VALUE"""),"LG/S")</f>
        <v>LG/S</v>
      </c>
      <c r="D42" t="str">
        <f>IFERROR(__xludf.DUMMYFUNCTION("""COMPUTED_VALUE"""),"$75,468,583")</f>
        <v>$75,468,583</v>
      </c>
      <c r="E42" s="1">
        <f>IFERROR(__xludf.DUMMYFUNCTION("""COMPUTED_VALUE"""),3377.0)</f>
        <v>3377</v>
      </c>
      <c r="F42" t="str">
        <f>IFERROR(__xludf.DUMMYFUNCTION("""COMPUTED_VALUE"""),"$21,384,504")</f>
        <v>$21,384,504</v>
      </c>
      <c r="G42" s="1">
        <f>IFERROR(__xludf.DUMMYFUNCTION("""COMPUTED_VALUE"""),3377.0)</f>
        <v>3377</v>
      </c>
      <c r="H42" s="2">
        <f>IFERROR(__xludf.DUMMYFUNCTION("""COMPUTED_VALUE"""),43330.0)</f>
        <v>43330</v>
      </c>
      <c r="I42" s="2">
        <f>IFERROR(__xludf.DUMMYFUNCTION("""COMPUTED_VALUE"""),43406.0)</f>
        <v>43406</v>
      </c>
      <c r="J42" t="str">
        <f>IFERROR(__xludf.DUMMYFUNCTION("""COMPUTED_VALUE"""),"/movies/?id=hitmansbodyguard.htm")</f>
        <v>/movies/?id=hitmansbodyguard.htm</v>
      </c>
    </row>
    <row r="43">
      <c r="A43">
        <f>IFERROR(__xludf.DUMMYFUNCTION("""COMPUTED_VALUE"""),42.0)</f>
        <v>42</v>
      </c>
      <c r="B43" t="str">
        <f>IFERROR(__xludf.DUMMYFUNCTION("""COMPUTED_VALUE"""),"Alien: Covenant")</f>
        <v>Alien: Covenant</v>
      </c>
      <c r="C43" t="str">
        <f>IFERROR(__xludf.DUMMYFUNCTION("""COMPUTED_VALUE"""),"Fox")</f>
        <v>Fox</v>
      </c>
      <c r="D43" t="str">
        <f>IFERROR(__xludf.DUMMYFUNCTION("""COMPUTED_VALUE"""),"$74,262,031")</f>
        <v>$74,262,031</v>
      </c>
      <c r="E43" s="1">
        <f>IFERROR(__xludf.DUMMYFUNCTION("""COMPUTED_VALUE"""),3772.0)</f>
        <v>3772</v>
      </c>
      <c r="F43" t="str">
        <f>IFERROR(__xludf.DUMMYFUNCTION("""COMPUTED_VALUE"""),"$36,160,621")</f>
        <v>$36,160,621</v>
      </c>
      <c r="G43" s="1">
        <f>IFERROR(__xludf.DUMMYFUNCTION("""COMPUTED_VALUE"""),3761.0)</f>
        <v>3761</v>
      </c>
      <c r="H43" s="2">
        <f>IFERROR(__xludf.DUMMYFUNCTION("""COMPUTED_VALUE"""),43239.0)</f>
        <v>43239</v>
      </c>
      <c r="I43" s="2">
        <f>IFERROR(__xludf.DUMMYFUNCTION("""COMPUTED_VALUE"""),43343.0)</f>
        <v>43343</v>
      </c>
      <c r="J43" t="str">
        <f>IFERROR(__xludf.DUMMYFUNCTION("""COMPUTED_VALUE"""),"/movies/?id=alienparadiselost.htm")</f>
        <v>/movies/?id=alienparadiselost.htm</v>
      </c>
    </row>
    <row r="44">
      <c r="A44">
        <f>IFERROR(__xludf.DUMMYFUNCTION("""COMPUTED_VALUE"""),43.0)</f>
        <v>43</v>
      </c>
      <c r="B44" t="str">
        <f>IFERROR(__xludf.DUMMYFUNCTION("""COMPUTED_VALUE"""),"Captain Underpants: The First Epic Movie")</f>
        <v>Captain Underpants: The First Epic Movie</v>
      </c>
      <c r="C44" t="str">
        <f>IFERROR(__xludf.DUMMYFUNCTION("""COMPUTED_VALUE"""),"Fox")</f>
        <v>Fox</v>
      </c>
      <c r="D44" t="str">
        <f>IFERROR(__xludf.DUMMYFUNCTION("""COMPUTED_VALUE"""),"$73,921,000")</f>
        <v>$73,921,000</v>
      </c>
      <c r="E44" s="1">
        <f>IFERROR(__xludf.DUMMYFUNCTION("""COMPUTED_VALUE"""),3529.0)</f>
        <v>3529</v>
      </c>
      <c r="F44" t="str">
        <f>IFERROR(__xludf.DUMMYFUNCTION("""COMPUTED_VALUE"""),"$23,851,539")</f>
        <v>$23,851,539</v>
      </c>
      <c r="G44" s="1">
        <f>IFERROR(__xludf.DUMMYFUNCTION("""COMPUTED_VALUE"""),3434.0)</f>
        <v>3434</v>
      </c>
      <c r="H44" s="2">
        <f>IFERROR(__xludf.DUMMYFUNCTION("""COMPUTED_VALUE"""),43253.0)</f>
        <v>43253</v>
      </c>
      <c r="I44" s="2">
        <f>IFERROR(__xludf.DUMMYFUNCTION("""COMPUTED_VALUE"""),43406.0)</f>
        <v>43406</v>
      </c>
      <c r="J44" t="str">
        <f>IFERROR(__xludf.DUMMYFUNCTION("""COMPUTED_VALUE"""),"/movies/?id=captainunderpants.htm")</f>
        <v>/movies/?id=captainunderpants.htm</v>
      </c>
    </row>
    <row r="45">
      <c r="A45">
        <f>IFERROR(__xludf.DUMMYFUNCTION("""COMPUTED_VALUE"""),44.0)</f>
        <v>44</v>
      </c>
      <c r="B45" t="str">
        <f>IFERROR(__xludf.DUMMYFUNCTION("""COMPUTED_VALUE"""),"A Bad Moms Christmas")</f>
        <v>A Bad Moms Christmas</v>
      </c>
      <c r="C45" t="str">
        <f>IFERROR(__xludf.DUMMYFUNCTION("""COMPUTED_VALUE"""),"STX")</f>
        <v>STX</v>
      </c>
      <c r="D45" t="str">
        <f>IFERROR(__xludf.DUMMYFUNCTION("""COMPUTED_VALUE"""),"$72,110,659")</f>
        <v>$72,110,659</v>
      </c>
      <c r="E45" s="1">
        <f>IFERROR(__xludf.DUMMYFUNCTION("""COMPUTED_VALUE"""),3615.0)</f>
        <v>3615</v>
      </c>
      <c r="F45" t="str">
        <f>IFERROR(__xludf.DUMMYFUNCTION("""COMPUTED_VALUE"""),"$16,759,161")</f>
        <v>$16,759,161</v>
      </c>
      <c r="G45" s="1">
        <f>IFERROR(__xludf.DUMMYFUNCTION("""COMPUTED_VALUE"""),3615.0)</f>
        <v>3615</v>
      </c>
      <c r="H45" s="2">
        <f>IFERROR(__xludf.DUMMYFUNCTION("""COMPUTED_VALUE"""),43405.0)</f>
        <v>43405</v>
      </c>
      <c r="I45" s="2">
        <f>IFERROR(__xludf.DUMMYFUNCTION("""COMPUTED_VALUE"""),43111.0)</f>
        <v>43111</v>
      </c>
      <c r="J45" t="str">
        <f>IFERROR(__xludf.DUMMYFUNCTION("""COMPUTED_VALUE"""),"/movies/?id=badmomschristmas.htm")</f>
        <v>/movies/?id=badmomschristmas.htm</v>
      </c>
    </row>
    <row r="46">
      <c r="A46">
        <f>IFERROR(__xludf.DUMMYFUNCTION("""COMPUTED_VALUE"""),45.0)</f>
        <v>45</v>
      </c>
      <c r="B46" t="str">
        <f>IFERROR(__xludf.DUMMYFUNCTION("""COMPUTED_VALUE"""),"A Dog's Purpose")</f>
        <v>A Dog's Purpose</v>
      </c>
      <c r="C46" t="str">
        <f>IFERROR(__xludf.DUMMYFUNCTION("""COMPUTED_VALUE"""),"Uni.")</f>
        <v>Uni.</v>
      </c>
      <c r="D46" t="str">
        <f>IFERROR(__xludf.DUMMYFUNCTION("""COMPUTED_VALUE"""),"$64,508,620")</f>
        <v>$64,508,620</v>
      </c>
      <c r="E46" s="1">
        <f>IFERROR(__xludf.DUMMYFUNCTION("""COMPUTED_VALUE"""),3178.0)</f>
        <v>3178</v>
      </c>
      <c r="F46" t="str">
        <f>IFERROR(__xludf.DUMMYFUNCTION("""COMPUTED_VALUE"""),"$18,222,810")</f>
        <v>$18,222,810</v>
      </c>
      <c r="G46" s="1">
        <f>IFERROR(__xludf.DUMMYFUNCTION("""COMPUTED_VALUE"""),3059.0)</f>
        <v>3059</v>
      </c>
      <c r="H46" s="2">
        <f>IFERROR(__xludf.DUMMYFUNCTION("""COMPUTED_VALUE"""),43127.0)</f>
        <v>43127</v>
      </c>
      <c r="I46" s="2">
        <f>IFERROR(__xludf.DUMMYFUNCTION("""COMPUTED_VALUE"""),43238.0)</f>
        <v>43238</v>
      </c>
      <c r="J46" t="str">
        <f>IFERROR(__xludf.DUMMYFUNCTION("""COMPUTED_VALUE"""),"/movies/?id=adogspurpose.htm")</f>
        <v>/movies/?id=adogspurpose.htm</v>
      </c>
    </row>
    <row r="47">
      <c r="A47">
        <f>IFERROR(__xludf.DUMMYFUNCTION("""COMPUTED_VALUE"""),46.0)</f>
        <v>46</v>
      </c>
      <c r="B47" t="str">
        <f>IFERROR(__xludf.DUMMYFUNCTION("""COMPUTED_VALUE"""),"The Shape of Water")</f>
        <v>The Shape of Water</v>
      </c>
      <c r="C47" t="str">
        <f>IFERROR(__xludf.DUMMYFUNCTION("""COMPUTED_VALUE"""),"FoxS")</f>
        <v>FoxS</v>
      </c>
      <c r="D47" t="str">
        <f>IFERROR(__xludf.DUMMYFUNCTION("""COMPUTED_VALUE"""),"$63,859,435")</f>
        <v>$63,859,435</v>
      </c>
      <c r="E47" s="1">
        <f>IFERROR(__xludf.DUMMYFUNCTION("""COMPUTED_VALUE"""),2341.0)</f>
        <v>2341</v>
      </c>
      <c r="F47" t="str">
        <f>IFERROR(__xludf.DUMMYFUNCTION("""COMPUTED_VALUE"""),"$166,564")</f>
        <v>$166,564</v>
      </c>
      <c r="G47">
        <f>IFERROR(__xludf.DUMMYFUNCTION("""COMPUTED_VALUE"""),2.0)</f>
        <v>2</v>
      </c>
      <c r="H47" s="2">
        <f>IFERROR(__xludf.DUMMYFUNCTION("""COMPUTED_VALUE"""),43435.0)</f>
        <v>43435</v>
      </c>
      <c r="I47" s="2">
        <f>IFERROR(__xludf.DUMMYFUNCTION("""COMPUTED_VALUE"""),43223.0)</f>
        <v>43223</v>
      </c>
      <c r="J47" t="str">
        <f>IFERROR(__xludf.DUMMYFUNCTION("""COMPUTED_VALUE"""),"/movies/?id=theshapeofwater.htm")</f>
        <v>/movies/?id=theshapeofwater.htm</v>
      </c>
    </row>
    <row r="48">
      <c r="A48">
        <f>IFERROR(__xludf.DUMMYFUNCTION("""COMPUTED_VALUE"""),47.0)</f>
        <v>47</v>
      </c>
      <c r="B48" t="str">
        <f>IFERROR(__xludf.DUMMYFUNCTION("""COMPUTED_VALUE"""),"The LEGO Ninjago Movie")</f>
        <v>The LEGO Ninjago Movie</v>
      </c>
      <c r="C48" t="str">
        <f>IFERROR(__xludf.DUMMYFUNCTION("""COMPUTED_VALUE"""),"WB")</f>
        <v>WB</v>
      </c>
      <c r="D48" t="str">
        <f>IFERROR(__xludf.DUMMYFUNCTION("""COMPUTED_VALUE"""),"$59,281,555")</f>
        <v>$59,281,555</v>
      </c>
      <c r="E48" s="1">
        <f>IFERROR(__xludf.DUMMYFUNCTION("""COMPUTED_VALUE"""),4047.0)</f>
        <v>4047</v>
      </c>
      <c r="F48" t="str">
        <f>IFERROR(__xludf.DUMMYFUNCTION("""COMPUTED_VALUE"""),"$20,433,071")</f>
        <v>$20,433,071</v>
      </c>
      <c r="G48" s="1">
        <f>IFERROR(__xludf.DUMMYFUNCTION("""COMPUTED_VALUE"""),4047.0)</f>
        <v>4047</v>
      </c>
      <c r="H48" s="2">
        <f>IFERROR(__xludf.DUMMYFUNCTION("""COMPUTED_VALUE"""),43365.0)</f>
        <v>43365</v>
      </c>
      <c r="I48" s="2">
        <f>IFERROR(__xludf.DUMMYFUNCTION("""COMPUTED_VALUE"""),43434.0)</f>
        <v>43434</v>
      </c>
      <c r="J48" t="str">
        <f>IFERROR(__xludf.DUMMYFUNCTION("""COMPUTED_VALUE"""),"/movies/?id=ninjago.htm")</f>
        <v>/movies/?id=ninjago.htm</v>
      </c>
    </row>
    <row r="49">
      <c r="A49">
        <f>IFERROR(__xludf.DUMMYFUNCTION("""COMPUTED_VALUE"""),48.0)</f>
        <v>48</v>
      </c>
      <c r="B49" t="str">
        <f>IFERROR(__xludf.DUMMYFUNCTION("""COMPUTED_VALUE"""),"Baywatch")</f>
        <v>Baywatch</v>
      </c>
      <c r="C49" t="str">
        <f>IFERROR(__xludf.DUMMYFUNCTION("""COMPUTED_VALUE"""),"Par.")</f>
        <v>Par.</v>
      </c>
      <c r="D49" t="str">
        <f>IFERROR(__xludf.DUMMYFUNCTION("""COMPUTED_VALUE"""),"$58,060,186")</f>
        <v>$58,060,186</v>
      </c>
      <c r="E49" s="1">
        <f>IFERROR(__xludf.DUMMYFUNCTION("""COMPUTED_VALUE"""),3647.0)</f>
        <v>3647</v>
      </c>
      <c r="F49" t="str">
        <f>IFERROR(__xludf.DUMMYFUNCTION("""COMPUTED_VALUE"""),"$18,503,871")</f>
        <v>$18,503,871</v>
      </c>
      <c r="G49" s="1">
        <f>IFERROR(__xludf.DUMMYFUNCTION("""COMPUTED_VALUE"""),3647.0)</f>
        <v>3647</v>
      </c>
      <c r="H49" s="2">
        <f>IFERROR(__xludf.DUMMYFUNCTION("""COMPUTED_VALUE"""),43245.0)</f>
        <v>43245</v>
      </c>
      <c r="I49" s="2">
        <f>IFERROR(__xludf.DUMMYFUNCTION("""COMPUTED_VALUE"""),43308.0)</f>
        <v>43308</v>
      </c>
      <c r="J49" t="str">
        <f>IFERROR(__xludf.DUMMYFUNCTION("""COMPUTED_VALUE"""),"/movies/?id=baywatch.htm")</f>
        <v>/movies/?id=baywatch.htm</v>
      </c>
    </row>
    <row r="50">
      <c r="A50">
        <f>IFERROR(__xludf.DUMMYFUNCTION("""COMPUTED_VALUE"""),49.0)</f>
        <v>49</v>
      </c>
      <c r="B50" t="str">
        <f>IFERROR(__xludf.DUMMYFUNCTION("""COMPUTED_VALUE"""),"The Shack")</f>
        <v>The Shack</v>
      </c>
      <c r="C50" t="str">
        <f>IFERROR(__xludf.DUMMYFUNCTION("""COMPUTED_VALUE"""),"LG/S")</f>
        <v>LG/S</v>
      </c>
      <c r="D50" t="str">
        <f>IFERROR(__xludf.DUMMYFUNCTION("""COMPUTED_VALUE"""),"$57,386,418")</f>
        <v>$57,386,418</v>
      </c>
      <c r="E50" s="1">
        <f>IFERROR(__xludf.DUMMYFUNCTION("""COMPUTED_VALUE"""),2888.0)</f>
        <v>2888</v>
      </c>
      <c r="F50" t="str">
        <f>IFERROR(__xludf.DUMMYFUNCTION("""COMPUTED_VALUE"""),"$16,172,119")</f>
        <v>$16,172,119</v>
      </c>
      <c r="G50" s="1">
        <f>IFERROR(__xludf.DUMMYFUNCTION("""COMPUTED_VALUE"""),2888.0)</f>
        <v>2888</v>
      </c>
      <c r="H50" s="2">
        <f>IFERROR(__xludf.DUMMYFUNCTION("""COMPUTED_VALUE"""),43162.0)</f>
        <v>43162</v>
      </c>
      <c r="I50" s="2">
        <f>IFERROR(__xludf.DUMMYFUNCTION("""COMPUTED_VALUE"""),43238.0)</f>
        <v>43238</v>
      </c>
      <c r="J50" t="str">
        <f>IFERROR(__xludf.DUMMYFUNCTION("""COMPUTED_VALUE"""),"/movies/?id=theshack.htm")</f>
        <v>/movies/?id=theshack.htm</v>
      </c>
    </row>
    <row r="51">
      <c r="A51">
        <f>IFERROR(__xludf.DUMMYFUNCTION("""COMPUTED_VALUE"""),50.0)</f>
        <v>50</v>
      </c>
      <c r="B51" t="str">
        <f>IFERROR(__xludf.DUMMYFUNCTION("""COMPUTED_VALUE"""),"Darkest Hour")</f>
        <v>Darkest Hour</v>
      </c>
      <c r="C51" t="str">
        <f>IFERROR(__xludf.DUMMYFUNCTION("""COMPUTED_VALUE"""),"Focus")</f>
        <v>Focus</v>
      </c>
      <c r="D51" t="str">
        <f>IFERROR(__xludf.DUMMYFUNCTION("""COMPUTED_VALUE"""),"$56,468,410")</f>
        <v>$56,468,410</v>
      </c>
      <c r="E51" s="1">
        <f>IFERROR(__xludf.DUMMYFUNCTION("""COMPUTED_VALUE"""),1733.0)</f>
        <v>1733</v>
      </c>
      <c r="F51" t="str">
        <f>IFERROR(__xludf.DUMMYFUNCTION("""COMPUTED_VALUE"""),"$175,006")</f>
        <v>$175,006</v>
      </c>
      <c r="G51">
        <f>IFERROR(__xludf.DUMMYFUNCTION("""COMPUTED_VALUE"""),4.0)</f>
        <v>4</v>
      </c>
      <c r="H51" s="2">
        <f>IFERROR(__xludf.DUMMYFUNCTION("""COMPUTED_VALUE"""),43426.0)</f>
        <v>43426</v>
      </c>
      <c r="I51" s="2">
        <f>IFERROR(__xludf.DUMMYFUNCTION("""COMPUTED_VALUE"""),43202.0)</f>
        <v>43202</v>
      </c>
      <c r="J51" t="str">
        <f>IFERROR(__xludf.DUMMYFUNCTION("""COMPUTED_VALUE"""),"/movies/?id=darkesthour2017.htm")</f>
        <v>/movies/?id=darkesthour2017.htm</v>
      </c>
    </row>
    <row r="52">
      <c r="A52">
        <f>IFERROR(__xludf.DUMMYFUNCTION("""COMPUTED_VALUE"""),51.0)</f>
        <v>51</v>
      </c>
      <c r="B52" t="str">
        <f>IFERROR(__xludf.DUMMYFUNCTION("""COMPUTED_VALUE"""),"Happy Death Day")</f>
        <v>Happy Death Day</v>
      </c>
      <c r="C52" t="str">
        <f>IFERROR(__xludf.DUMMYFUNCTION("""COMPUTED_VALUE"""),"Uni.")</f>
        <v>Uni.</v>
      </c>
      <c r="D52" t="str">
        <f>IFERROR(__xludf.DUMMYFUNCTION("""COMPUTED_VALUE"""),"$55,683,845")</f>
        <v>$55,683,845</v>
      </c>
      <c r="E52" s="1">
        <f>IFERROR(__xludf.DUMMYFUNCTION("""COMPUTED_VALUE"""),3535.0)</f>
        <v>3535</v>
      </c>
      <c r="F52" t="str">
        <f>IFERROR(__xludf.DUMMYFUNCTION("""COMPUTED_VALUE"""),"$26,039,025")</f>
        <v>$26,039,025</v>
      </c>
      <c r="G52" s="1">
        <f>IFERROR(__xludf.DUMMYFUNCTION("""COMPUTED_VALUE"""),3149.0)</f>
        <v>3149</v>
      </c>
      <c r="H52" s="2">
        <f>IFERROR(__xludf.DUMMYFUNCTION("""COMPUTED_VALUE"""),43386.0)</f>
        <v>43386</v>
      </c>
      <c r="I52" s="2">
        <f>IFERROR(__xludf.DUMMYFUNCTION("""COMPUTED_VALUE"""),43448.0)</f>
        <v>43448</v>
      </c>
      <c r="J52" t="str">
        <f>IFERROR(__xludf.DUMMYFUNCTION("""COMPUTED_VALUE"""),"/movies/?id=blumhousehorror2018.htm")</f>
        <v>/movies/?id=blumhousehorror2018.htm</v>
      </c>
    </row>
    <row r="53">
      <c r="A53">
        <f>IFERROR(__xludf.DUMMYFUNCTION("""COMPUTED_VALUE"""),52.0)</f>
        <v>52</v>
      </c>
      <c r="B53" t="str">
        <f>IFERROR(__xludf.DUMMYFUNCTION("""COMPUTED_VALUE"""),"Three Billboards Outside Ebbing, Missouri")</f>
        <v>Three Billboards Outside Ebbing, Missouri</v>
      </c>
      <c r="C53" t="str">
        <f>IFERROR(__xludf.DUMMYFUNCTION("""COMPUTED_VALUE"""),"FoxS")</f>
        <v>FoxS</v>
      </c>
      <c r="D53" t="str">
        <f>IFERROR(__xludf.DUMMYFUNCTION("""COMPUTED_VALUE"""),"$54,513,740")</f>
        <v>$54,513,740</v>
      </c>
      <c r="E53" s="1">
        <f>IFERROR(__xludf.DUMMYFUNCTION("""COMPUTED_VALUE"""),1726.0)</f>
        <v>1726</v>
      </c>
      <c r="F53" t="str">
        <f>IFERROR(__xludf.DUMMYFUNCTION("""COMPUTED_VALUE"""),"$322,168")</f>
        <v>$322,168</v>
      </c>
      <c r="G53">
        <f>IFERROR(__xludf.DUMMYFUNCTION("""COMPUTED_VALUE"""),4.0)</f>
        <v>4</v>
      </c>
      <c r="H53" s="2">
        <f>IFERROR(__xludf.DUMMYFUNCTION("""COMPUTED_VALUE"""),43414.0)</f>
        <v>43414</v>
      </c>
      <c r="I53" s="2">
        <f>IFERROR(__xludf.DUMMYFUNCTION("""COMPUTED_VALUE"""),43223.0)</f>
        <v>43223</v>
      </c>
      <c r="J53" t="str">
        <f>IFERROR(__xludf.DUMMYFUNCTION("""COMPUTED_VALUE"""),"/movies/?id=threebillboards.htm")</f>
        <v>/movies/?id=threebillboards.htm</v>
      </c>
    </row>
    <row r="54">
      <c r="A54">
        <f>IFERROR(__xludf.DUMMYFUNCTION("""COMPUTED_VALUE"""),53.0)</f>
        <v>53</v>
      </c>
      <c r="B54" t="str">
        <f>IFERROR(__xludf.DUMMYFUNCTION("""COMPUTED_VALUE"""),"Atomic Blonde")</f>
        <v>Atomic Blonde</v>
      </c>
      <c r="C54" t="str">
        <f>IFERROR(__xludf.DUMMYFUNCTION("""COMPUTED_VALUE"""),"Focus")</f>
        <v>Focus</v>
      </c>
      <c r="D54" t="str">
        <f>IFERROR(__xludf.DUMMYFUNCTION("""COMPUTED_VALUE"""),"$51,687,870")</f>
        <v>$51,687,870</v>
      </c>
      <c r="E54" s="1">
        <f>IFERROR(__xludf.DUMMYFUNCTION("""COMPUTED_VALUE"""),3326.0)</f>
        <v>3326</v>
      </c>
      <c r="F54" t="str">
        <f>IFERROR(__xludf.DUMMYFUNCTION("""COMPUTED_VALUE"""),"$18,286,420")</f>
        <v>$18,286,420</v>
      </c>
      <c r="G54" s="1">
        <f>IFERROR(__xludf.DUMMYFUNCTION("""COMPUTED_VALUE"""),3304.0)</f>
        <v>3304</v>
      </c>
      <c r="H54" s="2">
        <f>IFERROR(__xludf.DUMMYFUNCTION("""COMPUTED_VALUE"""),43309.0)</f>
        <v>43309</v>
      </c>
      <c r="I54" s="2">
        <f>IFERROR(__xludf.DUMMYFUNCTION("""COMPUTED_VALUE"""),43378.0)</f>
        <v>43378</v>
      </c>
      <c r="J54" t="str">
        <f>IFERROR(__xludf.DUMMYFUNCTION("""COMPUTED_VALUE"""),"/movies/?id=thecoldestcity.htm")</f>
        <v>/movies/?id=thecoldestcity.htm</v>
      </c>
    </row>
    <row r="55">
      <c r="A55">
        <f>IFERROR(__xludf.DUMMYFUNCTION("""COMPUTED_VALUE"""),54.0)</f>
        <v>54</v>
      </c>
      <c r="B55" t="str">
        <f>IFERROR(__xludf.DUMMYFUNCTION("""COMPUTED_VALUE"""),"American Made")</f>
        <v>American Made</v>
      </c>
      <c r="C55" t="str">
        <f>IFERROR(__xludf.DUMMYFUNCTION("""COMPUTED_VALUE"""),"Uni.")</f>
        <v>Uni.</v>
      </c>
      <c r="D55" t="str">
        <f>IFERROR(__xludf.DUMMYFUNCTION("""COMPUTED_VALUE"""),"$51,342,000")</f>
        <v>$51,342,000</v>
      </c>
      <c r="E55" s="1">
        <f>IFERROR(__xludf.DUMMYFUNCTION("""COMPUTED_VALUE"""),3098.0)</f>
        <v>3098</v>
      </c>
      <c r="F55" t="str">
        <f>IFERROR(__xludf.DUMMYFUNCTION("""COMPUTED_VALUE"""),"$16,776,390")</f>
        <v>$16,776,390</v>
      </c>
      <c r="G55" s="1">
        <f>IFERROR(__xludf.DUMMYFUNCTION("""COMPUTED_VALUE"""),3024.0)</f>
        <v>3024</v>
      </c>
      <c r="H55" s="2">
        <f>IFERROR(__xludf.DUMMYFUNCTION("""COMPUTED_VALUE"""),43372.0)</f>
        <v>43372</v>
      </c>
      <c r="I55" s="2">
        <f>IFERROR(__xludf.DUMMYFUNCTION("""COMPUTED_VALUE"""),43448.0)</f>
        <v>43448</v>
      </c>
      <c r="J55" t="str">
        <f>IFERROR(__xludf.DUMMYFUNCTION("""COMPUTED_VALUE"""),"/movies/?id=mena.htm")</f>
        <v>/movies/?id=mena.htm</v>
      </c>
    </row>
    <row r="56">
      <c r="A56">
        <f>IFERROR(__xludf.DUMMYFUNCTION("""COMPUTED_VALUE"""),55.0)</f>
        <v>55</v>
      </c>
      <c r="B56" t="str">
        <f>IFERROR(__xludf.DUMMYFUNCTION("""COMPUTED_VALUE"""),"The Dark Tower")</f>
        <v>The Dark Tower</v>
      </c>
      <c r="C56" t="str">
        <f>IFERROR(__xludf.DUMMYFUNCTION("""COMPUTED_VALUE"""),"Sony")</f>
        <v>Sony</v>
      </c>
      <c r="D56" t="str">
        <f>IFERROR(__xludf.DUMMYFUNCTION("""COMPUTED_VALUE"""),"$50,701,325")</f>
        <v>$50,701,325</v>
      </c>
      <c r="E56" s="1">
        <f>IFERROR(__xludf.DUMMYFUNCTION("""COMPUTED_VALUE"""),3451.0)</f>
        <v>3451</v>
      </c>
      <c r="F56" t="str">
        <f>IFERROR(__xludf.DUMMYFUNCTION("""COMPUTED_VALUE"""),"$19,153,698")</f>
        <v>$19,153,698</v>
      </c>
      <c r="G56" s="1">
        <f>IFERROR(__xludf.DUMMYFUNCTION("""COMPUTED_VALUE"""),3451.0)</f>
        <v>3451</v>
      </c>
      <c r="H56" s="2">
        <f>IFERROR(__xludf.DUMMYFUNCTION("""COMPUTED_VALUE"""),43316.0)</f>
        <v>43316</v>
      </c>
      <c r="I56" s="2">
        <f>IFERROR(__xludf.DUMMYFUNCTION("""COMPUTED_VALUE"""),43392.0)</f>
        <v>43392</v>
      </c>
      <c r="J56" t="str">
        <f>IFERROR(__xludf.DUMMYFUNCTION("""COMPUTED_VALUE"""),"/movies/?id=darktower.htm")</f>
        <v>/movies/?id=darktower.htm</v>
      </c>
    </row>
    <row r="57">
      <c r="A57">
        <f>IFERROR(__xludf.DUMMYFUNCTION("""COMPUTED_VALUE"""),56.0)</f>
        <v>56</v>
      </c>
      <c r="B57" t="str">
        <f>IFERROR(__xludf.DUMMYFUNCTION("""COMPUTED_VALUE"""),"Lady Bird")</f>
        <v>Lady Bird</v>
      </c>
      <c r="C57" t="str">
        <f>IFERROR(__xludf.DUMMYFUNCTION("""COMPUTED_VALUE"""),"A24")</f>
        <v>A24</v>
      </c>
      <c r="D57" t="str">
        <f>IFERROR(__xludf.DUMMYFUNCTION("""COMPUTED_VALUE"""),"$48,958,273")</f>
        <v>$48,958,273</v>
      </c>
      <c r="E57" s="1">
        <f>IFERROR(__xludf.DUMMYFUNCTION("""COMPUTED_VALUE"""),1557.0)</f>
        <v>1557</v>
      </c>
      <c r="F57" t="str">
        <f>IFERROR(__xludf.DUMMYFUNCTION("""COMPUTED_VALUE"""),"$364,437")</f>
        <v>$364,437</v>
      </c>
      <c r="G57">
        <f>IFERROR(__xludf.DUMMYFUNCTION("""COMPUTED_VALUE"""),4.0)</f>
        <v>4</v>
      </c>
      <c r="H57" s="2">
        <f>IFERROR(__xludf.DUMMYFUNCTION("""COMPUTED_VALUE"""),43407.0)</f>
        <v>43407</v>
      </c>
      <c r="I57" s="2">
        <f>IFERROR(__xludf.DUMMYFUNCTION("""COMPUTED_VALUE"""),43195.0)</f>
        <v>43195</v>
      </c>
      <c r="J57" t="str">
        <f>IFERROR(__xludf.DUMMYFUNCTION("""COMPUTED_VALUE"""),"/movies/?id=ladybird.htm")</f>
        <v>/movies/?id=ladybird.htm</v>
      </c>
    </row>
    <row r="58">
      <c r="A58">
        <f>IFERROR(__xludf.DUMMYFUNCTION("""COMPUTED_VALUE"""),57.0)</f>
        <v>57</v>
      </c>
      <c r="B58" t="str">
        <f>IFERROR(__xludf.DUMMYFUNCTION("""COMPUTED_VALUE"""),"Tyler Perry's Boo 2! A Madea Halloween")</f>
        <v>Tyler Perry's Boo 2! A Madea Halloween</v>
      </c>
      <c r="C58" t="str">
        <f>IFERROR(__xludf.DUMMYFUNCTION("""COMPUTED_VALUE"""),"LGF")</f>
        <v>LGF</v>
      </c>
      <c r="D58" t="str">
        <f>IFERROR(__xludf.DUMMYFUNCTION("""COMPUTED_VALUE"""),"$47,319,572")</f>
        <v>$47,319,572</v>
      </c>
      <c r="E58" s="1">
        <f>IFERROR(__xludf.DUMMYFUNCTION("""COMPUTED_VALUE"""),2388.0)</f>
        <v>2388</v>
      </c>
      <c r="F58" t="str">
        <f>IFERROR(__xludf.DUMMYFUNCTION("""COMPUTED_VALUE"""),"$21,226,953")</f>
        <v>$21,226,953</v>
      </c>
      <c r="G58" s="1">
        <f>IFERROR(__xludf.DUMMYFUNCTION("""COMPUTED_VALUE"""),2388.0)</f>
        <v>2388</v>
      </c>
      <c r="H58" s="2">
        <f>IFERROR(__xludf.DUMMYFUNCTION("""COMPUTED_VALUE"""),43393.0)</f>
        <v>43393</v>
      </c>
      <c r="I58" s="2">
        <f>IFERROR(__xludf.DUMMYFUNCTION("""COMPUTED_VALUE"""),43448.0)</f>
        <v>43448</v>
      </c>
      <c r="J58" t="str">
        <f>IFERROR(__xludf.DUMMYFUNCTION("""COMPUTED_VALUE"""),"/movies/?id=amadeahalloween2.htm")</f>
        <v>/movies/?id=amadeahalloween2.htm</v>
      </c>
    </row>
    <row r="59">
      <c r="A59">
        <f>IFERROR(__xludf.DUMMYFUNCTION("""COMPUTED_VALUE"""),58.0)</f>
        <v>58</v>
      </c>
      <c r="B59" t="str">
        <f>IFERROR(__xludf.DUMMYFUNCTION("""COMPUTED_VALUE"""),"Snatched")</f>
        <v>Snatched</v>
      </c>
      <c r="C59" t="str">
        <f>IFERROR(__xludf.DUMMYFUNCTION("""COMPUTED_VALUE"""),"Fox")</f>
        <v>Fox</v>
      </c>
      <c r="D59" t="str">
        <f>IFERROR(__xludf.DUMMYFUNCTION("""COMPUTED_VALUE"""),"$45,852,178")</f>
        <v>$45,852,178</v>
      </c>
      <c r="E59" s="1">
        <f>IFERROR(__xludf.DUMMYFUNCTION("""COMPUTED_VALUE"""),3511.0)</f>
        <v>3511</v>
      </c>
      <c r="F59" t="str">
        <f>IFERROR(__xludf.DUMMYFUNCTION("""COMPUTED_VALUE"""),"$19,542,248")</f>
        <v>$19,542,248</v>
      </c>
      <c r="G59" s="1">
        <f>IFERROR(__xludf.DUMMYFUNCTION("""COMPUTED_VALUE"""),3501.0)</f>
        <v>3501</v>
      </c>
      <c r="H59" s="2">
        <f>IFERROR(__xludf.DUMMYFUNCTION("""COMPUTED_VALUE"""),43232.0)</f>
        <v>43232</v>
      </c>
      <c r="I59" s="2">
        <f>IFERROR(__xludf.DUMMYFUNCTION("""COMPUTED_VALUE"""),43315.0)</f>
        <v>43315</v>
      </c>
      <c r="J59" t="str">
        <f>IFERROR(__xludf.DUMMYFUNCTION("""COMPUTED_VALUE"""),"/movies/?id=motherdaughter.htm")</f>
        <v>/movies/?id=motherdaughter.htm</v>
      </c>
    </row>
    <row r="60">
      <c r="A60">
        <f>IFERROR(__xludf.DUMMYFUNCTION("""COMPUTED_VALUE"""),59.0)</f>
        <v>59</v>
      </c>
      <c r="B60" t="str">
        <f>IFERROR(__xludf.DUMMYFUNCTION("""COMPUTED_VALUE"""),"The Great Wall")</f>
        <v>The Great Wall</v>
      </c>
      <c r="C60" t="str">
        <f>IFERROR(__xludf.DUMMYFUNCTION("""COMPUTED_VALUE"""),"Uni.")</f>
        <v>Uni.</v>
      </c>
      <c r="D60" t="str">
        <f>IFERROR(__xludf.DUMMYFUNCTION("""COMPUTED_VALUE"""),"$45,540,830")</f>
        <v>$45,540,830</v>
      </c>
      <c r="E60" s="1">
        <f>IFERROR(__xludf.DUMMYFUNCTION("""COMPUTED_VALUE"""),3328.0)</f>
        <v>3328</v>
      </c>
      <c r="F60" t="str">
        <f>IFERROR(__xludf.DUMMYFUNCTION("""COMPUTED_VALUE"""),"$18,469,620")</f>
        <v>$18,469,620</v>
      </c>
      <c r="G60" s="1">
        <f>IFERROR(__xludf.DUMMYFUNCTION("""COMPUTED_VALUE"""),3326.0)</f>
        <v>3326</v>
      </c>
      <c r="H60" s="2">
        <f>IFERROR(__xludf.DUMMYFUNCTION("""COMPUTED_VALUE"""),43148.0)</f>
        <v>43148</v>
      </c>
      <c r="I60" s="2">
        <f>IFERROR(__xludf.DUMMYFUNCTION("""COMPUTED_VALUE"""),43252.0)</f>
        <v>43252</v>
      </c>
      <c r="J60" t="str">
        <f>IFERROR(__xludf.DUMMYFUNCTION("""COMPUTED_VALUE"""),"/movies/?id=greatwall.htm")</f>
        <v>/movies/?id=greatwall.htm</v>
      </c>
    </row>
    <row r="61">
      <c r="A61">
        <f>IFERROR(__xludf.DUMMYFUNCTION("""COMPUTED_VALUE"""),60.0)</f>
        <v>60</v>
      </c>
      <c r="B61" t="str">
        <f>IFERROR(__xludf.DUMMYFUNCTION("""COMPUTED_VALUE"""),"Smurfs: The Lost Village")</f>
        <v>Smurfs: The Lost Village</v>
      </c>
      <c r="C61" t="str">
        <f>IFERROR(__xludf.DUMMYFUNCTION("""COMPUTED_VALUE"""),"Sony")</f>
        <v>Sony</v>
      </c>
      <c r="D61" t="str">
        <f>IFERROR(__xludf.DUMMYFUNCTION("""COMPUTED_VALUE"""),"$45,020,282")</f>
        <v>$45,020,282</v>
      </c>
      <c r="E61" s="1">
        <f>IFERROR(__xludf.DUMMYFUNCTION("""COMPUTED_VALUE"""),3610.0)</f>
        <v>3610</v>
      </c>
      <c r="F61" t="str">
        <f>IFERROR(__xludf.DUMMYFUNCTION("""COMPUTED_VALUE"""),"$13,210,449")</f>
        <v>$13,210,449</v>
      </c>
      <c r="G61" s="1">
        <f>IFERROR(__xludf.DUMMYFUNCTION("""COMPUTED_VALUE"""),3610.0)</f>
        <v>3610</v>
      </c>
      <c r="H61" s="2">
        <f>IFERROR(__xludf.DUMMYFUNCTION("""COMPUTED_VALUE"""),43197.0)</f>
        <v>43197</v>
      </c>
      <c r="I61" s="2">
        <f>IFERROR(__xludf.DUMMYFUNCTION("""COMPUTED_VALUE"""),43315.0)</f>
        <v>43315</v>
      </c>
      <c r="J61" t="str">
        <f>IFERROR(__xludf.DUMMYFUNCTION("""COMPUTED_VALUE"""),"/movies/?id=smurfs3.htm")</f>
        <v>/movies/?id=smurfs3.htm</v>
      </c>
    </row>
    <row r="62">
      <c r="A62">
        <f>IFERROR(__xludf.DUMMYFUNCTION("""COMPUTED_VALUE"""),61.0)</f>
        <v>61</v>
      </c>
      <c r="B62" t="str">
        <f>IFERROR(__xludf.DUMMYFUNCTION("""COMPUTED_VALUE"""),"Going in Style (2017)")</f>
        <v>Going in Style (2017)</v>
      </c>
      <c r="C62" t="str">
        <f>IFERROR(__xludf.DUMMYFUNCTION("""COMPUTED_VALUE"""),"WB (NL)")</f>
        <v>WB (NL)</v>
      </c>
      <c r="D62" t="str">
        <f>IFERROR(__xludf.DUMMYFUNCTION("""COMPUTED_VALUE"""),"$45,018,541")</f>
        <v>$45,018,541</v>
      </c>
      <c r="E62" s="1">
        <f>IFERROR(__xludf.DUMMYFUNCTION("""COMPUTED_VALUE"""),3076.0)</f>
        <v>3076</v>
      </c>
      <c r="F62" t="str">
        <f>IFERROR(__xludf.DUMMYFUNCTION("""COMPUTED_VALUE"""),"$11,932,330")</f>
        <v>$11,932,330</v>
      </c>
      <c r="G62" s="1">
        <f>IFERROR(__xludf.DUMMYFUNCTION("""COMPUTED_VALUE"""),3061.0)</f>
        <v>3061</v>
      </c>
      <c r="H62" s="2">
        <f>IFERROR(__xludf.DUMMYFUNCTION("""COMPUTED_VALUE"""),43197.0)</f>
        <v>43197</v>
      </c>
      <c r="I62" s="2">
        <f>IFERROR(__xludf.DUMMYFUNCTION("""COMPUTED_VALUE"""),43294.0)</f>
        <v>43294</v>
      </c>
      <c r="J62" t="str">
        <f>IFERROR(__xludf.DUMMYFUNCTION("""COMPUTED_VALUE"""),"/movies/?id=goinginsty2017.htm")</f>
        <v>/movies/?id=goinginsty2017.htm</v>
      </c>
    </row>
    <row r="63">
      <c r="A63">
        <f>IFERROR(__xludf.DUMMYFUNCTION("""COMPUTED_VALUE"""),62.0)</f>
        <v>62</v>
      </c>
      <c r="B63" t="str">
        <f>IFERROR(__xludf.DUMMYFUNCTION("""COMPUTED_VALUE"""),"All Eyez on Me")</f>
        <v>All Eyez on Me</v>
      </c>
      <c r="C63" t="str">
        <f>IFERROR(__xludf.DUMMYFUNCTION("""COMPUTED_VALUE"""),"LG/S")</f>
        <v>LG/S</v>
      </c>
      <c r="D63" t="str">
        <f>IFERROR(__xludf.DUMMYFUNCTION("""COMPUTED_VALUE"""),"$44,922,302")</f>
        <v>$44,922,302</v>
      </c>
      <c r="E63" s="1">
        <f>IFERROR(__xludf.DUMMYFUNCTION("""COMPUTED_VALUE"""),2471.0)</f>
        <v>2471</v>
      </c>
      <c r="F63" t="str">
        <f>IFERROR(__xludf.DUMMYFUNCTION("""COMPUTED_VALUE"""),"$26,435,354")</f>
        <v>$26,435,354</v>
      </c>
      <c r="G63" s="1">
        <f>IFERROR(__xludf.DUMMYFUNCTION("""COMPUTED_VALUE"""),2471.0)</f>
        <v>2471</v>
      </c>
      <c r="H63" s="2">
        <f>IFERROR(__xludf.DUMMYFUNCTION("""COMPUTED_VALUE"""),43267.0)</f>
        <v>43267</v>
      </c>
      <c r="I63" s="2">
        <f>IFERROR(__xludf.DUMMYFUNCTION("""COMPUTED_VALUE"""),43315.0)</f>
        <v>43315</v>
      </c>
      <c r="J63" t="str">
        <f>IFERROR(__xludf.DUMMYFUNCTION("""COMPUTED_VALUE"""),"/movies/?id=tupac.htm")</f>
        <v>/movies/?id=tupac.htm</v>
      </c>
    </row>
    <row r="64">
      <c r="A64">
        <f>IFERROR(__xludf.DUMMYFUNCTION("""COMPUTED_VALUE"""),63.0)</f>
        <v>63</v>
      </c>
      <c r="B64" t="str">
        <f>IFERROR(__xludf.DUMMYFUNCTION("""COMPUTED_VALUE"""),"xXx: The Return of Xander Cage")</f>
        <v>xXx: The Return of Xander Cage</v>
      </c>
      <c r="C64" t="str">
        <f>IFERROR(__xludf.DUMMYFUNCTION("""COMPUTED_VALUE"""),"Par.")</f>
        <v>Par.</v>
      </c>
      <c r="D64" t="str">
        <f>IFERROR(__xludf.DUMMYFUNCTION("""COMPUTED_VALUE"""),"$44,898,413")</f>
        <v>$44,898,413</v>
      </c>
      <c r="E64" s="1">
        <f>IFERROR(__xludf.DUMMYFUNCTION("""COMPUTED_VALUE"""),3651.0)</f>
        <v>3651</v>
      </c>
      <c r="F64" t="str">
        <f>IFERROR(__xludf.DUMMYFUNCTION("""COMPUTED_VALUE"""),"$20,130,142")</f>
        <v>$20,130,142</v>
      </c>
      <c r="G64" s="1">
        <f>IFERROR(__xludf.DUMMYFUNCTION("""COMPUTED_VALUE"""),3651.0)</f>
        <v>3651</v>
      </c>
      <c r="H64" s="2">
        <f>IFERROR(__xludf.DUMMYFUNCTION("""COMPUTED_VALUE"""),43120.0)</f>
        <v>43120</v>
      </c>
      <c r="I64" s="2">
        <f>IFERROR(__xludf.DUMMYFUNCTION("""COMPUTED_VALUE"""),43175.0)</f>
        <v>43175</v>
      </c>
      <c r="J64" t="str">
        <f>IFERROR(__xludf.DUMMYFUNCTION("""COMPUTED_VALUE"""),"/movies/?id=xxx3.htm")</f>
        <v>/movies/?id=xxx3.htm</v>
      </c>
    </row>
    <row r="65">
      <c r="A65">
        <f>IFERROR(__xludf.DUMMYFUNCTION("""COMPUTED_VALUE"""),64.0)</f>
        <v>64</v>
      </c>
      <c r="B65" t="str">
        <f>IFERROR(__xludf.DUMMYFUNCTION("""COMPUTED_VALUE"""),"47 Meters Down")</f>
        <v>47 Meters Down</v>
      </c>
      <c r="C65" t="str">
        <f>IFERROR(__xludf.DUMMYFUNCTION("""COMPUTED_VALUE"""),"ENTMP")</f>
        <v>ENTMP</v>
      </c>
      <c r="D65" t="str">
        <f>IFERROR(__xludf.DUMMYFUNCTION("""COMPUTED_VALUE"""),"$44,307,192")</f>
        <v>$44,307,192</v>
      </c>
      <c r="E65" s="1">
        <f>IFERROR(__xludf.DUMMYFUNCTION("""COMPUTED_VALUE"""),2471.0)</f>
        <v>2471</v>
      </c>
      <c r="F65" t="str">
        <f>IFERROR(__xludf.DUMMYFUNCTION("""COMPUTED_VALUE"""),"$11,205,561")</f>
        <v>$11,205,561</v>
      </c>
      <c r="G65" s="1">
        <f>IFERROR(__xludf.DUMMYFUNCTION("""COMPUTED_VALUE"""),2270.0)</f>
        <v>2270</v>
      </c>
      <c r="H65" s="2">
        <f>IFERROR(__xludf.DUMMYFUNCTION("""COMPUTED_VALUE"""),43267.0)</f>
        <v>43267</v>
      </c>
      <c r="I65" s="2">
        <f>IFERROR(__xludf.DUMMYFUNCTION("""COMPUTED_VALUE"""),43392.0)</f>
        <v>43392</v>
      </c>
      <c r="J65" t="str">
        <f>IFERROR(__xludf.DUMMYFUNCTION("""COMPUTED_VALUE"""),"/movies/?id=47metersdown.htm")</f>
        <v>/movies/?id=47metersdown.htm</v>
      </c>
    </row>
    <row r="66">
      <c r="A66">
        <f>IFERROR(__xludf.DUMMYFUNCTION("""COMPUTED_VALUE"""),65.0)</f>
        <v>65</v>
      </c>
      <c r="B66" t="str">
        <f>IFERROR(__xludf.DUMMYFUNCTION("""COMPUTED_VALUE"""),"The Big Sick")</f>
        <v>The Big Sick</v>
      </c>
      <c r="C66" t="str">
        <f>IFERROR(__xludf.DUMMYFUNCTION("""COMPUTED_VALUE"""),"LGF")</f>
        <v>LGF</v>
      </c>
      <c r="D66" t="str">
        <f>IFERROR(__xludf.DUMMYFUNCTION("""COMPUTED_VALUE"""),"$42,873,127")</f>
        <v>$42,873,127</v>
      </c>
      <c r="E66" s="1">
        <f>IFERROR(__xludf.DUMMYFUNCTION("""COMPUTED_VALUE"""),2597.0)</f>
        <v>2597</v>
      </c>
      <c r="F66" t="str">
        <f>IFERROR(__xludf.DUMMYFUNCTION("""COMPUTED_VALUE"""),"$421,577")</f>
        <v>$421,577</v>
      </c>
      <c r="G66">
        <f>IFERROR(__xludf.DUMMYFUNCTION("""COMPUTED_VALUE"""),5.0)</f>
        <v>5</v>
      </c>
      <c r="H66" s="2">
        <f>IFERROR(__xludf.DUMMYFUNCTION("""COMPUTED_VALUE"""),43274.0)</f>
        <v>43274</v>
      </c>
      <c r="I66" s="2">
        <f>IFERROR(__xludf.DUMMYFUNCTION("""COMPUTED_VALUE"""),43395.0)</f>
        <v>43395</v>
      </c>
      <c r="J66" t="str">
        <f>IFERROR(__xludf.DUMMYFUNCTION("""COMPUTED_VALUE"""),"/movies/?id=thebigsick.htm")</f>
        <v>/movies/?id=thebigsick.htm</v>
      </c>
    </row>
    <row r="67">
      <c r="A67">
        <f>IFERROR(__xludf.DUMMYFUNCTION("""COMPUTED_VALUE"""),66.0)</f>
        <v>66</v>
      </c>
      <c r="B67" t="str">
        <f>IFERROR(__xludf.DUMMYFUNCTION("""COMPUTED_VALUE"""),"Valerian and the City of a Thousand Planets")</f>
        <v>Valerian and the City of a Thousand Planets</v>
      </c>
      <c r="C67" t="str">
        <f>IFERROR(__xludf.DUMMYFUNCTION("""COMPUTED_VALUE"""),"STX")</f>
        <v>STX</v>
      </c>
      <c r="D67" t="str">
        <f>IFERROR(__xludf.DUMMYFUNCTION("""COMPUTED_VALUE"""),"$41,189,488")</f>
        <v>$41,189,488</v>
      </c>
      <c r="E67" s="1">
        <f>IFERROR(__xludf.DUMMYFUNCTION("""COMPUTED_VALUE"""),3553.0)</f>
        <v>3553</v>
      </c>
      <c r="F67" t="str">
        <f>IFERROR(__xludf.DUMMYFUNCTION("""COMPUTED_VALUE"""),"$17,007,624")</f>
        <v>$17,007,624</v>
      </c>
      <c r="G67" s="1">
        <f>IFERROR(__xludf.DUMMYFUNCTION("""COMPUTED_VALUE"""),3553.0)</f>
        <v>3553</v>
      </c>
      <c r="H67" s="2">
        <f>IFERROR(__xludf.DUMMYFUNCTION("""COMPUTED_VALUE"""),43302.0)</f>
        <v>43302</v>
      </c>
      <c r="I67" s="2">
        <f>IFERROR(__xludf.DUMMYFUNCTION("""COMPUTED_VALUE"""),43364.0)</f>
        <v>43364</v>
      </c>
      <c r="J67" t="str">
        <f>IFERROR(__xludf.DUMMYFUNCTION("""COMPUTED_VALUE"""),"/movies/?id=valerian.htm")</f>
        <v>/movies/?id=valerian.htm</v>
      </c>
    </row>
    <row r="68">
      <c r="A68">
        <f>IFERROR(__xludf.DUMMYFUNCTION("""COMPUTED_VALUE"""),67.0)</f>
        <v>67</v>
      </c>
      <c r="B68" t="str">
        <f>IFERROR(__xludf.DUMMYFUNCTION("""COMPUTED_VALUE"""),"The Star")</f>
        <v>The Star</v>
      </c>
      <c r="C68" t="str">
        <f>IFERROR(__xludf.DUMMYFUNCTION("""COMPUTED_VALUE"""),"Sony")</f>
        <v>Sony</v>
      </c>
      <c r="D68" t="str">
        <f>IFERROR(__xludf.DUMMYFUNCTION("""COMPUTED_VALUE"""),"$40,852,824")</f>
        <v>$40,852,824</v>
      </c>
      <c r="E68" s="1">
        <f>IFERROR(__xludf.DUMMYFUNCTION("""COMPUTED_VALUE"""),2976.0)</f>
        <v>2976</v>
      </c>
      <c r="F68" t="str">
        <f>IFERROR(__xludf.DUMMYFUNCTION("""COMPUTED_VALUE"""),"$9,812,674")</f>
        <v>$9,812,674</v>
      </c>
      <c r="G68" s="1">
        <f>IFERROR(__xludf.DUMMYFUNCTION("""COMPUTED_VALUE"""),2837.0)</f>
        <v>2837</v>
      </c>
      <c r="H68" s="2">
        <f>IFERROR(__xludf.DUMMYFUNCTION("""COMPUTED_VALUE"""),43421.0)</f>
        <v>43421</v>
      </c>
      <c r="I68" s="2">
        <f>IFERROR(__xludf.DUMMYFUNCTION("""COMPUTED_VALUE"""),43146.0)</f>
        <v>43146</v>
      </c>
      <c r="J68" t="str">
        <f>IFERROR(__xludf.DUMMYFUNCTION("""COMPUTED_VALUE"""),"/movies/?id=thelamb.htm")</f>
        <v>/movies/?id=thelamb.htm</v>
      </c>
    </row>
    <row r="69">
      <c r="A69">
        <f>IFERROR(__xludf.DUMMYFUNCTION("""COMPUTED_VALUE"""),68.0)</f>
        <v>68</v>
      </c>
      <c r="B69" t="str">
        <f>IFERROR(__xludf.DUMMYFUNCTION("""COMPUTED_VALUE"""),"Ghost in the Shell (2017)")</f>
        <v>Ghost in the Shell (2017)</v>
      </c>
      <c r="C69" t="str">
        <f>IFERROR(__xludf.DUMMYFUNCTION("""COMPUTED_VALUE"""),"Par.")</f>
        <v>Par.</v>
      </c>
      <c r="D69" t="str">
        <f>IFERROR(__xludf.DUMMYFUNCTION("""COMPUTED_VALUE"""),"$40,563,557")</f>
        <v>$40,563,557</v>
      </c>
      <c r="E69" s="1">
        <f>IFERROR(__xludf.DUMMYFUNCTION("""COMPUTED_VALUE"""),3440.0)</f>
        <v>3440</v>
      </c>
      <c r="F69" t="str">
        <f>IFERROR(__xludf.DUMMYFUNCTION("""COMPUTED_VALUE"""),"$18,676,033")</f>
        <v>$18,676,033</v>
      </c>
      <c r="G69" s="1">
        <f>IFERROR(__xludf.DUMMYFUNCTION("""COMPUTED_VALUE"""),3440.0)</f>
        <v>3440</v>
      </c>
      <c r="H69" s="2">
        <f>IFERROR(__xludf.DUMMYFUNCTION("""COMPUTED_VALUE"""),43190.0)</f>
        <v>43190</v>
      </c>
      <c r="I69" s="2">
        <f>IFERROR(__xludf.DUMMYFUNCTION("""COMPUTED_VALUE"""),43245.0)</f>
        <v>43245</v>
      </c>
      <c r="J69" t="str">
        <f>IFERROR(__xludf.DUMMYFUNCTION("""COMPUTED_VALUE"""),"/movies/?id=ghostintheshell2017.htm")</f>
        <v>/movies/?id=ghostintheshell2017.htm</v>
      </c>
    </row>
    <row r="70">
      <c r="A70">
        <f>IFERROR(__xludf.DUMMYFUNCTION("""COMPUTED_VALUE"""),69.0)</f>
        <v>69</v>
      </c>
      <c r="B70" t="str">
        <f>IFERROR(__xludf.DUMMYFUNCTION("""COMPUTED_VALUE"""),"King Arthur: Legend of the Sword")</f>
        <v>King Arthur: Legend of the Sword</v>
      </c>
      <c r="C70" t="str">
        <f>IFERROR(__xludf.DUMMYFUNCTION("""COMPUTED_VALUE"""),"WB")</f>
        <v>WB</v>
      </c>
      <c r="D70" t="str">
        <f>IFERROR(__xludf.DUMMYFUNCTION("""COMPUTED_VALUE"""),"$39,175,066")</f>
        <v>$39,175,066</v>
      </c>
      <c r="E70" s="1">
        <f>IFERROR(__xludf.DUMMYFUNCTION("""COMPUTED_VALUE"""),3702.0)</f>
        <v>3702</v>
      </c>
      <c r="F70" t="str">
        <f>IFERROR(__xludf.DUMMYFUNCTION("""COMPUTED_VALUE"""),"$15,371,270")</f>
        <v>$15,371,270</v>
      </c>
      <c r="G70" s="1">
        <f>IFERROR(__xludf.DUMMYFUNCTION("""COMPUTED_VALUE"""),3702.0)</f>
        <v>3702</v>
      </c>
      <c r="H70" s="2">
        <f>IFERROR(__xludf.DUMMYFUNCTION("""COMPUTED_VALUE"""),43232.0)</f>
        <v>43232</v>
      </c>
      <c r="I70" s="2">
        <f>IFERROR(__xludf.DUMMYFUNCTION("""COMPUTED_VALUE"""),43301.0)</f>
        <v>43301</v>
      </c>
      <c r="J70" t="str">
        <f>IFERROR(__xludf.DUMMYFUNCTION("""COMPUTED_VALUE"""),"/movies/?id=kingarthur2016.htm")</f>
        <v>/movies/?id=kingarthur2016.htm</v>
      </c>
    </row>
    <row r="71">
      <c r="A71">
        <f>IFERROR(__xludf.DUMMYFUNCTION("""COMPUTED_VALUE"""),70.0)</f>
        <v>70</v>
      </c>
      <c r="B71" t="str">
        <f>IFERROR(__xludf.DUMMYFUNCTION("""COMPUTED_VALUE"""),"Jigsaw")</f>
        <v>Jigsaw</v>
      </c>
      <c r="C71" t="str">
        <f>IFERROR(__xludf.DUMMYFUNCTION("""COMPUTED_VALUE"""),"LGF")</f>
        <v>LGF</v>
      </c>
      <c r="D71" t="str">
        <f>IFERROR(__xludf.DUMMYFUNCTION("""COMPUTED_VALUE"""),"$38,052,832")</f>
        <v>$38,052,832</v>
      </c>
      <c r="E71" s="1">
        <f>IFERROR(__xludf.DUMMYFUNCTION("""COMPUTED_VALUE"""),2941.0)</f>
        <v>2941</v>
      </c>
      <c r="F71" t="str">
        <f>IFERROR(__xludf.DUMMYFUNCTION("""COMPUTED_VALUE"""),"$16,640,452")</f>
        <v>$16,640,452</v>
      </c>
      <c r="G71" s="1">
        <f>IFERROR(__xludf.DUMMYFUNCTION("""COMPUTED_VALUE"""),2941.0)</f>
        <v>2941</v>
      </c>
      <c r="H71" s="2">
        <f>IFERROR(__xludf.DUMMYFUNCTION("""COMPUTED_VALUE"""),43400.0)</f>
        <v>43400</v>
      </c>
      <c r="I71" s="2">
        <f>IFERROR(__xludf.DUMMYFUNCTION("""COMPUTED_VALUE"""),43455.0)</f>
        <v>43455</v>
      </c>
      <c r="J71" t="str">
        <f>IFERROR(__xludf.DUMMYFUNCTION("""COMPUTED_VALUE"""),"/movies/?id=saw2017.htm")</f>
        <v>/movies/?id=saw2017.htm</v>
      </c>
    </row>
    <row r="72">
      <c r="A72">
        <f>IFERROR(__xludf.DUMMYFUNCTION("""COMPUTED_VALUE"""),71.0)</f>
        <v>71</v>
      </c>
      <c r="B72" t="str">
        <f>IFERROR(__xludf.DUMMYFUNCTION("""COMPUTED_VALUE"""),"American Assassin")</f>
        <v>American Assassin</v>
      </c>
      <c r="C72" t="str">
        <f>IFERROR(__xludf.DUMMYFUNCTION("""COMPUTED_VALUE"""),"LGF")</f>
        <v>LGF</v>
      </c>
      <c r="D72" t="str">
        <f>IFERROR(__xludf.DUMMYFUNCTION("""COMPUTED_VALUE"""),"$36,249,674")</f>
        <v>$36,249,674</v>
      </c>
      <c r="E72" s="1">
        <f>IFERROR(__xludf.DUMMYFUNCTION("""COMPUTED_VALUE"""),3154.0)</f>
        <v>3154</v>
      </c>
      <c r="F72" t="str">
        <f>IFERROR(__xludf.DUMMYFUNCTION("""COMPUTED_VALUE"""),"$14,846,778")</f>
        <v>$14,846,778</v>
      </c>
      <c r="G72" s="1">
        <f>IFERROR(__xludf.DUMMYFUNCTION("""COMPUTED_VALUE"""),3154.0)</f>
        <v>3154</v>
      </c>
      <c r="H72" s="2">
        <f>IFERROR(__xludf.DUMMYFUNCTION("""COMPUTED_VALUE"""),43358.0)</f>
        <v>43358</v>
      </c>
      <c r="I72" s="2">
        <f>IFERROR(__xludf.DUMMYFUNCTION("""COMPUTED_VALUE"""),43413.0)</f>
        <v>43413</v>
      </c>
      <c r="J72" t="str">
        <f>IFERROR(__xludf.DUMMYFUNCTION("""COMPUTED_VALUE"""),"/movies/?id=americanassassin.htm")</f>
        <v>/movies/?id=americanassassin.htm</v>
      </c>
    </row>
    <row r="73">
      <c r="A73">
        <f>IFERROR(__xludf.DUMMYFUNCTION("""COMPUTED_VALUE"""),72.0)</f>
        <v>72</v>
      </c>
      <c r="B73" t="str">
        <f>IFERROR(__xludf.DUMMYFUNCTION("""COMPUTED_VALUE"""),"The Foreigner")</f>
        <v>The Foreigner</v>
      </c>
      <c r="C73" t="str">
        <f>IFERROR(__xludf.DUMMYFUNCTION("""COMPUTED_VALUE"""),"STX")</f>
        <v>STX</v>
      </c>
      <c r="D73" t="str">
        <f>IFERROR(__xludf.DUMMYFUNCTION("""COMPUTED_VALUE"""),"$34,393,507")</f>
        <v>$34,393,507</v>
      </c>
      <c r="E73" s="1">
        <f>IFERROR(__xludf.DUMMYFUNCTION("""COMPUTED_VALUE"""),2515.0)</f>
        <v>2515</v>
      </c>
      <c r="F73" t="str">
        <f>IFERROR(__xludf.DUMMYFUNCTION("""COMPUTED_VALUE"""),"$13,113,024")</f>
        <v>$13,113,024</v>
      </c>
      <c r="G73" s="1">
        <f>IFERROR(__xludf.DUMMYFUNCTION("""COMPUTED_VALUE"""),2515.0)</f>
        <v>2515</v>
      </c>
      <c r="H73" s="2">
        <f>IFERROR(__xludf.DUMMYFUNCTION("""COMPUTED_VALUE"""),43386.0)</f>
        <v>43386</v>
      </c>
      <c r="I73" s="2">
        <f>IFERROR(__xludf.DUMMYFUNCTION("""COMPUTED_VALUE"""),43455.0)</f>
        <v>43455</v>
      </c>
      <c r="J73" t="str">
        <f>IFERROR(__xludf.DUMMYFUNCTION("""COMPUTED_VALUE"""),"/movies/?id=theforeigner.htm")</f>
        <v>/movies/?id=theforeigner.htm</v>
      </c>
    </row>
    <row r="74">
      <c r="A74">
        <f>IFERROR(__xludf.DUMMYFUNCTION("""COMPUTED_VALUE"""),73.0)</f>
        <v>73</v>
      </c>
      <c r="B74" t="str">
        <f>IFERROR(__xludf.DUMMYFUNCTION("""COMPUTED_VALUE"""),"Everything, Everything")</f>
        <v>Everything, Everything</v>
      </c>
      <c r="C74" t="str">
        <f>IFERROR(__xludf.DUMMYFUNCTION("""COMPUTED_VALUE"""),"WB")</f>
        <v>WB</v>
      </c>
      <c r="D74" t="str">
        <f>IFERROR(__xludf.DUMMYFUNCTION("""COMPUTED_VALUE"""),"$34,121,140")</f>
        <v>$34,121,140</v>
      </c>
      <c r="E74" s="1">
        <f>IFERROR(__xludf.DUMMYFUNCTION("""COMPUTED_VALUE"""),2801.0)</f>
        <v>2801</v>
      </c>
      <c r="F74" t="str">
        <f>IFERROR(__xludf.DUMMYFUNCTION("""COMPUTED_VALUE"""),"$11,727,390")</f>
        <v>$11,727,390</v>
      </c>
      <c r="G74" s="1">
        <f>IFERROR(__xludf.DUMMYFUNCTION("""COMPUTED_VALUE"""),2801.0)</f>
        <v>2801</v>
      </c>
      <c r="H74" s="2">
        <f>IFERROR(__xludf.DUMMYFUNCTION("""COMPUTED_VALUE"""),43239.0)</f>
        <v>43239</v>
      </c>
      <c r="I74" s="2">
        <f>IFERROR(__xludf.DUMMYFUNCTION("""COMPUTED_VALUE"""),43308.0)</f>
        <v>43308</v>
      </c>
      <c r="J74" t="str">
        <f>IFERROR(__xludf.DUMMYFUNCTION("""COMPUTED_VALUE"""),"/movies/?id=everythingeverything.htm")</f>
        <v>/movies/?id=everythingeverything.htm</v>
      </c>
    </row>
    <row r="75">
      <c r="A75">
        <f>IFERROR(__xludf.DUMMYFUNCTION("""COMPUTED_VALUE"""),74.0)</f>
        <v>74</v>
      </c>
      <c r="B75" t="str">
        <f>IFERROR(__xludf.DUMMYFUNCTION("""COMPUTED_VALUE"""),"Wind River")</f>
        <v>Wind River</v>
      </c>
      <c r="C75" t="str">
        <f>IFERROR(__xludf.DUMMYFUNCTION("""COMPUTED_VALUE"""),"Wein.")</f>
        <v>Wein.</v>
      </c>
      <c r="D75" t="str">
        <f>IFERROR(__xludf.DUMMYFUNCTION("""COMPUTED_VALUE"""),"$33,800,859")</f>
        <v>$33,800,859</v>
      </c>
      <c r="E75" s="1">
        <f>IFERROR(__xludf.DUMMYFUNCTION("""COMPUTED_VALUE"""),2890.0)</f>
        <v>2890</v>
      </c>
      <c r="F75" t="str">
        <f>IFERROR(__xludf.DUMMYFUNCTION("""COMPUTED_VALUE"""),"$161,558")</f>
        <v>$161,558</v>
      </c>
      <c r="G75">
        <f>IFERROR(__xludf.DUMMYFUNCTION("""COMPUTED_VALUE"""),4.0)</f>
        <v>4</v>
      </c>
      <c r="H75" s="2">
        <f>IFERROR(__xludf.DUMMYFUNCTION("""COMPUTED_VALUE"""),43316.0)</f>
        <v>43316</v>
      </c>
      <c r="I75" s="2">
        <f>IFERROR(__xludf.DUMMYFUNCTION("""COMPUTED_VALUE"""),43441.0)</f>
        <v>43441</v>
      </c>
      <c r="J75" t="str">
        <f>IFERROR(__xludf.DUMMYFUNCTION("""COMPUTED_VALUE"""),"/movies/?id=windriver.htm")</f>
        <v>/movies/?id=windriver.htm</v>
      </c>
    </row>
    <row r="76">
      <c r="A76">
        <f>IFERROR(__xludf.DUMMYFUNCTION("""COMPUTED_VALUE"""),75.0)</f>
        <v>75</v>
      </c>
      <c r="B76" t="str">
        <f>IFERROR(__xludf.DUMMYFUNCTION("""COMPUTED_VALUE"""),"Geostorm")</f>
        <v>Geostorm</v>
      </c>
      <c r="C76" t="str">
        <f>IFERROR(__xludf.DUMMYFUNCTION("""COMPUTED_VALUE"""),"WB")</f>
        <v>WB</v>
      </c>
      <c r="D76" t="str">
        <f>IFERROR(__xludf.DUMMYFUNCTION("""COMPUTED_VALUE"""),"$33,700,160")</f>
        <v>$33,700,160</v>
      </c>
      <c r="E76" s="1">
        <f>IFERROR(__xludf.DUMMYFUNCTION("""COMPUTED_VALUE"""),3246.0)</f>
        <v>3246</v>
      </c>
      <c r="F76" t="str">
        <f>IFERROR(__xludf.DUMMYFUNCTION("""COMPUTED_VALUE"""),"$13,707,376")</f>
        <v>$13,707,376</v>
      </c>
      <c r="G76" s="1">
        <f>IFERROR(__xludf.DUMMYFUNCTION("""COMPUTED_VALUE"""),3246.0)</f>
        <v>3246</v>
      </c>
      <c r="H76" s="2">
        <f>IFERROR(__xludf.DUMMYFUNCTION("""COMPUTED_VALUE"""),43393.0)</f>
        <v>43393</v>
      </c>
      <c r="I76" s="2">
        <f>IFERROR(__xludf.DUMMYFUNCTION("""COMPUTED_VALUE"""),43111.0)</f>
        <v>43111</v>
      </c>
      <c r="J76" t="str">
        <f>IFERROR(__xludf.DUMMYFUNCTION("""COMPUTED_VALUE"""),"/movies/?id=geostorm.htm")</f>
        <v>/movies/?id=geostorm.htm</v>
      </c>
    </row>
    <row r="77">
      <c r="A77">
        <f>IFERROR(__xludf.DUMMYFUNCTION("""COMPUTED_VALUE"""),76.0)</f>
        <v>76</v>
      </c>
      <c r="B77" t="str">
        <f>IFERROR(__xludf.DUMMYFUNCTION("""COMPUTED_VALUE"""),"Monster Trucks")</f>
        <v>Monster Trucks</v>
      </c>
      <c r="C77" t="str">
        <f>IFERROR(__xludf.DUMMYFUNCTION("""COMPUTED_VALUE"""),"Par.")</f>
        <v>Par.</v>
      </c>
      <c r="D77" t="str">
        <f>IFERROR(__xludf.DUMMYFUNCTION("""COMPUTED_VALUE"""),"$33,370,166")</f>
        <v>$33,370,166</v>
      </c>
      <c r="E77" s="1">
        <f>IFERROR(__xludf.DUMMYFUNCTION("""COMPUTED_VALUE"""),3119.0)</f>
        <v>3119</v>
      </c>
      <c r="F77" t="str">
        <f>IFERROR(__xludf.DUMMYFUNCTION("""COMPUTED_VALUE"""),"$10,950,705")</f>
        <v>$10,950,705</v>
      </c>
      <c r="G77" s="1">
        <f>IFERROR(__xludf.DUMMYFUNCTION("""COMPUTED_VALUE"""),3119.0)</f>
        <v>3119</v>
      </c>
      <c r="H77" s="2">
        <f>IFERROR(__xludf.DUMMYFUNCTION("""COMPUTED_VALUE"""),43113.0)</f>
        <v>43113</v>
      </c>
      <c r="I77" s="2">
        <f>IFERROR(__xludf.DUMMYFUNCTION("""COMPUTED_VALUE"""),43175.0)</f>
        <v>43175</v>
      </c>
      <c r="J77" t="str">
        <f>IFERROR(__xludf.DUMMYFUNCTION("""COMPUTED_VALUE"""),"/movies/?id=monstertrucks.htm")</f>
        <v>/movies/?id=monstertrucks.htm</v>
      </c>
    </row>
    <row r="78">
      <c r="A78">
        <f>IFERROR(__xludf.DUMMYFUNCTION("""COMPUTED_VALUE"""),77.0)</f>
        <v>77</v>
      </c>
      <c r="B78" t="str">
        <f>IFERROR(__xludf.DUMMYFUNCTION("""COMPUTED_VALUE"""),"Fist Fight")</f>
        <v>Fist Fight</v>
      </c>
      <c r="C78" t="str">
        <f>IFERROR(__xludf.DUMMYFUNCTION("""COMPUTED_VALUE"""),"WB (NL)")</f>
        <v>WB (NL)</v>
      </c>
      <c r="D78" t="str">
        <f>IFERROR(__xludf.DUMMYFUNCTION("""COMPUTED_VALUE"""),"$32,187,017")</f>
        <v>$32,187,017</v>
      </c>
      <c r="E78" s="1">
        <f>IFERROR(__xludf.DUMMYFUNCTION("""COMPUTED_VALUE"""),3185.0)</f>
        <v>3185</v>
      </c>
      <c r="F78" t="str">
        <f>IFERROR(__xludf.DUMMYFUNCTION("""COMPUTED_VALUE"""),"$12,201,873")</f>
        <v>$12,201,873</v>
      </c>
      <c r="G78" s="1">
        <f>IFERROR(__xludf.DUMMYFUNCTION("""COMPUTED_VALUE"""),3185.0)</f>
        <v>3185</v>
      </c>
      <c r="H78" s="2">
        <f>IFERROR(__xludf.DUMMYFUNCTION("""COMPUTED_VALUE"""),43148.0)</f>
        <v>43148</v>
      </c>
      <c r="I78" s="2">
        <f>IFERROR(__xludf.DUMMYFUNCTION("""COMPUTED_VALUE"""),43203.0)</f>
        <v>43203</v>
      </c>
      <c r="J78" t="str">
        <f>IFERROR(__xludf.DUMMYFUNCTION("""COMPUTED_VALUE"""),"/movies/?id=fistfight.htm")</f>
        <v>/movies/?id=fistfight.htm</v>
      </c>
    </row>
    <row r="79">
      <c r="A79">
        <f>IFERROR(__xludf.DUMMYFUNCTION("""COMPUTED_VALUE"""),78.0)</f>
        <v>78</v>
      </c>
      <c r="B79" t="str">
        <f>IFERROR(__xludf.DUMMYFUNCTION("""COMPUTED_VALUE"""),"How to be a Latin Lover")</f>
        <v>How to be a Latin Lover</v>
      </c>
      <c r="C79" t="str">
        <f>IFERROR(__xludf.DUMMYFUNCTION("""COMPUTED_VALUE"""),"PNT")</f>
        <v>PNT</v>
      </c>
      <c r="D79" t="str">
        <f>IFERROR(__xludf.DUMMYFUNCTION("""COMPUTED_VALUE"""),"$32,149,404")</f>
        <v>$32,149,404</v>
      </c>
      <c r="E79" s="1">
        <f>IFERROR(__xludf.DUMMYFUNCTION("""COMPUTED_VALUE"""),1203.0)</f>
        <v>1203</v>
      </c>
      <c r="F79" t="str">
        <f>IFERROR(__xludf.DUMMYFUNCTION("""COMPUTED_VALUE"""),"$12,252,439")</f>
        <v>$12,252,439</v>
      </c>
      <c r="G79" s="1">
        <f>IFERROR(__xludf.DUMMYFUNCTION("""COMPUTED_VALUE"""),1118.0)</f>
        <v>1118</v>
      </c>
      <c r="H79" s="2">
        <f>IFERROR(__xludf.DUMMYFUNCTION("""COMPUTED_VALUE"""),43218.0)</f>
        <v>43218</v>
      </c>
      <c r="I79" s="2">
        <f>IFERROR(__xludf.DUMMYFUNCTION("""COMPUTED_VALUE"""),43273.0)</f>
        <v>43273</v>
      </c>
      <c r="J79" t="str">
        <f>IFERROR(__xludf.DUMMYFUNCTION("""COMPUTED_VALUE"""),"/movies/?id=howtobealatinlover.htm")</f>
        <v>/movies/?id=howtobealatinlover.htm</v>
      </c>
    </row>
    <row r="80">
      <c r="A80">
        <f>IFERROR(__xludf.DUMMYFUNCTION("""COMPUTED_VALUE"""),79.0)</f>
        <v>79</v>
      </c>
      <c r="B80" t="str">
        <f>IFERROR(__xludf.DUMMYFUNCTION("""COMPUTED_VALUE"""),"Kidnap (2017)")</f>
        <v>Kidnap (2017)</v>
      </c>
      <c r="C80" t="str">
        <f>IFERROR(__xludf.DUMMYFUNCTION("""COMPUTED_VALUE"""),"Aviron")</f>
        <v>Aviron</v>
      </c>
      <c r="D80" t="str">
        <f>IFERROR(__xludf.DUMMYFUNCTION("""COMPUTED_VALUE"""),"$30,718,107")</f>
        <v>$30,718,107</v>
      </c>
      <c r="E80" s="1">
        <f>IFERROR(__xludf.DUMMYFUNCTION("""COMPUTED_VALUE"""),2418.0)</f>
        <v>2418</v>
      </c>
      <c r="F80" t="str">
        <f>IFERROR(__xludf.DUMMYFUNCTION("""COMPUTED_VALUE"""),"$10,016,323")</f>
        <v>$10,016,323</v>
      </c>
      <c r="G80" s="1">
        <f>IFERROR(__xludf.DUMMYFUNCTION("""COMPUTED_VALUE"""),2378.0)</f>
        <v>2378</v>
      </c>
      <c r="H80" s="2">
        <f>IFERROR(__xludf.DUMMYFUNCTION("""COMPUTED_VALUE"""),43316.0)</f>
        <v>43316</v>
      </c>
      <c r="I80" s="2">
        <f>IFERROR(__xludf.DUMMYFUNCTION("""COMPUTED_VALUE"""),43420.0)</f>
        <v>43420</v>
      </c>
      <c r="J80" t="str">
        <f>IFERROR(__xludf.DUMMYFUNCTION("""COMPUTED_VALUE"""),"/movies/?id=kidnap2015.htm")</f>
        <v>/movies/?id=kidnap2015.htm</v>
      </c>
    </row>
    <row r="81">
      <c r="A81">
        <f>IFERROR(__xludf.DUMMYFUNCTION("""COMPUTED_VALUE"""),80.0)</f>
        <v>80</v>
      </c>
      <c r="B81" t="str">
        <f>IFERROR(__xludf.DUMMYFUNCTION("""COMPUTED_VALUE"""),"Underworld: Blood Wars")</f>
        <v>Underworld: Blood Wars</v>
      </c>
      <c r="C81" t="str">
        <f>IFERROR(__xludf.DUMMYFUNCTION("""COMPUTED_VALUE"""),"SGem")</f>
        <v>SGem</v>
      </c>
      <c r="D81" t="str">
        <f>IFERROR(__xludf.DUMMYFUNCTION("""COMPUTED_VALUE"""),"$30,353,973")</f>
        <v>$30,353,973</v>
      </c>
      <c r="E81" s="1">
        <f>IFERROR(__xludf.DUMMYFUNCTION("""COMPUTED_VALUE"""),3070.0)</f>
        <v>3070</v>
      </c>
      <c r="F81" t="str">
        <f>IFERROR(__xludf.DUMMYFUNCTION("""COMPUTED_VALUE"""),"$13,688,751")</f>
        <v>$13,688,751</v>
      </c>
      <c r="G81" s="1">
        <f>IFERROR(__xludf.DUMMYFUNCTION("""COMPUTED_VALUE"""),3070.0)</f>
        <v>3070</v>
      </c>
      <c r="H81" s="2">
        <f>IFERROR(__xludf.DUMMYFUNCTION("""COMPUTED_VALUE"""),43106.0)</f>
        <v>43106</v>
      </c>
      <c r="I81" s="2">
        <f>IFERROR(__xludf.DUMMYFUNCTION("""COMPUTED_VALUE"""),43168.0)</f>
        <v>43168</v>
      </c>
      <c r="J81" t="str">
        <f>IFERROR(__xludf.DUMMYFUNCTION("""COMPUTED_VALUE"""),"/movies/?id=underworld5.htm")</f>
        <v>/movies/?id=underworld5.htm</v>
      </c>
    </row>
    <row r="82">
      <c r="A82">
        <f>IFERROR(__xludf.DUMMYFUNCTION("""COMPUTED_VALUE"""),81.0)</f>
        <v>81</v>
      </c>
      <c r="B82" t="str">
        <f>IFERROR(__xludf.DUMMYFUNCTION("""COMPUTED_VALUE"""),"The Mountain Between Us")</f>
        <v>The Mountain Between Us</v>
      </c>
      <c r="C82" t="str">
        <f>IFERROR(__xludf.DUMMYFUNCTION("""COMPUTED_VALUE"""),"Fox")</f>
        <v>Fox</v>
      </c>
      <c r="D82" t="str">
        <f>IFERROR(__xludf.DUMMYFUNCTION("""COMPUTED_VALUE"""),"$30,348,555")</f>
        <v>$30,348,555</v>
      </c>
      <c r="E82" s="1">
        <f>IFERROR(__xludf.DUMMYFUNCTION("""COMPUTED_VALUE"""),3259.0)</f>
        <v>3259</v>
      </c>
      <c r="F82" t="str">
        <f>IFERROR(__xludf.DUMMYFUNCTION("""COMPUTED_VALUE"""),"$10,551,336")</f>
        <v>$10,551,336</v>
      </c>
      <c r="G82" s="1">
        <f>IFERROR(__xludf.DUMMYFUNCTION("""COMPUTED_VALUE"""),3088.0)</f>
        <v>3088</v>
      </c>
      <c r="H82" s="2">
        <f>IFERROR(__xludf.DUMMYFUNCTION("""COMPUTED_VALUE"""),43379.0)</f>
        <v>43379</v>
      </c>
      <c r="I82" s="2">
        <f>IFERROR(__xludf.DUMMYFUNCTION("""COMPUTED_VALUE"""),43455.0)</f>
        <v>43455</v>
      </c>
      <c r="J82" t="str">
        <f>IFERROR(__xludf.DUMMYFUNCTION("""COMPUTED_VALUE"""),"/movies/?id=mountainbetweenus.htm")</f>
        <v>/movies/?id=mountainbetweenus.htm</v>
      </c>
    </row>
    <row r="83">
      <c r="A83">
        <f>IFERROR(__xludf.DUMMYFUNCTION("""COMPUTED_VALUE"""),82.0)</f>
        <v>82</v>
      </c>
      <c r="B83" t="str">
        <f>IFERROR(__xludf.DUMMYFUNCTION("""COMPUTED_VALUE"""),"Life (2017)")</f>
        <v>Life (2017)</v>
      </c>
      <c r="C83" t="str">
        <f>IFERROR(__xludf.DUMMYFUNCTION("""COMPUTED_VALUE"""),"Sony")</f>
        <v>Sony</v>
      </c>
      <c r="D83" t="str">
        <f>IFERROR(__xludf.DUMMYFUNCTION("""COMPUTED_VALUE"""),"$30,234,022")</f>
        <v>$30,234,022</v>
      </c>
      <c r="E83" s="1">
        <f>IFERROR(__xludf.DUMMYFUNCTION("""COMPUTED_VALUE"""),3146.0)</f>
        <v>3146</v>
      </c>
      <c r="F83" t="str">
        <f>IFERROR(__xludf.DUMMYFUNCTION("""COMPUTED_VALUE"""),"$12,501,936")</f>
        <v>$12,501,936</v>
      </c>
      <c r="G83" s="1">
        <f>IFERROR(__xludf.DUMMYFUNCTION("""COMPUTED_VALUE"""),3146.0)</f>
        <v>3146</v>
      </c>
      <c r="H83" s="2">
        <f>IFERROR(__xludf.DUMMYFUNCTION("""COMPUTED_VALUE"""),43183.0)</f>
        <v>43183</v>
      </c>
      <c r="I83" s="2">
        <f>IFERROR(__xludf.DUMMYFUNCTION("""COMPUTED_VALUE"""),43252.0)</f>
        <v>43252</v>
      </c>
      <c r="J83" t="str">
        <f>IFERROR(__xludf.DUMMYFUNCTION("""COMPUTED_VALUE"""),"/movies/?id=life2017.htm")</f>
        <v>/movies/?id=life2017.htm</v>
      </c>
    </row>
    <row r="84">
      <c r="A84">
        <f>IFERROR(__xludf.DUMMYFUNCTION("""COMPUTED_VALUE"""),83.0)</f>
        <v>83</v>
      </c>
      <c r="B84" t="str">
        <f>IFERROR(__xludf.DUMMYFUNCTION("""COMPUTED_VALUE"""),"I, Tonya")</f>
        <v>I, Tonya</v>
      </c>
      <c r="C84" t="str">
        <f>IFERROR(__xludf.DUMMYFUNCTION("""COMPUTED_VALUE"""),"Neon")</f>
        <v>Neon</v>
      </c>
      <c r="D84" t="str">
        <f>IFERROR(__xludf.DUMMYFUNCTION("""COMPUTED_VALUE"""),"$30,014,539")</f>
        <v>$30,014,539</v>
      </c>
      <c r="E84" s="1">
        <f>IFERROR(__xludf.DUMMYFUNCTION("""COMPUTED_VALUE"""),1450.0)</f>
        <v>1450</v>
      </c>
      <c r="F84" t="str">
        <f>IFERROR(__xludf.DUMMYFUNCTION("""COMPUTED_VALUE"""),"$264,155")</f>
        <v>$264,155</v>
      </c>
      <c r="G84">
        <f>IFERROR(__xludf.DUMMYFUNCTION("""COMPUTED_VALUE"""),4.0)</f>
        <v>4</v>
      </c>
      <c r="H84" s="2">
        <f>IFERROR(__xludf.DUMMYFUNCTION("""COMPUTED_VALUE"""),43442.0)</f>
        <v>43442</v>
      </c>
      <c r="I84" s="2">
        <f>IFERROR(__xludf.DUMMYFUNCTION("""COMPUTED_VALUE"""),43209.0)</f>
        <v>43209</v>
      </c>
      <c r="J84" t="str">
        <f>IFERROR(__xludf.DUMMYFUNCTION("""COMPUTED_VALUE"""),"/movies/?id=itonya.htm")</f>
        <v>/movies/?id=itonya.htm</v>
      </c>
    </row>
    <row r="85">
      <c r="A85">
        <f>IFERROR(__xludf.DUMMYFUNCTION("""COMPUTED_VALUE"""),84.0)</f>
        <v>84</v>
      </c>
      <c r="B85" t="str">
        <f>IFERROR(__xludf.DUMMYFUNCTION("""COMPUTED_VALUE"""),"Hostiles")</f>
        <v>Hostiles</v>
      </c>
      <c r="C85" t="str">
        <f>IFERROR(__xludf.DUMMYFUNCTION("""COMPUTED_VALUE"""),"ENTMP")</f>
        <v>ENTMP</v>
      </c>
      <c r="D85" t="str">
        <f>IFERROR(__xludf.DUMMYFUNCTION("""COMPUTED_VALUE"""),"$29,819,114")</f>
        <v>$29,819,114</v>
      </c>
      <c r="E85" s="1">
        <f>IFERROR(__xludf.DUMMYFUNCTION("""COMPUTED_VALUE"""),2934.0)</f>
        <v>2934</v>
      </c>
      <c r="F85" t="str">
        <f>IFERROR(__xludf.DUMMYFUNCTION("""COMPUTED_VALUE"""),"$22,849")</f>
        <v>$22,849</v>
      </c>
      <c r="G85">
        <f>IFERROR(__xludf.DUMMYFUNCTION("""COMPUTED_VALUE"""),3.0)</f>
        <v>3</v>
      </c>
      <c r="H85" s="2">
        <f>IFERROR(__xludf.DUMMYFUNCTION("""COMPUTED_VALUE"""),43456.0)</f>
        <v>43456</v>
      </c>
      <c r="I85" s="2">
        <f>IFERROR(__xludf.DUMMYFUNCTION("""COMPUTED_VALUE"""),43230.0)</f>
        <v>43230</v>
      </c>
      <c r="J85" t="str">
        <f>IFERROR(__xludf.DUMMYFUNCTION("""COMPUTED_VALUE"""),"/movies/?id=hostiles.htm")</f>
        <v>/movies/?id=hostiles.htm</v>
      </c>
    </row>
    <row r="86">
      <c r="A86">
        <f>IFERROR(__xludf.DUMMYFUNCTION("""COMPUTED_VALUE"""),85.0)</f>
        <v>85</v>
      </c>
      <c r="B86" t="str">
        <f>IFERROR(__xludf.DUMMYFUNCTION("""COMPUTED_VALUE"""),"Molly's Game")</f>
        <v>Molly's Game</v>
      </c>
      <c r="C86" t="str">
        <f>IFERROR(__xludf.DUMMYFUNCTION("""COMPUTED_VALUE"""),"STX")</f>
        <v>STX</v>
      </c>
      <c r="D86" t="str">
        <f>IFERROR(__xludf.DUMMYFUNCTION("""COMPUTED_VALUE"""),"$28,780,744")</f>
        <v>$28,780,744</v>
      </c>
      <c r="E86" s="1">
        <f>IFERROR(__xludf.DUMMYFUNCTION("""COMPUTED_VALUE"""),1708.0)</f>
        <v>1708</v>
      </c>
      <c r="F86" t="str">
        <f>IFERROR(__xludf.DUMMYFUNCTION("""COMPUTED_VALUE"""),"$2,349,967")</f>
        <v>$2,349,967</v>
      </c>
      <c r="G86">
        <f>IFERROR(__xludf.DUMMYFUNCTION("""COMPUTED_VALUE"""),271.0)</f>
        <v>271</v>
      </c>
      <c r="H86" s="2">
        <f>IFERROR(__xludf.DUMMYFUNCTION("""COMPUTED_VALUE"""),43459.0)</f>
        <v>43459</v>
      </c>
      <c r="I86" s="2">
        <f>IFERROR(__xludf.DUMMYFUNCTION("""COMPUTED_VALUE"""),43167.0)</f>
        <v>43167</v>
      </c>
      <c r="J86" t="str">
        <f>IFERROR(__xludf.DUMMYFUNCTION("""COMPUTED_VALUE"""),"/movies/?id=mollysgame.htm")</f>
        <v>/movies/?id=mollysgame.htm</v>
      </c>
    </row>
    <row r="87">
      <c r="A87">
        <f>IFERROR(__xludf.DUMMYFUNCTION("""COMPUTED_VALUE"""),86.0)</f>
        <v>86</v>
      </c>
      <c r="B87" t="str">
        <f>IFERROR(__xludf.DUMMYFUNCTION("""COMPUTED_VALUE"""),"The Nut Job 2: Nutty by Nature")</f>
        <v>The Nut Job 2: Nutty by Nature</v>
      </c>
      <c r="C87" t="str">
        <f>IFERROR(__xludf.DUMMYFUNCTION("""COMPUTED_VALUE"""),"ORF")</f>
        <v>ORF</v>
      </c>
      <c r="D87" t="str">
        <f>IFERROR(__xludf.DUMMYFUNCTION("""COMPUTED_VALUE"""),"$28,370,522")</f>
        <v>$28,370,522</v>
      </c>
      <c r="E87" s="1">
        <f>IFERROR(__xludf.DUMMYFUNCTION("""COMPUTED_VALUE"""),4003.0)</f>
        <v>4003</v>
      </c>
      <c r="F87" t="str">
        <f>IFERROR(__xludf.DUMMYFUNCTION("""COMPUTED_VALUE"""),"$8,342,311")</f>
        <v>$8,342,311</v>
      </c>
      <c r="G87" s="1">
        <f>IFERROR(__xludf.DUMMYFUNCTION("""COMPUTED_VALUE"""),4003.0)</f>
        <v>4003</v>
      </c>
      <c r="H87" s="2">
        <f>IFERROR(__xludf.DUMMYFUNCTION("""COMPUTED_VALUE"""),43323.0)</f>
        <v>43323</v>
      </c>
      <c r="I87" s="2">
        <f>IFERROR(__xludf.DUMMYFUNCTION("""COMPUTED_VALUE"""),43371.0)</f>
        <v>43371</v>
      </c>
      <c r="J87" t="str">
        <f>IFERROR(__xludf.DUMMYFUNCTION("""COMPUTED_VALUE"""),"/movies/?id=nutjob2.htm")</f>
        <v>/movies/?id=nutjob2.htm</v>
      </c>
    </row>
    <row r="88">
      <c r="A88">
        <f>IFERROR(__xludf.DUMMYFUNCTION("""COMPUTED_VALUE"""),87.0)</f>
        <v>87</v>
      </c>
      <c r="B88" t="str">
        <f>IFERROR(__xludf.DUMMYFUNCTION("""COMPUTED_VALUE"""),"Rings")</f>
        <v>Rings</v>
      </c>
      <c r="C88" t="str">
        <f>IFERROR(__xludf.DUMMYFUNCTION("""COMPUTED_VALUE"""),"Par.")</f>
        <v>Par.</v>
      </c>
      <c r="D88" t="str">
        <f>IFERROR(__xludf.DUMMYFUNCTION("""COMPUTED_VALUE"""),"$27,793,018")</f>
        <v>$27,793,018</v>
      </c>
      <c r="E88" s="1">
        <f>IFERROR(__xludf.DUMMYFUNCTION("""COMPUTED_VALUE"""),2931.0)</f>
        <v>2931</v>
      </c>
      <c r="F88" t="str">
        <f>IFERROR(__xludf.DUMMYFUNCTION("""COMPUTED_VALUE"""),"$13,002,632")</f>
        <v>$13,002,632</v>
      </c>
      <c r="G88" s="1">
        <f>IFERROR(__xludf.DUMMYFUNCTION("""COMPUTED_VALUE"""),2931.0)</f>
        <v>2931</v>
      </c>
      <c r="H88" s="2">
        <f>IFERROR(__xludf.DUMMYFUNCTION("""COMPUTED_VALUE"""),43134.0)</f>
        <v>43134</v>
      </c>
      <c r="I88" s="2">
        <f>IFERROR(__xludf.DUMMYFUNCTION("""COMPUTED_VALUE"""),43182.0)</f>
        <v>43182</v>
      </c>
      <c r="J88" t="str">
        <f>IFERROR(__xludf.DUMMYFUNCTION("""COMPUTED_VALUE"""),"/movies/?id=rings.htm")</f>
        <v>/movies/?id=rings.htm</v>
      </c>
    </row>
    <row r="89">
      <c r="A89">
        <f>IFERROR(__xludf.DUMMYFUNCTION("""COMPUTED_VALUE"""),88.0)</f>
        <v>88</v>
      </c>
      <c r="B89" t="str">
        <f>IFERROR(__xludf.DUMMYFUNCTION("""COMPUTED_VALUE"""),"Logan Lucky")</f>
        <v>Logan Lucky</v>
      </c>
      <c r="C89" t="str">
        <f>IFERROR(__xludf.DUMMYFUNCTION("""COMPUTED_VALUE"""),"BST")</f>
        <v>BST</v>
      </c>
      <c r="D89" t="str">
        <f>IFERROR(__xludf.DUMMYFUNCTION("""COMPUTED_VALUE"""),"$27,780,977")</f>
        <v>$27,780,977</v>
      </c>
      <c r="E89" s="1">
        <f>IFERROR(__xludf.DUMMYFUNCTION("""COMPUTED_VALUE"""),3031.0)</f>
        <v>3031</v>
      </c>
      <c r="F89" t="str">
        <f>IFERROR(__xludf.DUMMYFUNCTION("""COMPUTED_VALUE"""),"$7,600,036")</f>
        <v>$7,600,036</v>
      </c>
      <c r="G89" s="1">
        <f>IFERROR(__xludf.DUMMYFUNCTION("""COMPUTED_VALUE"""),3031.0)</f>
        <v>3031</v>
      </c>
      <c r="H89" s="2">
        <f>IFERROR(__xludf.DUMMYFUNCTION("""COMPUTED_VALUE"""),43330.0)</f>
        <v>43330</v>
      </c>
      <c r="I89" s="2">
        <f>IFERROR(__xludf.DUMMYFUNCTION("""COMPUTED_VALUE"""),43413.0)</f>
        <v>43413</v>
      </c>
      <c r="J89" t="str">
        <f>IFERROR(__xludf.DUMMYFUNCTION("""COMPUTED_VALUE"""),"/movies/?id=loganlucky.htm")</f>
        <v>/movies/?id=loganlucky.htm</v>
      </c>
    </row>
    <row r="90">
      <c r="A90">
        <f>IFERROR(__xludf.DUMMYFUNCTION("""COMPUTED_VALUE"""),89.0)</f>
        <v>89</v>
      </c>
      <c r="B90" t="str">
        <f>IFERROR(__xludf.DUMMYFUNCTION("""COMPUTED_VALUE"""),"Home Again")</f>
        <v>Home Again</v>
      </c>
      <c r="C90" t="str">
        <f>IFERROR(__xludf.DUMMYFUNCTION("""COMPUTED_VALUE"""),"ORF")</f>
        <v>ORF</v>
      </c>
      <c r="D90" t="str">
        <f>IFERROR(__xludf.DUMMYFUNCTION("""COMPUTED_VALUE"""),"$27,020,284")</f>
        <v>$27,020,284</v>
      </c>
      <c r="E90" s="1">
        <f>IFERROR(__xludf.DUMMYFUNCTION("""COMPUTED_VALUE"""),3036.0)</f>
        <v>3036</v>
      </c>
      <c r="F90" t="str">
        <f>IFERROR(__xludf.DUMMYFUNCTION("""COMPUTED_VALUE"""),"$8,567,881")</f>
        <v>$8,567,881</v>
      </c>
      <c r="G90" s="1">
        <f>IFERROR(__xludf.DUMMYFUNCTION("""COMPUTED_VALUE"""),2940.0)</f>
        <v>2940</v>
      </c>
      <c r="H90" s="2">
        <f>IFERROR(__xludf.DUMMYFUNCTION("""COMPUTED_VALUE"""),43351.0)</f>
        <v>43351</v>
      </c>
      <c r="I90" s="2">
        <f>IFERROR(__xludf.DUMMYFUNCTION("""COMPUTED_VALUE"""),43413.0)</f>
        <v>43413</v>
      </c>
      <c r="J90" t="str">
        <f>IFERROR(__xludf.DUMMYFUNCTION("""COMPUTED_VALUE"""),"/movies/?id=homeagain.htm")</f>
        <v>/movies/?id=homeagain.htm</v>
      </c>
    </row>
    <row r="91">
      <c r="A91">
        <f>IFERROR(__xludf.DUMMYFUNCTION("""COMPUTED_VALUE"""),90.0)</f>
        <v>90</v>
      </c>
      <c r="B91" t="str">
        <f>IFERROR(__xludf.DUMMYFUNCTION("""COMPUTED_VALUE"""),"Resident Evil: The Final Chapter")</f>
        <v>Resident Evil: The Final Chapter</v>
      </c>
      <c r="C91" t="str">
        <f>IFERROR(__xludf.DUMMYFUNCTION("""COMPUTED_VALUE"""),"SGem")</f>
        <v>SGem</v>
      </c>
      <c r="D91" t="str">
        <f>IFERROR(__xludf.DUMMYFUNCTION("""COMPUTED_VALUE"""),"$26,830,068")</f>
        <v>$26,830,068</v>
      </c>
      <c r="E91" s="1">
        <f>IFERROR(__xludf.DUMMYFUNCTION("""COMPUTED_VALUE"""),3104.0)</f>
        <v>3104</v>
      </c>
      <c r="F91" t="str">
        <f>IFERROR(__xludf.DUMMYFUNCTION("""COMPUTED_VALUE"""),"$13,601,682")</f>
        <v>$13,601,682</v>
      </c>
      <c r="G91" s="1">
        <f>IFERROR(__xludf.DUMMYFUNCTION("""COMPUTED_VALUE"""),3104.0)</f>
        <v>3104</v>
      </c>
      <c r="H91" s="2">
        <f>IFERROR(__xludf.DUMMYFUNCTION("""COMPUTED_VALUE"""),43127.0)</f>
        <v>43127</v>
      </c>
      <c r="I91" s="2">
        <f>IFERROR(__xludf.DUMMYFUNCTION("""COMPUTED_VALUE"""),43189.0)</f>
        <v>43189</v>
      </c>
      <c r="J91" t="str">
        <f>IFERROR(__xludf.DUMMYFUNCTION("""COMPUTED_VALUE"""),"/movies/?id=residentevil6.htm")</f>
        <v>/movies/?id=residentevil6.htm</v>
      </c>
    </row>
    <row r="92">
      <c r="A92">
        <f>IFERROR(__xludf.DUMMYFUNCTION("""COMPUTED_VALUE"""),91.0)</f>
        <v>91</v>
      </c>
      <c r="B92" t="str">
        <f>IFERROR(__xludf.DUMMYFUNCTION("""COMPUTED_VALUE"""),"The House")</f>
        <v>The House</v>
      </c>
      <c r="C92" t="str">
        <f>IFERROR(__xludf.DUMMYFUNCTION("""COMPUTED_VALUE"""),"WB (NL)")</f>
        <v>WB (NL)</v>
      </c>
      <c r="D92" t="str">
        <f>IFERROR(__xludf.DUMMYFUNCTION("""COMPUTED_VALUE"""),"$25,584,504")</f>
        <v>$25,584,504</v>
      </c>
      <c r="E92" s="1">
        <f>IFERROR(__xludf.DUMMYFUNCTION("""COMPUTED_VALUE"""),3134.0)</f>
        <v>3134</v>
      </c>
      <c r="F92" t="str">
        <f>IFERROR(__xludf.DUMMYFUNCTION("""COMPUTED_VALUE"""),"$8,724,795")</f>
        <v>$8,724,795</v>
      </c>
      <c r="G92" s="1">
        <f>IFERROR(__xludf.DUMMYFUNCTION("""COMPUTED_VALUE"""),3134.0)</f>
        <v>3134</v>
      </c>
      <c r="H92" s="2">
        <f>IFERROR(__xludf.DUMMYFUNCTION("""COMPUTED_VALUE"""),43281.0)</f>
        <v>43281</v>
      </c>
      <c r="I92" s="2">
        <f>IFERROR(__xludf.DUMMYFUNCTION("""COMPUTED_VALUE"""),43343.0)</f>
        <v>43343</v>
      </c>
      <c r="J92" t="str">
        <f>IFERROR(__xludf.DUMMYFUNCTION("""COMPUTED_VALUE"""),"/movies/?id=thehouse.htm")</f>
        <v>/movies/?id=thehouse.htm</v>
      </c>
    </row>
    <row r="93">
      <c r="A93">
        <f>IFERROR(__xludf.DUMMYFUNCTION("""COMPUTED_VALUE"""),92.0)</f>
        <v>92</v>
      </c>
      <c r="B93" t="str">
        <f>IFERROR(__xludf.DUMMYFUNCTION("""COMPUTED_VALUE"""),"All the Money in the World")</f>
        <v>All the Money in the World</v>
      </c>
      <c r="C93" t="str">
        <f>IFERROR(__xludf.DUMMYFUNCTION("""COMPUTED_VALUE"""),"TriS")</f>
        <v>TriS</v>
      </c>
      <c r="D93" t="str">
        <f>IFERROR(__xludf.DUMMYFUNCTION("""COMPUTED_VALUE"""),"$25,113,707")</f>
        <v>$25,113,707</v>
      </c>
      <c r="E93" s="1">
        <f>IFERROR(__xludf.DUMMYFUNCTION("""COMPUTED_VALUE"""),2123.0)</f>
        <v>2123</v>
      </c>
      <c r="F93" t="str">
        <f>IFERROR(__xludf.DUMMYFUNCTION("""COMPUTED_VALUE"""),"$5,584,684")</f>
        <v>$5,584,684</v>
      </c>
      <c r="G93" s="1">
        <f>IFERROR(__xludf.DUMMYFUNCTION("""COMPUTED_VALUE"""),2074.0)</f>
        <v>2074</v>
      </c>
      <c r="H93" s="2">
        <f>IFERROR(__xludf.DUMMYFUNCTION("""COMPUTED_VALUE"""),43459.0)</f>
        <v>43459</v>
      </c>
      <c r="I93" s="2">
        <f>IFERROR(__xludf.DUMMYFUNCTION("""COMPUTED_VALUE"""),43181.0)</f>
        <v>43181</v>
      </c>
      <c r="J93" t="str">
        <f>IFERROR(__xludf.DUMMYFUNCTION("""COMPUTED_VALUE"""),"/movies/?id=allthemoneyintheworld.htm")</f>
        <v>/movies/?id=allthemoneyintheworld.htm</v>
      </c>
    </row>
    <row r="94">
      <c r="A94">
        <f>IFERROR(__xludf.DUMMYFUNCTION("""COMPUTED_VALUE"""),93.0)</f>
        <v>93</v>
      </c>
      <c r="B94" t="str">
        <f>IFERROR(__xludf.DUMMYFUNCTION("""COMPUTED_VALUE"""),"Gifted")</f>
        <v>Gifted</v>
      </c>
      <c r="C94" t="str">
        <f>IFERROR(__xludf.DUMMYFUNCTION("""COMPUTED_VALUE"""),"FoxS")</f>
        <v>FoxS</v>
      </c>
      <c r="D94" t="str">
        <f>IFERROR(__xludf.DUMMYFUNCTION("""COMPUTED_VALUE"""),"$24,801,212")</f>
        <v>$24,801,212</v>
      </c>
      <c r="E94" s="1">
        <f>IFERROR(__xludf.DUMMYFUNCTION("""COMPUTED_VALUE"""),2215.0)</f>
        <v>2215</v>
      </c>
      <c r="F94" t="str">
        <f>IFERROR(__xludf.DUMMYFUNCTION("""COMPUTED_VALUE"""),"$446,380")</f>
        <v>$446,380</v>
      </c>
      <c r="G94">
        <f>IFERROR(__xludf.DUMMYFUNCTION("""COMPUTED_VALUE"""),56.0)</f>
        <v>56</v>
      </c>
      <c r="H94" s="2">
        <f>IFERROR(__xludf.DUMMYFUNCTION("""COMPUTED_VALUE"""),43197.0)</f>
        <v>43197</v>
      </c>
      <c r="I94" s="2">
        <f>IFERROR(__xludf.DUMMYFUNCTION("""COMPUTED_VALUE"""),43336.0)</f>
        <v>43336</v>
      </c>
      <c r="J94" t="str">
        <f>IFERROR(__xludf.DUMMYFUNCTION("""COMPUTED_VALUE"""),"/movies/?id=gifted.htm")</f>
        <v>/movies/?id=gifted.htm</v>
      </c>
    </row>
    <row r="95">
      <c r="A95">
        <f>IFERROR(__xludf.DUMMYFUNCTION("""COMPUTED_VALUE"""),94.0)</f>
        <v>94</v>
      </c>
      <c r="B95" t="str">
        <f>IFERROR(__xludf.DUMMYFUNCTION("""COMPUTED_VALUE"""),"Downsizing")</f>
        <v>Downsizing</v>
      </c>
      <c r="C95" t="str">
        <f>IFERROR(__xludf.DUMMYFUNCTION("""COMPUTED_VALUE"""),"Par.")</f>
        <v>Par.</v>
      </c>
      <c r="D95" t="str">
        <f>IFERROR(__xludf.DUMMYFUNCTION("""COMPUTED_VALUE"""),"$24,449,754")</f>
        <v>$24,449,754</v>
      </c>
      <c r="E95" s="1">
        <f>IFERROR(__xludf.DUMMYFUNCTION("""COMPUTED_VALUE"""),2668.0)</f>
        <v>2668</v>
      </c>
      <c r="F95" t="str">
        <f>IFERROR(__xludf.DUMMYFUNCTION("""COMPUTED_VALUE"""),"$4,954,287")</f>
        <v>$4,954,287</v>
      </c>
      <c r="G95" s="1">
        <f>IFERROR(__xludf.DUMMYFUNCTION("""COMPUTED_VALUE"""),2668.0)</f>
        <v>2668</v>
      </c>
      <c r="H95" s="2">
        <f>IFERROR(__xludf.DUMMYFUNCTION("""COMPUTED_VALUE"""),43456.0)</f>
        <v>43456</v>
      </c>
      <c r="I95" s="2">
        <f>IFERROR(__xludf.DUMMYFUNCTION("""COMPUTED_VALUE"""),43132.0)</f>
        <v>43132</v>
      </c>
      <c r="J95" t="str">
        <f>IFERROR(__xludf.DUMMYFUNCTION("""COMPUTED_VALUE"""),"/movies/?id=downsizing.htm")</f>
        <v>/movies/?id=downsizing.htm</v>
      </c>
    </row>
    <row r="96">
      <c r="A96">
        <f>IFERROR(__xludf.DUMMYFUNCTION("""COMPUTED_VALUE"""),95.0)</f>
        <v>95</v>
      </c>
      <c r="B96" t="str">
        <f>IFERROR(__xludf.DUMMYFUNCTION("""COMPUTED_VALUE"""),"The Bye Bye Man")</f>
        <v>The Bye Bye Man</v>
      </c>
      <c r="C96" t="str">
        <f>IFERROR(__xludf.DUMMYFUNCTION("""COMPUTED_VALUE"""),"STX")</f>
        <v>STX</v>
      </c>
      <c r="D96" t="str">
        <f>IFERROR(__xludf.DUMMYFUNCTION("""COMPUTED_VALUE"""),"$22,395,806")</f>
        <v>$22,395,806</v>
      </c>
      <c r="E96" s="1">
        <f>IFERROR(__xludf.DUMMYFUNCTION("""COMPUTED_VALUE"""),2220.0)</f>
        <v>2220</v>
      </c>
      <c r="F96" t="str">
        <f>IFERROR(__xludf.DUMMYFUNCTION("""COMPUTED_VALUE"""),"$13,501,349")</f>
        <v>$13,501,349</v>
      </c>
      <c r="G96" s="1">
        <f>IFERROR(__xludf.DUMMYFUNCTION("""COMPUTED_VALUE"""),2220.0)</f>
        <v>2220</v>
      </c>
      <c r="H96" s="2">
        <f>IFERROR(__xludf.DUMMYFUNCTION("""COMPUTED_VALUE"""),43113.0)</f>
        <v>43113</v>
      </c>
      <c r="I96" s="2">
        <f>IFERROR(__xludf.DUMMYFUNCTION("""COMPUTED_VALUE"""),43147.0)</f>
        <v>43147</v>
      </c>
      <c r="J96" t="str">
        <f>IFERROR(__xludf.DUMMYFUNCTION("""COMPUTED_VALUE"""),"/movies/?id=thebyebyeman.htm")</f>
        <v>/movies/?id=thebyebyeman.htm</v>
      </c>
    </row>
    <row r="97">
      <c r="A97">
        <f>IFERROR(__xludf.DUMMYFUNCTION("""COMPUTED_VALUE"""),96.0)</f>
        <v>96</v>
      </c>
      <c r="B97" t="str">
        <f>IFERROR(__xludf.DUMMYFUNCTION("""COMPUTED_VALUE"""),"Victoria and Abdul")</f>
        <v>Victoria and Abdul</v>
      </c>
      <c r="C97" t="str">
        <f>IFERROR(__xludf.DUMMYFUNCTION("""COMPUTED_VALUE"""),"Focus")</f>
        <v>Focus</v>
      </c>
      <c r="D97" t="str">
        <f>IFERROR(__xludf.DUMMYFUNCTION("""COMPUTED_VALUE"""),"$22,245,070")</f>
        <v>$22,245,070</v>
      </c>
      <c r="E97" s="1">
        <f>IFERROR(__xludf.DUMMYFUNCTION("""COMPUTED_VALUE"""),1060.0)</f>
        <v>1060</v>
      </c>
      <c r="F97" t="str">
        <f>IFERROR(__xludf.DUMMYFUNCTION("""COMPUTED_VALUE"""),"$158,845")</f>
        <v>$158,845</v>
      </c>
      <c r="G97">
        <f>IFERROR(__xludf.DUMMYFUNCTION("""COMPUTED_VALUE"""),4.0)</f>
        <v>4</v>
      </c>
      <c r="H97" s="2">
        <f>IFERROR(__xludf.DUMMYFUNCTION("""COMPUTED_VALUE"""),43365.0)</f>
        <v>43365</v>
      </c>
      <c r="I97" s="2">
        <f>IFERROR(__xludf.DUMMYFUNCTION("""COMPUTED_VALUE"""),43104.0)</f>
        <v>43104</v>
      </c>
      <c r="J97" t="str">
        <f>IFERROR(__xludf.DUMMYFUNCTION("""COMPUTED_VALUE"""),"/movies/?id=victoriaandabdul.htm")</f>
        <v>/movies/?id=victoriaandabdul.htm</v>
      </c>
    </row>
    <row r="98">
      <c r="A98">
        <f>IFERROR(__xludf.DUMMYFUNCTION("""COMPUTED_VALUE"""),97.0)</f>
        <v>97</v>
      </c>
      <c r="B98" t="str">
        <f>IFERROR(__xludf.DUMMYFUNCTION("""COMPUTED_VALUE"""),"Rough Night")</f>
        <v>Rough Night</v>
      </c>
      <c r="C98" t="str">
        <f>IFERROR(__xludf.DUMMYFUNCTION("""COMPUTED_VALUE"""),"Sony")</f>
        <v>Sony</v>
      </c>
      <c r="D98" t="str">
        <f>IFERROR(__xludf.DUMMYFUNCTION("""COMPUTED_VALUE"""),"$22,105,643")</f>
        <v>$22,105,643</v>
      </c>
      <c r="E98" s="1">
        <f>IFERROR(__xludf.DUMMYFUNCTION("""COMPUTED_VALUE"""),3162.0)</f>
        <v>3162</v>
      </c>
      <c r="F98" t="str">
        <f>IFERROR(__xludf.DUMMYFUNCTION("""COMPUTED_VALUE"""),"$8,004,283")</f>
        <v>$8,004,283</v>
      </c>
      <c r="G98" s="1">
        <f>IFERROR(__xludf.DUMMYFUNCTION("""COMPUTED_VALUE"""),3162.0)</f>
        <v>3162</v>
      </c>
      <c r="H98" s="2">
        <f>IFERROR(__xludf.DUMMYFUNCTION("""COMPUTED_VALUE"""),43267.0)</f>
        <v>43267</v>
      </c>
      <c r="I98" s="2">
        <f>IFERROR(__xludf.DUMMYFUNCTION("""COMPUTED_VALUE"""),43343.0)</f>
        <v>43343</v>
      </c>
      <c r="J98" t="str">
        <f>IFERROR(__xludf.DUMMYFUNCTION("""COMPUTED_VALUE"""),"/movies/?id=rockthatbody.htm")</f>
        <v>/movies/?id=rockthatbody.htm</v>
      </c>
    </row>
    <row r="99">
      <c r="A99">
        <f>IFERROR(__xludf.DUMMYFUNCTION("""COMPUTED_VALUE"""),98.0)</f>
        <v>98</v>
      </c>
      <c r="B99" t="str">
        <f>IFERROR(__xludf.DUMMYFUNCTION("""COMPUTED_VALUE"""),"My Little Pony: The Movie")</f>
        <v>My Little Pony: The Movie</v>
      </c>
      <c r="C99" t="str">
        <f>IFERROR(__xludf.DUMMYFUNCTION("""COMPUTED_VALUE"""),"LGF")</f>
        <v>LGF</v>
      </c>
      <c r="D99" t="str">
        <f>IFERROR(__xludf.DUMMYFUNCTION("""COMPUTED_VALUE"""),"$21,885,107")</f>
        <v>$21,885,107</v>
      </c>
      <c r="E99" s="1">
        <f>IFERROR(__xludf.DUMMYFUNCTION("""COMPUTED_VALUE"""),2528.0)</f>
        <v>2528</v>
      </c>
      <c r="F99" t="str">
        <f>IFERROR(__xludf.DUMMYFUNCTION("""COMPUTED_VALUE"""),"$8,885,899")</f>
        <v>$8,885,899</v>
      </c>
      <c r="G99" s="1">
        <f>IFERROR(__xludf.DUMMYFUNCTION("""COMPUTED_VALUE"""),2528.0)</f>
        <v>2528</v>
      </c>
      <c r="H99" s="2">
        <f>IFERROR(__xludf.DUMMYFUNCTION("""COMPUTED_VALUE"""),43379.0)</f>
        <v>43379</v>
      </c>
      <c r="I99" t="str">
        <f>IFERROR(__xludf.DUMMYFUNCTION("""COMPUTED_VALUE"""),"-")</f>
        <v>-</v>
      </c>
      <c r="J99" t="str">
        <f>IFERROR(__xludf.DUMMYFUNCTION("""COMPUTED_VALUE"""),"/movies/?id=mylittlepony2017.htm")</f>
        <v>/movies/?id=mylittlepony2017.htm</v>
      </c>
    </row>
    <row r="100">
      <c r="A100">
        <f>IFERROR(__xludf.DUMMYFUNCTION("""COMPUTED_VALUE"""),99.0)</f>
        <v>99</v>
      </c>
      <c r="B100" t="str">
        <f>IFERROR(__xludf.DUMMYFUNCTION("""COMPUTED_VALUE"""),"Leap!")</f>
        <v>Leap!</v>
      </c>
      <c r="C100" t="str">
        <f>IFERROR(__xludf.DUMMYFUNCTION("""COMPUTED_VALUE"""),"Wein.")</f>
        <v>Wein.</v>
      </c>
      <c r="D100" t="str">
        <f>IFERROR(__xludf.DUMMYFUNCTION("""COMPUTED_VALUE"""),"$21,858,070")</f>
        <v>$21,858,070</v>
      </c>
      <c r="E100" s="1">
        <f>IFERROR(__xludf.DUMMYFUNCTION("""COMPUTED_VALUE"""),2705.0)</f>
        <v>2705</v>
      </c>
      <c r="F100" t="str">
        <f>IFERROR(__xludf.DUMMYFUNCTION("""COMPUTED_VALUE"""),"$4,730,038")</f>
        <v>$4,730,038</v>
      </c>
      <c r="G100" s="1">
        <f>IFERROR(__xludf.DUMMYFUNCTION("""COMPUTED_VALUE"""),2575.0)</f>
        <v>2575</v>
      </c>
      <c r="H100" s="2">
        <f>IFERROR(__xludf.DUMMYFUNCTION("""COMPUTED_VALUE"""),43337.0)</f>
        <v>43337</v>
      </c>
      <c r="I100" s="2">
        <f>IFERROR(__xludf.DUMMYFUNCTION("""COMPUTED_VALUE"""),43441.0)</f>
        <v>43441</v>
      </c>
      <c r="J100" t="str">
        <f>IFERROR(__xludf.DUMMYFUNCTION("""COMPUTED_VALUE"""),"/movies/?id=leap.htm")</f>
        <v>/movies/?id=leap.htm</v>
      </c>
    </row>
    <row r="101">
      <c r="A101">
        <f>IFERROR(__xludf.DUMMYFUNCTION("""COMPUTED_VALUE"""),100.0)</f>
        <v>100</v>
      </c>
      <c r="B101" t="str">
        <f>IFERROR(__xludf.DUMMYFUNCTION("""COMPUTED_VALUE"""),"The Disaster Artist")</f>
        <v>The Disaster Artist</v>
      </c>
      <c r="C101" t="str">
        <f>IFERROR(__xludf.DUMMYFUNCTION("""COMPUTED_VALUE"""),"A24")</f>
        <v>A24</v>
      </c>
      <c r="D101" t="str">
        <f>IFERROR(__xludf.DUMMYFUNCTION("""COMPUTED_VALUE"""),"$21,120,616")</f>
        <v>$21,120,616</v>
      </c>
      <c r="E101" s="1">
        <f>IFERROR(__xludf.DUMMYFUNCTION("""COMPUTED_VALUE"""),1010.0)</f>
        <v>1010</v>
      </c>
      <c r="F101" t="str">
        <f>IFERROR(__xludf.DUMMYFUNCTION("""COMPUTED_VALUE"""),"$1,211,345")</f>
        <v>$1,211,345</v>
      </c>
      <c r="G101">
        <f>IFERROR(__xludf.DUMMYFUNCTION("""COMPUTED_VALUE"""),19.0)</f>
        <v>19</v>
      </c>
      <c r="H101" s="2">
        <f>IFERROR(__xludf.DUMMYFUNCTION("""COMPUTED_VALUE"""),43435.0)</f>
        <v>43435</v>
      </c>
      <c r="I101" s="2">
        <f>IFERROR(__xludf.DUMMYFUNCTION("""COMPUTED_VALUE"""),43167.0)</f>
        <v>43167</v>
      </c>
      <c r="J101" t="str">
        <f>IFERROR(__xludf.DUMMYFUNCTION("""COMPUTED_VALUE"""),"/movies/?id=thedisasterartist.htm")</f>
        <v>/movies/?id=thedisasterartist.htm</v>
      </c>
    </row>
    <row r="102">
      <c r="A102" t="str">
        <f>IFERROR(__xludf.DUMMYFUNCTION("""COMPUTED_VALUE"""),"Summary of 740 Movies on Chart:")</f>
        <v>Summary of 740 Movies on Chart:</v>
      </c>
      <c r="B102" t="str">
        <f>IFERROR(__xludf.DUMMYFUNCTION("""COMPUTED_VALUE"""),"")</f>
        <v/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IFERROR(__xludf.DUMMYFUNCTION("""COMPUTED_VALUE"""),"")</f>
        <v/>
      </c>
      <c r="I102" t="str">
        <f>IFERROR(__xludf.DUMMYFUNCTION("""COMPUTED_VALUE"""),"")</f>
        <v/>
      </c>
    </row>
    <row r="103">
      <c r="A103" t="str">
        <f>IFERROR(__xludf.DUMMYFUNCTION("""COMPUTED_VALUE"""),"Totals:")</f>
        <v>Totals:</v>
      </c>
      <c r="B103" t="str">
        <f>IFERROR(__xludf.DUMMYFUNCTION("""COMPUTED_VALUE"""),"$11,124,653,510")</f>
        <v>$11,124,653,510</v>
      </c>
      <c r="C103" t="str">
        <f>IFERROR(__xludf.DUMMYFUNCTION("""COMPUTED_VALUE"""),"-")</f>
        <v>-</v>
      </c>
      <c r="D103" t="str">
        <f>IFERROR(__xludf.DUMMYFUNCTION("""COMPUTED_VALUE"""),"-")</f>
        <v>-</v>
      </c>
      <c r="E103" t="str">
        <f>IFERROR(__xludf.DUMMYFUNCTION("""COMPUTED_VALUE"""),"-")</f>
        <v>-</v>
      </c>
      <c r="F103" t="str">
        <f>IFERROR(__xludf.DUMMYFUNCTION("""COMPUTED_VALUE"""),"-")</f>
        <v>-</v>
      </c>
      <c r="G103" t="str">
        <f>IFERROR(__xludf.DUMMYFUNCTION("""COMPUTED_VALUE"""),"-")</f>
        <v>-</v>
      </c>
      <c r="H103" t="str">
        <f>IFERROR(__xludf.DUMMYFUNCTION("""COMPUTED_VALUE"""),"")</f>
        <v/>
      </c>
      <c r="I103" t="str">
        <f>IFERROR(__xludf.DUMMYFUNCTION("""COMPUTED_VALUE"""),"")</f>
        <v/>
      </c>
    </row>
    <row r="104">
      <c r="A104" t="str">
        <f>IFERROR(__xludf.DUMMYFUNCTION("""COMPUTED_VALUE"""),"Averages:")</f>
        <v>Averages:</v>
      </c>
      <c r="B104" t="str">
        <f>IFERROR(__xludf.DUMMYFUNCTION("""COMPUTED_VALUE"""),"$15,033,316")</f>
        <v>$15,033,316</v>
      </c>
      <c r="C104" t="str">
        <f>IFERROR(__xludf.DUMMYFUNCTION("""COMPUTED_VALUE"""),"-")</f>
        <v>-</v>
      </c>
      <c r="D104" t="str">
        <f>IFERROR(__xludf.DUMMYFUNCTION("""COMPUTED_VALUE"""),"-")</f>
        <v>-</v>
      </c>
      <c r="E104" t="str">
        <f>IFERROR(__xludf.DUMMYFUNCTION("""COMPUTED_VALUE"""),"-")</f>
        <v>-</v>
      </c>
      <c r="F104" t="str">
        <f>IFERROR(__xludf.DUMMYFUNCTION("""COMPUTED_VALUE"""),"-")</f>
        <v>-</v>
      </c>
      <c r="G104" t="str">
        <f>IFERROR(__xludf.DUMMYFUNCTION("""COMPUTED_VALUE"""),"-")</f>
        <v>-</v>
      </c>
      <c r="H104" t="str">
        <f>IFERROR(__xludf.DUMMYFUNCTION("""COMPUTED_VALUE"""),"")</f>
        <v/>
      </c>
      <c r="I104" t="str">
        <f>IFERROR(__xludf.DUMMYFUNCTION("""COMPUTED_VALUE"""),"")</f>
        <v/>
      </c>
    </row>
    <row r="105">
      <c r="A105" t="str">
        <f>IFERROR(__xludf.DUMMYFUNCTION("""COMPUTED_VALUE"""),"")</f>
        <v/>
      </c>
      <c r="B105" t="str">
        <f>IFERROR(__xludf.DUMMYFUNCTION("""COMPUTED_VALUE"""),"")</f>
        <v/>
      </c>
      <c r="C105" t="str">
        <f>IFERROR(__xludf.DUMMYFUNCTION("""COMPUTED_VALUE"""),"")</f>
        <v/>
      </c>
      <c r="D105" t="str">
        <f>IFERROR(__xludf.DUMMYFUNCTION("""COMPUTED_VALUE"""),"")</f>
        <v/>
      </c>
      <c r="E105" t="str">
        <f>IFERROR(__xludf.DUMMYFUNCTION("""COMPUTED_VALUE"""),"")</f>
        <v/>
      </c>
      <c r="F105" t="str">
        <f>IFERROR(__xludf.DUMMYFUNCTION("""COMPUTED_VALUE"""),"")</f>
        <v/>
      </c>
      <c r="G105" t="str">
        <f>IFERROR(__xludf.DUMMYFUNCTION("""COMPUTED_VALUE"""),"")</f>
        <v/>
      </c>
      <c r="H105" t="str">
        <f>IFERROR(__xludf.DUMMYFUNCTION("""COMPUTED_VALUE"""),"")</f>
        <v/>
      </c>
      <c r="I105" t="str">
        <f>IFERROR(__xludf.DUMMYFUNCTION("""COMPUTED_VALUE"""),"")</f>
        <v/>
      </c>
    </row>
    <row r="106">
      <c r="A106" t="str">
        <f>IFERROR(__xludf.DUMMYFUNCTION("""COMPUTED_VALUE"""),"Next Year &gt;")</f>
        <v>Next Year &gt;</v>
      </c>
      <c r="B106" t="str">
        <f>IFERROR(__xludf.DUMMYFUNCTION("""COMPUTED_VALUE"""),"")</f>
        <v/>
      </c>
      <c r="C106" t="str">
        <f>IFERROR(__xludf.DUMMYFUNCTION("""COMPUTED_VALUE"""),"")</f>
        <v/>
      </c>
      <c r="D106" t="str">
        <f>IFERROR(__xludf.DUMMYFUNCTION("""COMPUTED_VALUE"""),"")</f>
        <v/>
      </c>
      <c r="E106" t="str">
        <f>IFERROR(__xludf.DUMMYFUNCTION("""COMPUTED_VALUE"""),"")</f>
        <v/>
      </c>
      <c r="F106" t="str">
        <f>IFERROR(__xludf.DUMMYFUNCTION("""COMPUTED_VALUE"""),"")</f>
        <v/>
      </c>
      <c r="G106" t="str">
        <f>IFERROR(__xludf.DUMMYFUNCTION("""COMPUTED_VALUE"""),"")</f>
        <v/>
      </c>
      <c r="H106" t="str">
        <f>IFERROR(__xludf.DUMMYFUNCTION("""COMPUTED_VALUE"""),"")</f>
        <v/>
      </c>
      <c r="I106" t="str">
        <f>IFERROR(__xludf.DUMMYFUNCTION("""COMPUTED_VALUE"""),"")</f>
        <v/>
      </c>
    </row>
  </sheetData>
  <drawing r:id="rId1"/>
</worksheet>
</file>