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0730" windowHeight="9975" activeTab="5"/>
  </bookViews>
  <sheets>
    <sheet name="APRIL" sheetId="1" r:id="rId1"/>
    <sheet name="JUNI" sheetId="2" r:id="rId2"/>
    <sheet name="REKAP " sheetId="3" r:id="rId3"/>
    <sheet name="Sheet1" sheetId="4" r:id="rId4"/>
    <sheet name="sept" sheetId="5" r:id="rId5"/>
    <sheet name="juli" sheetId="6" r:id="rId6"/>
    <sheet name="agustus" sheetId="7" r:id="rId7"/>
    <sheet name="Sheet5" sheetId="8" r:id="rId8"/>
  </sheets>
  <definedNames>
    <definedName name="_xlnm.Print_Titles" localSheetId="0">APRIL!$4:$5</definedName>
  </definedNames>
  <calcPr calcId="144525"/>
</workbook>
</file>

<file path=xl/calcChain.xml><?xml version="1.0" encoding="utf-8"?>
<calcChain xmlns="http://schemas.openxmlformats.org/spreadsheetml/2006/main">
  <c r="K4" i="6" l="1"/>
  <c r="F15" i="8"/>
  <c r="F8" i="8"/>
  <c r="F9" i="8"/>
  <c r="F10" i="8"/>
  <c r="F11" i="8"/>
  <c r="F12" i="8"/>
  <c r="F13" i="8"/>
  <c r="F14" i="8"/>
  <c r="F6" i="8"/>
  <c r="F7" i="8"/>
  <c r="L32" i="8" l="1"/>
  <c r="I31" i="8"/>
  <c r="J31" i="8" s="1"/>
  <c r="K26" i="8"/>
  <c r="L26" i="8" s="1"/>
  <c r="G26" i="8"/>
  <c r="H26" i="8" s="1"/>
  <c r="E26" i="8"/>
  <c r="D26" i="8"/>
  <c r="L24" i="8"/>
  <c r="L23" i="8"/>
  <c r="N22" i="8"/>
  <c r="K20" i="8"/>
  <c r="E20" i="8"/>
  <c r="D20" i="8"/>
  <c r="J19" i="8"/>
  <c r="H19" i="8"/>
  <c r="J18" i="8"/>
  <c r="H18" i="8"/>
  <c r="J17" i="8"/>
  <c r="H17" i="8"/>
  <c r="K16" i="8"/>
  <c r="L16" i="8" s="1"/>
  <c r="I16" i="8"/>
  <c r="G16" i="8"/>
  <c r="E16" i="8"/>
  <c r="D16" i="8"/>
  <c r="D5" i="8" s="1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L7" i="8"/>
  <c r="J7" i="8"/>
  <c r="N6" i="8"/>
  <c r="L6" i="8"/>
  <c r="J6" i="8"/>
  <c r="K5" i="8"/>
  <c r="G5" i="8"/>
  <c r="L53" i="7"/>
  <c r="N53" i="7" s="1"/>
  <c r="L52" i="7"/>
  <c r="G52" i="7"/>
  <c r="D52" i="7"/>
  <c r="N52" i="7" s="1"/>
  <c r="N51" i="7"/>
  <c r="L51" i="7"/>
  <c r="D51" i="7"/>
  <c r="N50" i="7"/>
  <c r="N49" i="7" s="1"/>
  <c r="L50" i="7"/>
  <c r="D50" i="7"/>
  <c r="D49" i="7" s="1"/>
  <c r="K49" i="7"/>
  <c r="J49" i="7"/>
  <c r="I49" i="7"/>
  <c r="H49" i="7"/>
  <c r="L49" i="7" s="1"/>
  <c r="G49" i="7"/>
  <c r="F49" i="7"/>
  <c r="B49" i="7"/>
  <c r="N48" i="7"/>
  <c r="L48" i="7"/>
  <c r="D48" i="7"/>
  <c r="I47" i="7"/>
  <c r="G47" i="7"/>
  <c r="F47" i="7"/>
  <c r="L47" i="7" s="1"/>
  <c r="N47" i="7" s="1"/>
  <c r="N46" i="7" s="1"/>
  <c r="D47" i="7"/>
  <c r="D46" i="7" s="1"/>
  <c r="K46" i="7"/>
  <c r="J46" i="7"/>
  <c r="I46" i="7"/>
  <c r="H46" i="7"/>
  <c r="G46" i="7"/>
  <c r="B46" i="7"/>
  <c r="N45" i="7"/>
  <c r="D45" i="7"/>
  <c r="N44" i="7"/>
  <c r="D44" i="7"/>
  <c r="N43" i="7"/>
  <c r="K43" i="7"/>
  <c r="J43" i="7"/>
  <c r="I43" i="7"/>
  <c r="H43" i="7"/>
  <c r="L43" i="7" s="1"/>
  <c r="G43" i="7"/>
  <c r="F43" i="7"/>
  <c r="D43" i="7"/>
  <c r="B43" i="7"/>
  <c r="N42" i="7"/>
  <c r="N41" i="7"/>
  <c r="N40" i="7"/>
  <c r="N39" i="7" s="1"/>
  <c r="D40" i="7"/>
  <c r="D39" i="7" s="1"/>
  <c r="K39" i="7"/>
  <c r="J39" i="7"/>
  <c r="I39" i="7"/>
  <c r="H39" i="7"/>
  <c r="G39" i="7"/>
  <c r="F39" i="7"/>
  <c r="L39" i="7" s="1"/>
  <c r="B39" i="7"/>
  <c r="N37" i="7"/>
  <c r="L37" i="7"/>
  <c r="D37" i="7"/>
  <c r="L36" i="7"/>
  <c r="D36" i="7"/>
  <c r="N36" i="7" s="1"/>
  <c r="N35" i="7"/>
  <c r="L35" i="7"/>
  <c r="N34" i="7"/>
  <c r="L34" i="7"/>
  <c r="D34" i="7"/>
  <c r="L33" i="7"/>
  <c r="N33" i="7" s="1"/>
  <c r="N32" i="7"/>
  <c r="L32" i="7"/>
  <c r="D32" i="7"/>
  <c r="N31" i="7"/>
  <c r="L31" i="7"/>
  <c r="L30" i="7"/>
  <c r="D30" i="7"/>
  <c r="N30" i="7" s="1"/>
  <c r="N29" i="7"/>
  <c r="L29" i="7"/>
  <c r="L28" i="7"/>
  <c r="D28" i="7"/>
  <c r="N28" i="7" s="1"/>
  <c r="N27" i="7"/>
  <c r="L27" i="7"/>
  <c r="N26" i="7"/>
  <c r="L26" i="7"/>
  <c r="N25" i="7"/>
  <c r="L25" i="7"/>
  <c r="N24" i="7"/>
  <c r="L24" i="7"/>
  <c r="D24" i="7"/>
  <c r="D23" i="7" s="1"/>
  <c r="K23" i="7"/>
  <c r="J23" i="7"/>
  <c r="I23" i="7"/>
  <c r="H23" i="7"/>
  <c r="L23" i="7" s="1"/>
  <c r="G23" i="7"/>
  <c r="F23" i="7"/>
  <c r="B23" i="7"/>
  <c r="N21" i="7"/>
  <c r="L21" i="7"/>
  <c r="D21" i="7"/>
  <c r="N20" i="7"/>
  <c r="L20" i="7"/>
  <c r="D20" i="7"/>
  <c r="L19" i="7"/>
  <c r="N19" i="7" s="1"/>
  <c r="N18" i="7"/>
  <c r="L18" i="7"/>
  <c r="D18" i="7"/>
  <c r="N17" i="7"/>
  <c r="L17" i="7"/>
  <c r="D17" i="7"/>
  <c r="L16" i="7"/>
  <c r="D16" i="7"/>
  <c r="N16" i="7" s="1"/>
  <c r="L15" i="7"/>
  <c r="D15" i="7"/>
  <c r="N15" i="7" s="1"/>
  <c r="G14" i="7"/>
  <c r="F14" i="7"/>
  <c r="L14" i="7" s="1"/>
  <c r="D14" i="7"/>
  <c r="L13" i="7"/>
  <c r="D13" i="7"/>
  <c r="N13" i="7" s="1"/>
  <c r="G12" i="7"/>
  <c r="F12" i="7"/>
  <c r="F11" i="7" s="1"/>
  <c r="D12" i="7"/>
  <c r="K11" i="7"/>
  <c r="J11" i="7"/>
  <c r="J55" i="7" s="1"/>
  <c r="I11" i="7"/>
  <c r="H11" i="7"/>
  <c r="G11" i="7"/>
  <c r="B11" i="7"/>
  <c r="N9" i="7"/>
  <c r="L9" i="7"/>
  <c r="D9" i="7"/>
  <c r="L8" i="7"/>
  <c r="G8" i="7"/>
  <c r="G3" i="7" s="1"/>
  <c r="D8" i="7"/>
  <c r="N8" i="7" s="1"/>
  <c r="L7" i="7"/>
  <c r="D7" i="7"/>
  <c r="N7" i="7" s="1"/>
  <c r="L6" i="7"/>
  <c r="D6" i="7"/>
  <c r="N6" i="7" s="1"/>
  <c r="N5" i="7"/>
  <c r="L5" i="7"/>
  <c r="D5" i="7"/>
  <c r="N4" i="7"/>
  <c r="L4" i="7"/>
  <c r="G4" i="7"/>
  <c r="D4" i="7"/>
  <c r="K3" i="7"/>
  <c r="K55" i="7" s="1"/>
  <c r="J3" i="7"/>
  <c r="I3" i="7"/>
  <c r="I55" i="7" s="1"/>
  <c r="H3" i="7"/>
  <c r="H55" i="7" s="1"/>
  <c r="F3" i="7"/>
  <c r="D3" i="7"/>
  <c r="H16" i="5"/>
  <c r="N13" i="5"/>
  <c r="K13" i="5"/>
  <c r="H13" i="5"/>
  <c r="N12" i="5"/>
  <c r="N11" i="5"/>
  <c r="N10" i="5"/>
  <c r="N9" i="5"/>
  <c r="N8" i="5"/>
  <c r="N7" i="5"/>
  <c r="N6" i="5"/>
  <c r="N5" i="5"/>
  <c r="N4" i="5"/>
  <c r="E5" i="8" l="1"/>
  <c r="L5" i="8" s="1"/>
  <c r="L20" i="8"/>
  <c r="H16" i="8"/>
  <c r="H5" i="8"/>
  <c r="N20" i="8"/>
  <c r="I26" i="8"/>
  <c r="J26" i="8" s="1"/>
  <c r="N16" i="8"/>
  <c r="J16" i="8"/>
  <c r="G55" i="7"/>
  <c r="L3" i="7"/>
  <c r="N3" i="7" s="1"/>
  <c r="N55" i="7" s="1"/>
  <c r="L11" i="7"/>
  <c r="N14" i="7"/>
  <c r="N23" i="7"/>
  <c r="D11" i="7"/>
  <c r="N11" i="7" s="1"/>
  <c r="L12" i="7"/>
  <c r="N12" i="7" s="1"/>
  <c r="F46" i="7"/>
  <c r="L46" i="7" s="1"/>
  <c r="F5" i="8" l="1"/>
  <c r="N26" i="8"/>
  <c r="N5" i="8" s="1"/>
  <c r="I5" i="8"/>
  <c r="J5" i="8" s="1"/>
  <c r="F55" i="7"/>
  <c r="T26" i="2" l="1"/>
  <c r="S28" i="2"/>
  <c r="S26" i="2"/>
  <c r="T21" i="2"/>
  <c r="N22" i="3" l="1"/>
  <c r="I30" i="2"/>
  <c r="I16" i="3" l="1"/>
  <c r="N6" i="3" l="1"/>
  <c r="F13" i="4"/>
  <c r="E13" i="4"/>
  <c r="E14" i="4"/>
  <c r="E4" i="4"/>
  <c r="E5" i="4"/>
  <c r="E6" i="4"/>
  <c r="E3" i="4"/>
  <c r="C7" i="2" l="1"/>
  <c r="G26" i="3"/>
  <c r="H26" i="3" s="1"/>
  <c r="E42" i="2"/>
  <c r="J20" i="2"/>
  <c r="L20" i="2"/>
  <c r="K26" i="3"/>
  <c r="L32" i="3"/>
  <c r="L58" i="2"/>
  <c r="F58" i="2"/>
  <c r="F69" i="2" s="1"/>
  <c r="N49" i="2"/>
  <c r="M49" i="2"/>
  <c r="L49" i="2"/>
  <c r="P46" i="2"/>
  <c r="K49" i="2"/>
  <c r="H49" i="2"/>
  <c r="I31" i="3" s="1"/>
  <c r="I26" i="3" s="1"/>
  <c r="E26" i="3"/>
  <c r="D26" i="3"/>
  <c r="I62" i="2"/>
  <c r="H62" i="2"/>
  <c r="D62" i="2"/>
  <c r="D58" i="2"/>
  <c r="D49" i="2"/>
  <c r="D69" i="2" s="1"/>
  <c r="E69" i="2" s="1"/>
  <c r="L23" i="3"/>
  <c r="L24" i="3"/>
  <c r="K20" i="3"/>
  <c r="E20" i="3"/>
  <c r="D20" i="3"/>
  <c r="E40" i="2"/>
  <c r="E41" i="2"/>
  <c r="E39" i="2"/>
  <c r="K16" i="3"/>
  <c r="F14" i="4" s="1"/>
  <c r="J17" i="3"/>
  <c r="J18" i="3"/>
  <c r="J19" i="3"/>
  <c r="H29" i="2"/>
  <c r="H17" i="3"/>
  <c r="H18" i="3"/>
  <c r="H19" i="3"/>
  <c r="G16" i="3"/>
  <c r="I20" i="2"/>
  <c r="H20" i="2"/>
  <c r="F29" i="2"/>
  <c r="F26" i="2"/>
  <c r="F35" i="2" s="1"/>
  <c r="F7" i="2" s="1"/>
  <c r="F20" i="2"/>
  <c r="E16" i="3"/>
  <c r="E5" i="3" s="1"/>
  <c r="D16" i="3"/>
  <c r="D5" i="3" s="1"/>
  <c r="L7" i="3"/>
  <c r="L8" i="3"/>
  <c r="L9" i="3"/>
  <c r="L10" i="3"/>
  <c r="L11" i="3"/>
  <c r="L12" i="3"/>
  <c r="L13" i="3"/>
  <c r="L14" i="3"/>
  <c r="L15" i="3"/>
  <c r="J7" i="3"/>
  <c r="J8" i="3"/>
  <c r="J9" i="3"/>
  <c r="J10" i="3"/>
  <c r="J11" i="3"/>
  <c r="J12" i="3"/>
  <c r="J13" i="3"/>
  <c r="J14" i="3"/>
  <c r="J15" i="3"/>
  <c r="L6" i="3"/>
  <c r="J6" i="3"/>
  <c r="N69" i="2"/>
  <c r="M69" i="2"/>
  <c r="K69" i="2"/>
  <c r="L35" i="2"/>
  <c r="J35" i="2"/>
  <c r="P51" i="2"/>
  <c r="Q51" i="2" s="1"/>
  <c r="I51" i="2"/>
  <c r="I52" i="2"/>
  <c r="P50" i="2"/>
  <c r="Q50" i="2" s="1"/>
  <c r="I50" i="2"/>
  <c r="P56" i="2"/>
  <c r="I56" i="2"/>
  <c r="E48" i="2"/>
  <c r="E47" i="2"/>
  <c r="P65" i="2"/>
  <c r="Q65" i="2" s="1"/>
  <c r="P59" i="2"/>
  <c r="P58" i="2" s="1"/>
  <c r="G59" i="2"/>
  <c r="P40" i="2"/>
  <c r="P42" i="2" s="1"/>
  <c r="P39" i="2"/>
  <c r="P22" i="2"/>
  <c r="Q22" i="2" s="1"/>
  <c r="P23" i="2"/>
  <c r="P24" i="2"/>
  <c r="Q24" i="2" s="1"/>
  <c r="P25" i="2"/>
  <c r="Q25" i="2" s="1"/>
  <c r="P26" i="2"/>
  <c r="P27" i="2"/>
  <c r="Q27" i="2" s="1"/>
  <c r="P28" i="2"/>
  <c r="Q28" i="2" s="1"/>
  <c r="P29" i="2"/>
  <c r="P30" i="2"/>
  <c r="Q30" i="2" s="1"/>
  <c r="P31" i="2"/>
  <c r="Q31" i="2" s="1"/>
  <c r="P32" i="2"/>
  <c r="Q32" i="2" s="1"/>
  <c r="P33" i="2"/>
  <c r="Q33" i="2" s="1"/>
  <c r="S24" i="2"/>
  <c r="K18" i="2"/>
  <c r="L18" i="2"/>
  <c r="G24" i="2"/>
  <c r="G25" i="2"/>
  <c r="G22" i="2"/>
  <c r="P21" i="2"/>
  <c r="P20" i="2" s="1"/>
  <c r="S21" i="2"/>
  <c r="G21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9" i="2"/>
  <c r="H18" i="2"/>
  <c r="I17" i="2"/>
  <c r="O18" i="2"/>
  <c r="N18" i="2"/>
  <c r="M18" i="2"/>
  <c r="I10" i="2"/>
  <c r="I11" i="2"/>
  <c r="I12" i="2"/>
  <c r="I13" i="2"/>
  <c r="I14" i="2"/>
  <c r="I15" i="2"/>
  <c r="I16" i="2"/>
  <c r="I9" i="2"/>
  <c r="H35" i="2" l="1"/>
  <c r="E16" i="4"/>
  <c r="I5" i="3"/>
  <c r="J5" i="3" s="1"/>
  <c r="J26" i="3"/>
  <c r="F5" i="3"/>
  <c r="G69" i="2"/>
  <c r="S10" i="2"/>
  <c r="N20" i="3"/>
  <c r="F15" i="4"/>
  <c r="L26" i="3"/>
  <c r="F16" i="4"/>
  <c r="K5" i="3"/>
  <c r="L5" i="3" s="1"/>
  <c r="N26" i="3"/>
  <c r="D16" i="4"/>
  <c r="Q59" i="2"/>
  <c r="Q58" i="2" s="1"/>
  <c r="N16" i="3"/>
  <c r="N5" i="3" s="1"/>
  <c r="D14" i="4"/>
  <c r="G5" i="3"/>
  <c r="H5" i="3" s="1"/>
  <c r="J31" i="3"/>
  <c r="G58" i="2"/>
  <c r="P35" i="2"/>
  <c r="Q21" i="2"/>
  <c r="P49" i="2"/>
  <c r="I49" i="2"/>
  <c r="H69" i="2"/>
  <c r="I69" i="2" s="1"/>
  <c r="J16" i="3"/>
  <c r="H16" i="3"/>
  <c r="L16" i="3"/>
  <c r="L20" i="3"/>
  <c r="S13" i="2"/>
  <c r="P18" i="2"/>
  <c r="S14" i="2"/>
  <c r="S17" i="2"/>
  <c r="Q9" i="2"/>
  <c r="S9" i="2" s="1"/>
  <c r="S15" i="2"/>
  <c r="S11" i="2"/>
  <c r="S16" i="2"/>
  <c r="S12" i="2"/>
  <c r="S20" i="2" l="1"/>
  <c r="H7" i="2"/>
  <c r="Q49" i="2"/>
  <c r="P69" i="2"/>
  <c r="Q69" i="2" s="1"/>
  <c r="S69" i="2" s="1"/>
  <c r="P7" i="2" l="1"/>
  <c r="E27" i="2"/>
  <c r="E28" i="2"/>
  <c r="E30" i="2"/>
  <c r="E31" i="2"/>
  <c r="E33" i="2"/>
  <c r="D29" i="2"/>
  <c r="E29" i="2" s="1"/>
  <c r="D26" i="2"/>
  <c r="E26" i="2" s="1"/>
  <c r="E21" i="2"/>
  <c r="E22" i="2"/>
  <c r="E23" i="2"/>
  <c r="E24" i="2"/>
  <c r="E25" i="2"/>
  <c r="D20" i="2"/>
  <c r="E20" i="2" s="1"/>
  <c r="E10" i="2"/>
  <c r="E11" i="2"/>
  <c r="E12" i="2"/>
  <c r="E13" i="2"/>
  <c r="E14" i="2"/>
  <c r="E15" i="2"/>
  <c r="E16" i="2"/>
  <c r="E17" i="2"/>
  <c r="E9" i="2"/>
  <c r="D18" i="2"/>
  <c r="D7" i="2" l="1"/>
  <c r="Q7" i="2" s="1"/>
  <c r="I18" i="2"/>
  <c r="Q18" i="2"/>
  <c r="S18" i="2" s="1"/>
  <c r="G29" i="2"/>
  <c r="I29" i="2"/>
  <c r="Q29" i="2"/>
  <c r="E18" i="2"/>
  <c r="G26" i="2"/>
  <c r="Q26" i="2"/>
  <c r="Q20" i="2"/>
  <c r="G20" i="2"/>
  <c r="D35" i="2"/>
  <c r="E7" i="2" l="1"/>
  <c r="G7" i="2"/>
  <c r="I7" i="2"/>
  <c r="S7" i="2" s="1"/>
  <c r="I35" i="2"/>
  <c r="G35" i="2"/>
  <c r="Q35" i="2"/>
  <c r="E35" i="2"/>
  <c r="S35" i="2" l="1"/>
</calcChain>
</file>

<file path=xl/sharedStrings.xml><?xml version="1.0" encoding="utf-8"?>
<sst xmlns="http://schemas.openxmlformats.org/spreadsheetml/2006/main" count="605" uniqueCount="206">
  <si>
    <t>LAPORAN REALISASI PENERIMAAN PENDAPATAN ASLI DAERAH KOTA DENPASAR</t>
  </si>
  <si>
    <t>URAIAN</t>
  </si>
  <si>
    <t>TARGET TAHUN 2021</t>
  </si>
  <si>
    <t xml:space="preserve">Kanal  Tunai </t>
  </si>
  <si>
    <t xml:space="preserve">Kanal Semi Digital </t>
  </si>
  <si>
    <t xml:space="preserve">Kanal Digital </t>
  </si>
  <si>
    <t>%</t>
  </si>
  <si>
    <t xml:space="preserve">Tunai </t>
  </si>
  <si>
    <t>Qris</t>
  </si>
  <si>
    <t xml:space="preserve">ATM </t>
  </si>
  <si>
    <t xml:space="preserve">Agen Bank </t>
  </si>
  <si>
    <t>1.PENDAPATAN ASLI DAERAH</t>
  </si>
  <si>
    <t>4.1.01</t>
  </si>
  <si>
    <t>1.1. PAJAK DAERAH</t>
  </si>
  <si>
    <t>4.1.01.06.</t>
  </si>
  <si>
    <t>Pajak Hotel</t>
  </si>
  <si>
    <t>4.1.01.07.</t>
  </si>
  <si>
    <t>Pajak Restaurant</t>
  </si>
  <si>
    <t>4.1.01.08.</t>
  </si>
  <si>
    <t>Pajak Hiburan</t>
  </si>
  <si>
    <t>4.1.01.09.</t>
  </si>
  <si>
    <t>Pajak Reklame</t>
  </si>
  <si>
    <t>4.1.01.10.</t>
  </si>
  <si>
    <t>Pajak Penerangan Jalan</t>
  </si>
  <si>
    <t>4.1.01.11.</t>
  </si>
  <si>
    <t>Pajak Parkir</t>
  </si>
  <si>
    <t>4.1.01.04.</t>
  </si>
  <si>
    <t>Pajak Air Tanah</t>
  </si>
  <si>
    <t>4.1.01.15.</t>
  </si>
  <si>
    <t>4.1.01.16.</t>
  </si>
  <si>
    <t>JUMLAH PAJAK DAERAH 1.1.</t>
  </si>
  <si>
    <t>4.1.02</t>
  </si>
  <si>
    <t>1.2. RETRIBUSI DAERAH</t>
  </si>
  <si>
    <t>4.1.02.01</t>
  </si>
  <si>
    <t>Retribusi Jasa Umum</t>
  </si>
  <si>
    <t>4.1.02.01.01</t>
  </si>
  <si>
    <t>Retribusi Pelayanan Kesehatan</t>
  </si>
  <si>
    <t>4.1.02.01.02</t>
  </si>
  <si>
    <t>Retribusi Pelayanan Persampahan/Kebersihan</t>
  </si>
  <si>
    <t>4.1.02.01.04</t>
  </si>
  <si>
    <t>Retribusi Pelayanan Parkir di Tepi Jalan Umum</t>
  </si>
  <si>
    <t>4.1.02.01.06</t>
  </si>
  <si>
    <t>Retribusi Pengujian Kendaraan Bermotor</t>
  </si>
  <si>
    <t>4.1.02.01.11</t>
  </si>
  <si>
    <t>Retrubusi Pelayanan Tera/Tera Ulang</t>
  </si>
  <si>
    <t>4.1.2.2</t>
  </si>
  <si>
    <t>Retribusi Jasa Usaha</t>
  </si>
  <si>
    <t>4.1.02.02.04</t>
  </si>
  <si>
    <t>Retribusi Terminal</t>
  </si>
  <si>
    <t>4.1.02.02.07</t>
  </si>
  <si>
    <t>Retribusi Rumah Potong Hewan</t>
  </si>
  <si>
    <t>4.1.02.03</t>
  </si>
  <si>
    <t>Retribusi Perijinan Tertentu</t>
  </si>
  <si>
    <t>4.1.02.03.01</t>
  </si>
  <si>
    <t>Retribusi Ijin Mendirikan Bangunan</t>
  </si>
  <si>
    <t>4.1.02.03.02</t>
  </si>
  <si>
    <t>Retribusi Ijin Tempat Penjualan Minuman Beralkohol</t>
  </si>
  <si>
    <t>4.1.02.03.06</t>
  </si>
  <si>
    <t xml:space="preserve">Retribusi Perpanjangan Izin Mempekerjakan </t>
  </si>
  <si>
    <t>Tenaga Kerja Asing</t>
  </si>
  <si>
    <t>JUMLAH 1.2.</t>
  </si>
  <si>
    <t>4.1.03</t>
  </si>
  <si>
    <t>1.3.HASIL PENGELOLAAN KEKAYAAN</t>
  </si>
  <si>
    <t xml:space="preserve">      DAERAH YANG DIPISAHKAN</t>
  </si>
  <si>
    <t>4.1.03.02</t>
  </si>
  <si>
    <t>Bagian laba yang dibagikan kepada Pemerintah Daerah (Deviden) atas Penyertaan modal pada BUMD</t>
  </si>
  <si>
    <t>4.1.03.02.01</t>
  </si>
  <si>
    <t>Bagian laba yang dibagikan kepada Pemerintah Daerah (Deviden) atas Penyertaan modal pada BUMD (Lembaga Keuangan)</t>
  </si>
  <si>
    <t>4.1.03.02.02</t>
  </si>
  <si>
    <t>Bagian laba yang dibagikan kepada Pemerintah Daerah (Deviden) atas Penyertaan modal pada BUMD (Aneka Usaha)</t>
  </si>
  <si>
    <t>4.1.03.02.03</t>
  </si>
  <si>
    <t>Bagian laba yang dibagikan kepada Pemerintah Daerah (Deviden) atas Penyertaan modal pada BUMD (Bidang Air Minum)</t>
  </si>
  <si>
    <t>JUMLAH 1.3.</t>
  </si>
  <si>
    <t>4.1.04</t>
  </si>
  <si>
    <t>1.4.PENDAPATAN ASLI DAERAH LAIN-LAIN</t>
  </si>
  <si>
    <t xml:space="preserve">       YANG SAH.</t>
  </si>
  <si>
    <t>4.1.04.01.02</t>
  </si>
  <si>
    <t>Hasil Penjualan Peralatan dan Mesin</t>
  </si>
  <si>
    <t>4.1.04.05</t>
  </si>
  <si>
    <t>Penerimaan Jasa Giro</t>
  </si>
  <si>
    <t>4.1.04.07</t>
  </si>
  <si>
    <t>Penerimaan Bunga Deposito Pada BPD</t>
  </si>
  <si>
    <t>4.1.04.12</t>
  </si>
  <si>
    <t>Pendapatan Denda Pajak</t>
  </si>
  <si>
    <t>4.1.04.12.06</t>
  </si>
  <si>
    <t>-Pendapatan Denda Pajak Hotel</t>
  </si>
  <si>
    <t>4.1.04.12.07</t>
  </si>
  <si>
    <t>-Pendapatan Denda Pajak Restoran</t>
  </si>
  <si>
    <t>4.1.04.12.08</t>
  </si>
  <si>
    <t>-Pendapatan Denda Pajak Hiburan</t>
  </si>
  <si>
    <t>4.1.04.12.09</t>
  </si>
  <si>
    <t>- Pendapatan Pajak Reklame</t>
  </si>
  <si>
    <t>4.1.04.12.11</t>
  </si>
  <si>
    <t>-Pendapatan Denda Pajak Parkir</t>
  </si>
  <si>
    <t>4.1.04.12.12</t>
  </si>
  <si>
    <t>-Pendapatan Denda Pajak Air Bawah Tanah</t>
  </si>
  <si>
    <t>4.1.04.12.15</t>
  </si>
  <si>
    <t>-Pendapatan Denda Pajak Bumi dan Bangunan Perdesaan dan Perkotaan</t>
  </si>
  <si>
    <t>4.1.04.12.16</t>
  </si>
  <si>
    <t>-Pendapatan Denda Pajak Bea Perolehan Hak Atas Tanah dan Bangunan (BPHTB)</t>
  </si>
  <si>
    <t>4.1.04.13</t>
  </si>
  <si>
    <t>Pendapatan Denda Retribusi</t>
  </si>
  <si>
    <t>4.1.04.13.01.0006</t>
  </si>
  <si>
    <t>- Pendapatan Denda Retribusi Pengujian Kendaraan Bermotor</t>
  </si>
  <si>
    <t>4.1.04.13.02.0004</t>
  </si>
  <si>
    <t>- Pendapatan Denda Retribusi Terminal</t>
  </si>
  <si>
    <t>4.1.04.13.03.0006</t>
  </si>
  <si>
    <t>- Pendapatan Denda Retribusi Izin Mempekerjakan Tenaga Asing</t>
  </si>
  <si>
    <t>4.1.04.16</t>
  </si>
  <si>
    <t>Pendapatan BLUD</t>
  </si>
  <si>
    <t>4.1.04.16.01</t>
  </si>
  <si>
    <t xml:space="preserve">Pendapatan BLUD RSUD Wangaya </t>
  </si>
  <si>
    <t>4.1.04.18</t>
  </si>
  <si>
    <t>Pendapatan Dana Kapitasi JKN pada FKTP</t>
  </si>
  <si>
    <t>4.1.04.18.01</t>
  </si>
  <si>
    <t>Penggantian, Pembelian Stuk, Plat uji yang hilang / Rusak</t>
  </si>
  <si>
    <t>Penerimaan Lain-Lain</t>
  </si>
  <si>
    <t>JUMLAH 1.4.</t>
  </si>
  <si>
    <t>PBB-P2</t>
  </si>
  <si>
    <t xml:space="preserve">BPHTB </t>
  </si>
  <si>
    <t>Transfer / Internet&amp;Mobile Banking</t>
  </si>
  <si>
    <t xml:space="preserve">Ecomerce/ Gojek </t>
  </si>
  <si>
    <t>Finnet</t>
  </si>
  <si>
    <t xml:space="preserve"> REKENING</t>
  </si>
  <si>
    <t xml:space="preserve">Sumber : Badan Pendapatan Daerah Kota Denpasar 2021 </t>
  </si>
  <si>
    <t>REALISASI SAMPAI DENGAN 30 JUNI 2021</t>
  </si>
  <si>
    <t>REALISASI SAMPAI DENGAN 30 APRIL 2021</t>
  </si>
  <si>
    <t xml:space="preserve"> TUNAI DAN NON TUNAI TAHUN SAMPAI DENGAN  30 APRIL  2021</t>
  </si>
  <si>
    <t xml:space="preserve"> TUNAI DAN NON TUNAI TAHUN SAMPAI DENGAN  30 JUNI  2021</t>
  </si>
  <si>
    <t>Retribusi Izin Trayek untuk Menyediakan Pelayanan Angkutan</t>
  </si>
  <si>
    <t>4.1.02.03.03</t>
  </si>
  <si>
    <t>4.1.04.21</t>
  </si>
  <si>
    <t>Pendapatan Denda atas Pelanggaran Peraturan Daerah</t>
  </si>
  <si>
    <t>Teller Bank/Cek/BG</t>
  </si>
  <si>
    <t>Jumlah Digital</t>
  </si>
  <si>
    <t xml:space="preserve">No </t>
  </si>
  <si>
    <t xml:space="preserve">No Rekening </t>
  </si>
  <si>
    <t xml:space="preserve">Uraian </t>
  </si>
  <si>
    <t>Target Tahun 2021</t>
  </si>
  <si>
    <t xml:space="preserve">Kanal Tunai </t>
  </si>
  <si>
    <t>Kanal Semi Digital</t>
  </si>
  <si>
    <t>Teller/ BG/Cek</t>
  </si>
  <si>
    <t xml:space="preserve">Digital </t>
  </si>
  <si>
    <t xml:space="preserve"> PAJAK DAERAH</t>
  </si>
  <si>
    <t>Realisasi 2021</t>
  </si>
  <si>
    <t>HASIL PENGELOLAAN KEKAYAAN</t>
  </si>
  <si>
    <t>RETRIBUSI DAERAH</t>
  </si>
  <si>
    <t>4.1.04.19</t>
  </si>
  <si>
    <t>PENDAPATAN ASLI DAERAH LAIN-LAIN</t>
  </si>
  <si>
    <t>REKAP PENERIMAAN PAJAK DAN RETRBUSI DAERAH TUNAI DAN NON TUNAI SAMPAI DENGAN 30 JUNI 2021</t>
  </si>
  <si>
    <t>PENDAPATAN ASLI DAERAH</t>
  </si>
  <si>
    <t xml:space="preserve">URAIAN </t>
  </si>
  <si>
    <t>REALISASI</t>
  </si>
  <si>
    <t xml:space="preserve">TARGET </t>
  </si>
  <si>
    <t>PAD LAIN-LAIN YANG SAH</t>
  </si>
  <si>
    <t>KANAL TUNAI</t>
  </si>
  <si>
    <t xml:space="preserve">KANAL SEMI DIGITAL </t>
  </si>
  <si>
    <t xml:space="preserve">KANAL DIGITAL </t>
  </si>
  <si>
    <t>Tabel 3.1</t>
  </si>
  <si>
    <t>Retribusi Pelayanan Tera/Tera Ulang</t>
  </si>
  <si>
    <t xml:space="preserve">Jumlah </t>
  </si>
  <si>
    <t>Total</t>
  </si>
  <si>
    <t>TUNAI</t>
  </si>
  <si>
    <t>NON TUNAI</t>
  </si>
  <si>
    <t>TOTAL</t>
  </si>
  <si>
    <t>INTERNET &amp; MOBILE BANKING</t>
  </si>
  <si>
    <t>ATM</t>
  </si>
  <si>
    <t>CEK</t>
  </si>
  <si>
    <t>TRANSFER</t>
  </si>
  <si>
    <t>QRIS</t>
  </si>
  <si>
    <t>ECOMERCEL / Gojek</t>
  </si>
  <si>
    <t>PAJAK HOTEL</t>
  </si>
  <si>
    <t>Denda</t>
  </si>
  <si>
    <t>Pajak Gubuk Pariwiata</t>
  </si>
  <si>
    <t>Pajak Wisma Pariwisata</t>
  </si>
  <si>
    <t>PAJAK RESTORAN</t>
  </si>
  <si>
    <t>Pajak Restoran</t>
  </si>
  <si>
    <t>Pajak Rumah Makan</t>
  </si>
  <si>
    <t>Pajak Café</t>
  </si>
  <si>
    <t>Pajak Bar</t>
  </si>
  <si>
    <t>Pajak Jasa Boga</t>
  </si>
  <si>
    <t>PAJAK HIBURAN</t>
  </si>
  <si>
    <t>Pajak Pagelaran Kesenian</t>
  </si>
  <si>
    <t>Pajak Pameran</t>
  </si>
  <si>
    <t>Pajak Karaoke</t>
  </si>
  <si>
    <t>Pajak Permainan Billiar</t>
  </si>
  <si>
    <t>Pajak Permainan Ketangkasan</t>
  </si>
  <si>
    <t>Pajak Panti Pijat</t>
  </si>
  <si>
    <t>Pajak Pertandingan Olah Raga</t>
  </si>
  <si>
    <t>PAJAK REKLAME</t>
  </si>
  <si>
    <t>Denda Reklame</t>
  </si>
  <si>
    <t>PPJ</t>
  </si>
  <si>
    <t>PAJAK PARKIR</t>
  </si>
  <si>
    <t>Denda Parkir</t>
  </si>
  <si>
    <t>PAJAK AIR tANAH</t>
  </si>
  <si>
    <t>Denda Air Tanah</t>
  </si>
  <si>
    <t>PAJAK PBB</t>
  </si>
  <si>
    <t>Pajak PBB</t>
  </si>
  <si>
    <t>Denda PBB</t>
  </si>
  <si>
    <t>BPHTB</t>
  </si>
  <si>
    <t>LELANG</t>
  </si>
  <si>
    <t>KANAL SEMI DIGITAL</t>
  </si>
  <si>
    <t>KANAL DOGITAL</t>
  </si>
  <si>
    <t>AGEN BANK</t>
  </si>
  <si>
    <t>JUMLAH</t>
  </si>
  <si>
    <t>REKAP PENERIMAAN PAJAK DAN RETRBUSI DAERAH TUNAI DAN NON TUNAI SAMPAI DENGAN 30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</si>
</sst>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_);_(* \(#,##0.00\);_(* &quot;-&quot;_);_(@_)"/>
    <numFmt numFmtId="166" formatCode="#,##0.00_);\(#,##0.00\);\-"/>
    <numFmt numFmtId="167" formatCode="#,##0.00;[Red]#,##0.00"/>
    <numFmt numFmtId="168" formatCode="_(* #,##0.000_);_(* \(#,##0.000\);_(* &quot;-&quot;??_);_(@_)"/>
    <numFmt numFmtId="169" formatCode="_-[$Rp-421]* #,##0.00_-;\-[$Rp-421]* #,##0.00_-;_-[$Rp-421]* &quot;-&quot;??_-;_-@_-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u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Calibri"/>
      <family val="2"/>
      <charset val="1"/>
      <scheme val="minor"/>
    </font>
    <font>
      <b/>
      <sz val="8"/>
      <color rgb="FF000000"/>
      <name val="Times New Roman"/>
      <family val="1"/>
    </font>
    <font>
      <b/>
      <sz val="8"/>
      <name val="Arial"/>
      <family val="2"/>
    </font>
    <font>
      <b/>
      <u/>
      <sz val="8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color theme="1"/>
      <name val="Calibri"/>
      <family val="2"/>
      <scheme val="minor"/>
    </font>
    <font>
      <u/>
      <sz val="8"/>
      <name val="Tahoma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ahoma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9"/>
      <color theme="1"/>
      <name val="Calibri"/>
      <family val="2"/>
      <charset val="1"/>
      <scheme val="minor"/>
    </font>
    <font>
      <u/>
      <sz val="9"/>
      <color theme="1"/>
      <name val="Calibri"/>
      <family val="2"/>
      <charset val="1"/>
      <scheme val="minor"/>
    </font>
    <font>
      <b/>
      <sz val="8"/>
      <color theme="0"/>
      <name val="Calibri"/>
      <family val="2"/>
      <charset val="1"/>
      <scheme val="minor"/>
    </font>
    <font>
      <b/>
      <sz val="8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</patternFill>
    </fill>
    <fill>
      <patternFill patternType="solid">
        <fgColor theme="1" tint="0.4999847407452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5" fillId="6" borderId="48" applyNumberFormat="0" applyAlignment="0" applyProtection="0"/>
    <xf numFmtId="0" fontId="36" fillId="0" borderId="0"/>
    <xf numFmtId="0" fontId="2" fillId="0" borderId="0"/>
    <xf numFmtId="41" fontId="36" fillId="0" borderId="0" applyFont="0" applyFill="0" applyBorder="0" applyAlignment="0" applyProtection="0"/>
  </cellStyleXfs>
  <cellXfs count="584">
    <xf numFmtId="0" fontId="0" fillId="0" borderId="0" xfId="0"/>
    <xf numFmtId="0" fontId="3" fillId="0" borderId="0" xfId="1" applyFont="1"/>
    <xf numFmtId="0" fontId="5" fillId="0" borderId="0" xfId="1" applyFont="1"/>
    <xf numFmtId="0" fontId="6" fillId="0" borderId="0" xfId="1" applyFont="1" applyBorder="1"/>
    <xf numFmtId="0" fontId="4" fillId="0" borderId="0" xfId="1" applyFont="1" applyAlignment="1">
      <alignment horizontal="center"/>
    </xf>
    <xf numFmtId="0" fontId="8" fillId="0" borderId="1" xfId="1" applyFont="1" applyBorder="1"/>
    <xf numFmtId="165" fontId="7" fillId="0" borderId="2" xfId="1" applyNumberFormat="1" applyFont="1" applyBorder="1"/>
    <xf numFmtId="43" fontId="7" fillId="0" borderId="1" xfId="1" applyNumberFormat="1" applyFont="1" applyBorder="1"/>
    <xf numFmtId="165" fontId="7" fillId="0" borderId="2" xfId="1" applyNumberFormat="1" applyFont="1" applyBorder="1" applyAlignment="1">
      <alignment horizontal="center"/>
    </xf>
    <xf numFmtId="0" fontId="6" fillId="0" borderId="1" xfId="1" applyFont="1" applyBorder="1"/>
    <xf numFmtId="165" fontId="6" fillId="0" borderId="2" xfId="3" applyNumberFormat="1" applyFont="1" applyBorder="1"/>
    <xf numFmtId="165" fontId="6" fillId="0" borderId="1" xfId="3" applyNumberFormat="1" applyFont="1" applyBorder="1"/>
    <xf numFmtId="165" fontId="6" fillId="0" borderId="1" xfId="1" applyNumberFormat="1" applyFont="1" applyBorder="1"/>
    <xf numFmtId="43" fontId="6" fillId="0" borderId="1" xfId="1" applyNumberFormat="1" applyFont="1" applyBorder="1"/>
    <xf numFmtId="0" fontId="7" fillId="0" borderId="1" xfId="1" applyFont="1" applyBorder="1" applyAlignment="1">
      <alignment horizontal="center"/>
    </xf>
    <xf numFmtId="165" fontId="7" fillId="0" borderId="3" xfId="3" applyNumberFormat="1" applyFont="1" applyBorder="1"/>
    <xf numFmtId="165" fontId="7" fillId="0" borderId="2" xfId="3" applyNumberFormat="1" applyFont="1" applyBorder="1"/>
    <xf numFmtId="165" fontId="7" fillId="0" borderId="1" xfId="1" applyNumberFormat="1" applyFont="1" applyBorder="1"/>
    <xf numFmtId="0" fontId="7" fillId="0" borderId="1" xfId="1" applyFont="1" applyBorder="1"/>
    <xf numFmtId="165" fontId="7" fillId="0" borderId="4" xfId="3" applyNumberFormat="1" applyFont="1" applyBorder="1"/>
    <xf numFmtId="165" fontId="9" fillId="0" borderId="2" xfId="3" applyNumberFormat="1" applyFont="1" applyBorder="1"/>
    <xf numFmtId="165" fontId="7" fillId="0" borderId="1" xfId="3" applyNumberFormat="1" applyFont="1" applyBorder="1"/>
    <xf numFmtId="0" fontId="6" fillId="0" borderId="1" xfId="1" quotePrefix="1" applyFont="1" applyBorder="1"/>
    <xf numFmtId="165" fontId="6" fillId="0" borderId="2" xfId="1" applyNumberFormat="1" applyFont="1" applyBorder="1"/>
    <xf numFmtId="165" fontId="7" fillId="0" borderId="0" xfId="3" applyNumberFormat="1" applyFont="1" applyBorder="1"/>
    <xf numFmtId="43" fontId="5" fillId="0" borderId="0" xfId="1" applyNumberFormat="1" applyFont="1"/>
    <xf numFmtId="165" fontId="10" fillId="0" borderId="2" xfId="1" applyNumberFormat="1" applyFont="1" applyBorder="1"/>
    <xf numFmtId="165" fontId="10" fillId="0" borderId="2" xfId="1" applyNumberFormat="1" applyFont="1" applyBorder="1" applyAlignment="1">
      <alignment horizontal="center"/>
    </xf>
    <xf numFmtId="165" fontId="11" fillId="0" borderId="1" xfId="3" applyNumberFormat="1" applyFont="1" applyBorder="1"/>
    <xf numFmtId="0" fontId="11" fillId="0" borderId="1" xfId="1" applyFont="1" applyBorder="1"/>
    <xf numFmtId="0" fontId="6" fillId="0" borderId="1" xfId="1" quotePrefix="1" applyFont="1" applyBorder="1" applyAlignment="1">
      <alignment wrapText="1"/>
    </xf>
    <xf numFmtId="165" fontId="7" fillId="0" borderId="2" xfId="3" applyNumberFormat="1" applyFont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43" fontId="7" fillId="0" borderId="1" xfId="1" applyNumberFormat="1" applyFont="1" applyBorder="1" applyAlignment="1">
      <alignment vertical="center"/>
    </xf>
    <xf numFmtId="165" fontId="6" fillId="0" borderId="1" xfId="3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6" fillId="0" borderId="2" xfId="3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0" fontId="7" fillId="0" borderId="1" xfId="1" quotePrefix="1" applyFont="1" applyBorder="1" applyAlignment="1">
      <alignment wrapText="1"/>
    </xf>
    <xf numFmtId="0" fontId="6" fillId="0" borderId="1" xfId="1" quotePrefix="1" applyFont="1" applyBorder="1" applyAlignment="1">
      <alignment vertical="center"/>
    </xf>
    <xf numFmtId="0" fontId="7" fillId="0" borderId="5" xfId="1" applyFont="1" applyBorder="1" applyAlignment="1">
      <alignment horizontal="center"/>
    </xf>
    <xf numFmtId="165" fontId="7" fillId="0" borderId="6" xfId="3" applyNumberFormat="1" applyFont="1" applyBorder="1"/>
    <xf numFmtId="165" fontId="10" fillId="0" borderId="2" xfId="3" applyNumberFormat="1" applyFont="1" applyBorder="1"/>
    <xf numFmtId="0" fontId="3" fillId="0" borderId="0" xfId="1" applyFont="1" applyAlignment="1"/>
    <xf numFmtId="0" fontId="6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165" fontId="11" fillId="0" borderId="1" xfId="3" applyNumberFormat="1" applyFont="1" applyBorder="1" applyAlignment="1">
      <alignment vertical="center"/>
    </xf>
    <xf numFmtId="165" fontId="11" fillId="0" borderId="2" xfId="3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0" fontId="6" fillId="0" borderId="2" xfId="1" quotePrefix="1" applyFont="1" applyBorder="1"/>
    <xf numFmtId="0" fontId="6" fillId="0" borderId="1" xfId="1" quotePrefix="1" applyFont="1" applyBorder="1" applyAlignment="1">
      <alignment vertical="center" wrapText="1"/>
    </xf>
    <xf numFmtId="0" fontId="7" fillId="0" borderId="2" xfId="1" applyFont="1" applyFill="1" applyBorder="1" applyAlignment="1">
      <alignment vertical="center" wrapText="1"/>
    </xf>
    <xf numFmtId="0" fontId="7" fillId="0" borderId="9" xfId="1" applyFont="1" applyFill="1" applyBorder="1" applyAlignment="1">
      <alignment horizontal="left" vertical="center" wrapText="1"/>
    </xf>
    <xf numFmtId="0" fontId="7" fillId="0" borderId="1" xfId="1" quotePrefix="1" applyFont="1" applyBorder="1" applyAlignment="1">
      <alignment vertical="center" wrapText="1"/>
    </xf>
    <xf numFmtId="164" fontId="11" fillId="0" borderId="1" xfId="3" applyNumberFormat="1" applyFont="1" applyBorder="1"/>
    <xf numFmtId="164" fontId="11" fillId="0" borderId="2" xfId="3" applyNumberFormat="1" applyFont="1" applyBorder="1"/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43" fontId="7" fillId="0" borderId="8" xfId="1" applyNumberFormat="1" applyFont="1" applyBorder="1"/>
    <xf numFmtId="43" fontId="6" fillId="0" borderId="8" xfId="1" applyNumberFormat="1" applyFont="1" applyBorder="1"/>
    <xf numFmtId="43" fontId="7" fillId="0" borderId="10" xfId="1" applyNumberFormat="1" applyFont="1" applyBorder="1"/>
    <xf numFmtId="165" fontId="7" fillId="0" borderId="11" xfId="3" applyNumberFormat="1" applyFont="1" applyBorder="1"/>
    <xf numFmtId="43" fontId="6" fillId="0" borderId="8" xfId="1" applyNumberFormat="1" applyFont="1" applyBorder="1" applyAlignment="1">
      <alignment vertical="center"/>
    </xf>
    <xf numFmtId="43" fontId="6" fillId="0" borderId="0" xfId="1" applyNumberFormat="1" applyFont="1" applyBorder="1" applyAlignment="1">
      <alignment vertical="center"/>
    </xf>
    <xf numFmtId="165" fontId="7" fillId="0" borderId="12" xfId="3" applyNumberFormat="1" applyFont="1" applyBorder="1"/>
    <xf numFmtId="43" fontId="7" fillId="0" borderId="8" xfId="1" applyNumberFormat="1" applyFont="1" applyBorder="1" applyAlignment="1">
      <alignment vertical="center"/>
    </xf>
    <xf numFmtId="43" fontId="6" fillId="0" borderId="13" xfId="1" applyNumberFormat="1" applyFont="1" applyBorder="1"/>
    <xf numFmtId="165" fontId="7" fillId="0" borderId="8" xfId="3" applyNumberFormat="1" applyFont="1" applyBorder="1"/>
    <xf numFmtId="43" fontId="6" fillId="0" borderId="14" xfId="1" applyNumberFormat="1" applyFont="1" applyBorder="1" applyAlignment="1">
      <alignment vertical="center"/>
    </xf>
    <xf numFmtId="43" fontId="6" fillId="0" borderId="7" xfId="1" applyNumberFormat="1" applyFont="1" applyBorder="1" applyAlignment="1">
      <alignment vertical="center"/>
    </xf>
    <xf numFmtId="0" fontId="3" fillId="2" borderId="3" xfId="1" applyFont="1" applyFill="1" applyBorder="1" applyAlignment="1">
      <alignment horizontal="center" vertical="center" wrapText="1"/>
    </xf>
    <xf numFmtId="165" fontId="7" fillId="0" borderId="15" xfId="3" applyNumberFormat="1" applyFont="1" applyBorder="1"/>
    <xf numFmtId="0" fontId="6" fillId="0" borderId="0" xfId="1" applyFont="1" applyBorder="1" applyAlignment="1">
      <alignment horizontal="left" vertical="top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6" fillId="3" borderId="9" xfId="1" applyFont="1" applyFill="1" applyBorder="1" applyAlignment="1">
      <alignment horizontal="left" vertical="top"/>
    </xf>
    <xf numFmtId="0" fontId="6" fillId="0" borderId="9" xfId="1" applyFont="1" applyBorder="1"/>
    <xf numFmtId="0" fontId="6" fillId="0" borderId="24" xfId="1" applyFont="1" applyBorder="1"/>
    <xf numFmtId="0" fontId="6" fillId="0" borderId="9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165" fontId="7" fillId="0" borderId="5" xfId="3" applyNumberFormat="1" applyFont="1" applyBorder="1"/>
    <xf numFmtId="165" fontId="7" fillId="0" borderId="5" xfId="1" applyNumberFormat="1" applyFont="1" applyBorder="1" applyAlignment="1">
      <alignment vertical="center"/>
    </xf>
    <xf numFmtId="43" fontId="7" fillId="0" borderId="15" xfId="1" applyNumberFormat="1" applyFont="1" applyBorder="1"/>
    <xf numFmtId="0" fontId="3" fillId="0" borderId="0" xfId="1" applyFont="1" applyAlignment="1">
      <alignment horizontal="center"/>
    </xf>
    <xf numFmtId="0" fontId="7" fillId="2" borderId="22" xfId="1" applyFont="1" applyFill="1" applyBorder="1" applyAlignment="1">
      <alignment horizontal="center" vertical="center"/>
    </xf>
    <xf numFmtId="4" fontId="0" fillId="0" borderId="1" xfId="0" applyNumberFormat="1" applyBorder="1"/>
    <xf numFmtId="165" fontId="7" fillId="0" borderId="20" xfId="3" applyNumberFormat="1" applyFont="1" applyBorder="1"/>
    <xf numFmtId="165" fontId="6" fillId="0" borderId="0" xfId="3" applyNumberFormat="1" applyFont="1" applyBorder="1"/>
    <xf numFmtId="165" fontId="6" fillId="0" borderId="0" xfId="3" applyNumberFormat="1" applyFont="1" applyBorder="1" applyAlignment="1">
      <alignment vertical="center"/>
    </xf>
    <xf numFmtId="0" fontId="7" fillId="0" borderId="23" xfId="1" applyFont="1" applyBorder="1" applyAlignment="1">
      <alignment horizontal="center" vertical="center"/>
    </xf>
    <xf numFmtId="165" fontId="7" fillId="0" borderId="23" xfId="3" applyNumberFormat="1" applyFont="1" applyBorder="1"/>
    <xf numFmtId="165" fontId="6" fillId="0" borderId="23" xfId="3" applyNumberFormat="1" applyFont="1" applyBorder="1"/>
    <xf numFmtId="165" fontId="7" fillId="0" borderId="22" xfId="3" applyNumberFormat="1" applyFont="1" applyBorder="1"/>
    <xf numFmtId="165" fontId="6" fillId="0" borderId="23" xfId="3" applyNumberFormat="1" applyFont="1" applyBorder="1" applyAlignment="1">
      <alignment horizontal="center"/>
    </xf>
    <xf numFmtId="165" fontId="7" fillId="0" borderId="23" xfId="3" applyNumberFormat="1" applyFont="1" applyBorder="1" applyAlignment="1">
      <alignment vertical="center"/>
    </xf>
    <xf numFmtId="165" fontId="6" fillId="0" borderId="23" xfId="3" applyNumberFormat="1" applyFont="1" applyBorder="1" applyAlignment="1">
      <alignment horizontal="center" vertical="center"/>
    </xf>
    <xf numFmtId="165" fontId="6" fillId="0" borderId="23" xfId="3" applyNumberFormat="1" applyFont="1" applyBorder="1" applyAlignment="1">
      <alignment vertical="center"/>
    </xf>
    <xf numFmtId="165" fontId="7" fillId="0" borderId="27" xfId="3" applyNumberFormat="1" applyFont="1" applyBorder="1"/>
    <xf numFmtId="165" fontId="7" fillId="0" borderId="0" xfId="3" applyNumberFormat="1" applyFont="1" applyBorder="1" applyAlignment="1">
      <alignment vertical="center"/>
    </xf>
    <xf numFmtId="43" fontId="7" fillId="0" borderId="3" xfId="1" applyNumberFormat="1" applyFont="1" applyBorder="1"/>
    <xf numFmtId="0" fontId="14" fillId="0" borderId="0" xfId="0" applyFont="1"/>
    <xf numFmtId="0" fontId="7" fillId="0" borderId="0" xfId="1" applyFont="1" applyAlignment="1">
      <alignment horizontal="center"/>
    </xf>
    <xf numFmtId="43" fontId="14" fillId="0" borderId="0" xfId="0" applyNumberFormat="1" applyFont="1"/>
    <xf numFmtId="165" fontId="14" fillId="0" borderId="1" xfId="4" applyNumberFormat="1" applyFont="1" applyBorder="1"/>
    <xf numFmtId="164" fontId="11" fillId="0" borderId="1" xfId="2" applyNumberFormat="1" applyFont="1" applyBorder="1" applyAlignment="1"/>
    <xf numFmtId="165" fontId="14" fillId="0" borderId="0" xfId="4" applyNumberFormat="1" applyFont="1"/>
    <xf numFmtId="4" fontId="14" fillId="0" borderId="1" xfId="0" applyNumberFormat="1" applyFont="1" applyBorder="1"/>
    <xf numFmtId="4" fontId="14" fillId="0" borderId="8" xfId="0" applyNumberFormat="1" applyFont="1" applyBorder="1"/>
    <xf numFmtId="43" fontId="10" fillId="0" borderId="1" xfId="2" applyFont="1" applyBorder="1" applyAlignment="1">
      <alignment horizontal="right"/>
    </xf>
    <xf numFmtId="43" fontId="11" fillId="0" borderId="1" xfId="2" applyFont="1" applyFill="1" applyBorder="1" applyAlignment="1"/>
    <xf numFmtId="43" fontId="11" fillId="0" borderId="1" xfId="2" applyFont="1" applyFill="1" applyBorder="1" applyAlignment="1">
      <alignment vertical="center"/>
    </xf>
    <xf numFmtId="4" fontId="14" fillId="0" borderId="0" xfId="0" applyNumberFormat="1" applyFont="1" applyBorder="1"/>
    <xf numFmtId="166" fontId="11" fillId="0" borderId="1" xfId="1" applyNumberFormat="1" applyFont="1" applyBorder="1" applyAlignment="1">
      <alignment horizontal="right"/>
    </xf>
    <xf numFmtId="4" fontId="14" fillId="0" borderId="7" xfId="0" applyNumberFormat="1" applyFont="1" applyBorder="1"/>
    <xf numFmtId="4" fontId="0" fillId="0" borderId="1" xfId="0" applyNumberFormat="1" applyBorder="1" applyAlignment="1">
      <alignment horizontal="right"/>
    </xf>
    <xf numFmtId="165" fontId="6" fillId="0" borderId="1" xfId="4" applyNumberFormat="1" applyFont="1" applyBorder="1" applyAlignment="1">
      <alignment vertical="center"/>
    </xf>
    <xf numFmtId="165" fontId="6" fillId="0" borderId="2" xfId="3" applyNumberFormat="1" applyFont="1" applyBorder="1" applyAlignment="1"/>
    <xf numFmtId="43" fontId="3" fillId="0" borderId="0" xfId="1" applyNumberFormat="1" applyFont="1" applyAlignment="1">
      <alignment horizontal="center"/>
    </xf>
    <xf numFmtId="165" fontId="5" fillId="0" borderId="0" xfId="4" applyNumberFormat="1" applyFont="1"/>
    <xf numFmtId="43" fontId="3" fillId="0" borderId="0" xfId="1" applyNumberFormat="1" applyFont="1"/>
    <xf numFmtId="166" fontId="11" fillId="0" borderId="5" xfId="1" applyNumberFormat="1" applyFont="1" applyBorder="1" applyAlignment="1">
      <alignment horizontal="right"/>
    </xf>
    <xf numFmtId="43" fontId="6" fillId="0" borderId="5" xfId="1" applyNumberFormat="1" applyFont="1" applyBorder="1" applyAlignment="1">
      <alignment vertical="center"/>
    </xf>
    <xf numFmtId="165" fontId="15" fillId="0" borderId="0" xfId="3" applyNumberFormat="1" applyFont="1" applyBorder="1"/>
    <xf numFmtId="0" fontId="17" fillId="0" borderId="0" xfId="0" applyFont="1"/>
    <xf numFmtId="0" fontId="16" fillId="0" borderId="0" xfId="1" applyFont="1" applyAlignment="1">
      <alignment horizontal="center"/>
    </xf>
    <xf numFmtId="0" fontId="19" fillId="2" borderId="3" xfId="1" applyFont="1" applyFill="1" applyBorder="1" applyAlignment="1">
      <alignment horizontal="center" vertical="center" wrapText="1"/>
    </xf>
    <xf numFmtId="0" fontId="19" fillId="2" borderId="10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16" fillId="0" borderId="23" xfId="1" applyFont="1" applyBorder="1" applyAlignment="1">
      <alignment horizontal="center" vertical="center"/>
    </xf>
    <xf numFmtId="0" fontId="16" fillId="0" borderId="9" xfId="1" applyFont="1" applyBorder="1" applyAlignment="1">
      <alignment horizontal="left" vertical="top"/>
    </xf>
    <xf numFmtId="0" fontId="20" fillId="0" borderId="1" xfId="1" applyFont="1" applyBorder="1"/>
    <xf numFmtId="43" fontId="16" fillId="0" borderId="1" xfId="1" applyNumberFormat="1" applyFont="1" applyBorder="1"/>
    <xf numFmtId="43" fontId="16" fillId="0" borderId="8" xfId="1" applyNumberFormat="1" applyFont="1" applyBorder="1"/>
    <xf numFmtId="165" fontId="16" fillId="0" borderId="23" xfId="3" applyNumberFormat="1" applyFont="1" applyBorder="1"/>
    <xf numFmtId="165" fontId="16" fillId="0" borderId="2" xfId="1" applyNumberFormat="1" applyFont="1" applyBorder="1" applyAlignment="1">
      <alignment horizontal="center"/>
    </xf>
    <xf numFmtId="165" fontId="21" fillId="0" borderId="2" xfId="1" applyNumberFormat="1" applyFont="1" applyBorder="1" applyAlignment="1">
      <alignment horizontal="center"/>
    </xf>
    <xf numFmtId="0" fontId="22" fillId="0" borderId="9" xfId="1" applyFont="1" applyBorder="1" applyAlignment="1">
      <alignment horizontal="left" vertical="top"/>
    </xf>
    <xf numFmtId="0" fontId="22" fillId="0" borderId="1" xfId="1" applyFont="1" applyBorder="1"/>
    <xf numFmtId="165" fontId="22" fillId="0" borderId="2" xfId="3" applyNumberFormat="1" applyFont="1" applyBorder="1"/>
    <xf numFmtId="165" fontId="22" fillId="0" borderId="2" xfId="4" applyNumberFormat="1" applyFont="1" applyBorder="1"/>
    <xf numFmtId="165" fontId="22" fillId="0" borderId="1" xfId="3" applyNumberFormat="1" applyFont="1" applyBorder="1"/>
    <xf numFmtId="164" fontId="23" fillId="0" borderId="1" xfId="3" applyNumberFormat="1" applyFont="1" applyBorder="1"/>
    <xf numFmtId="165" fontId="22" fillId="0" borderId="1" xfId="1" applyNumberFormat="1" applyFont="1" applyBorder="1"/>
    <xf numFmtId="43" fontId="22" fillId="0" borderId="1" xfId="1" applyNumberFormat="1" applyFont="1" applyBorder="1"/>
    <xf numFmtId="43" fontId="22" fillId="0" borderId="8" xfId="1" applyNumberFormat="1" applyFont="1" applyBorder="1"/>
    <xf numFmtId="165" fontId="22" fillId="0" borderId="23" xfId="3" applyNumberFormat="1" applyFont="1" applyBorder="1"/>
    <xf numFmtId="43" fontId="17" fillId="0" borderId="0" xfId="0" applyNumberFormat="1" applyFont="1"/>
    <xf numFmtId="0" fontId="22" fillId="3" borderId="9" xfId="1" applyFont="1" applyFill="1" applyBorder="1" applyAlignment="1">
      <alignment horizontal="left" vertical="top"/>
    </xf>
    <xf numFmtId="0" fontId="22" fillId="3" borderId="1" xfId="1" applyFont="1" applyFill="1" applyBorder="1"/>
    <xf numFmtId="165" fontId="22" fillId="3" borderId="2" xfId="3" applyNumberFormat="1" applyFont="1" applyFill="1" applyBorder="1"/>
    <xf numFmtId="165" fontId="22" fillId="3" borderId="2" xfId="4" applyNumberFormat="1" applyFont="1" applyFill="1" applyBorder="1"/>
    <xf numFmtId="165" fontId="22" fillId="3" borderId="1" xfId="3" applyNumberFormat="1" applyFont="1" applyFill="1" applyBorder="1"/>
    <xf numFmtId="164" fontId="23" fillId="3" borderId="1" xfId="3" applyNumberFormat="1" applyFont="1" applyFill="1" applyBorder="1"/>
    <xf numFmtId="165" fontId="22" fillId="3" borderId="1" xfId="1" applyNumberFormat="1" applyFont="1" applyFill="1" applyBorder="1"/>
    <xf numFmtId="43" fontId="22" fillId="3" borderId="1" xfId="1" applyNumberFormat="1" applyFont="1" applyFill="1" applyBorder="1"/>
    <xf numFmtId="43" fontId="22" fillId="3" borderId="8" xfId="1" applyNumberFormat="1" applyFont="1" applyFill="1" applyBorder="1"/>
    <xf numFmtId="165" fontId="17" fillId="0" borderId="1" xfId="4" applyNumberFormat="1" applyFont="1" applyBorder="1"/>
    <xf numFmtId="164" fontId="23" fillId="0" borderId="2" xfId="3" applyNumberFormat="1" applyFont="1" applyBorder="1"/>
    <xf numFmtId="164" fontId="23" fillId="0" borderId="1" xfId="2" applyNumberFormat="1" applyFont="1" applyBorder="1" applyAlignment="1"/>
    <xf numFmtId="164" fontId="23" fillId="3" borderId="2" xfId="3" applyNumberFormat="1" applyFont="1" applyFill="1" applyBorder="1"/>
    <xf numFmtId="0" fontId="17" fillId="3" borderId="0" xfId="0" applyFont="1" applyFill="1"/>
    <xf numFmtId="0" fontId="22" fillId="0" borderId="9" xfId="1" applyFont="1" applyBorder="1"/>
    <xf numFmtId="165" fontId="22" fillId="0" borderId="0" xfId="3" applyNumberFormat="1" applyFont="1" applyBorder="1"/>
    <xf numFmtId="165" fontId="22" fillId="0" borderId="28" xfId="3" applyNumberFormat="1" applyFont="1" applyBorder="1"/>
    <xf numFmtId="0" fontId="23" fillId="0" borderId="1" xfId="1" applyFont="1" applyBorder="1"/>
    <xf numFmtId="43" fontId="22" fillId="0" borderId="13" xfId="1" applyNumberFormat="1" applyFont="1" applyBorder="1"/>
    <xf numFmtId="165" fontId="16" fillId="0" borderId="2" xfId="3" applyNumberFormat="1" applyFont="1" applyBorder="1"/>
    <xf numFmtId="165" fontId="16" fillId="0" borderId="0" xfId="3" applyNumberFormat="1" applyFont="1" applyBorder="1" applyAlignment="1">
      <alignment horizontal="right"/>
    </xf>
    <xf numFmtId="165" fontId="16" fillId="0" borderId="8" xfId="3" applyNumberFormat="1" applyFont="1" applyBorder="1"/>
    <xf numFmtId="165" fontId="16" fillId="0" borderId="1" xfId="3" applyNumberFormat="1" applyFont="1" applyBorder="1"/>
    <xf numFmtId="165" fontId="16" fillId="0" borderId="0" xfId="3" applyNumberFormat="1" applyFont="1" applyBorder="1"/>
    <xf numFmtId="4" fontId="17" fillId="0" borderId="0" xfId="0" applyNumberFormat="1" applyFont="1" applyAlignment="1">
      <alignment horizontal="right"/>
    </xf>
    <xf numFmtId="165" fontId="22" fillId="0" borderId="8" xfId="3" applyNumberFormat="1" applyFont="1" applyBorder="1"/>
    <xf numFmtId="165" fontId="23" fillId="0" borderId="1" xfId="3" applyNumberFormat="1" applyFont="1" applyBorder="1"/>
    <xf numFmtId="165" fontId="17" fillId="0" borderId="0" xfId="4" applyNumberFormat="1" applyFont="1"/>
    <xf numFmtId="0" fontId="16" fillId="0" borderId="1" xfId="1" applyFont="1" applyBorder="1"/>
    <xf numFmtId="167" fontId="17" fillId="0" borderId="0" xfId="0" applyNumberFormat="1" applyFont="1" applyAlignment="1">
      <alignment horizontal="right"/>
    </xf>
    <xf numFmtId="4" fontId="17" fillId="0" borderId="0" xfId="0" applyNumberFormat="1" applyFont="1"/>
    <xf numFmtId="4" fontId="17" fillId="0" borderId="1" xfId="0" applyNumberFormat="1" applyFont="1" applyBorder="1"/>
    <xf numFmtId="0" fontId="17" fillId="0" borderId="0" xfId="0" applyFont="1" applyAlignment="1">
      <alignment wrapText="1"/>
    </xf>
    <xf numFmtId="165" fontId="25" fillId="0" borderId="2" xfId="3" applyNumberFormat="1" applyFont="1" applyBorder="1"/>
    <xf numFmtId="0" fontId="22" fillId="0" borderId="1" xfId="1" applyFont="1" applyBorder="1" applyAlignment="1">
      <alignment wrapText="1"/>
    </xf>
    <xf numFmtId="0" fontId="22" fillId="0" borderId="1" xfId="1" applyFont="1" applyBorder="1" applyAlignment="1">
      <alignment vertical="center" wrapText="1"/>
    </xf>
    <xf numFmtId="165" fontId="22" fillId="0" borderId="2" xfId="3" applyNumberFormat="1" applyFont="1" applyBorder="1" applyAlignment="1">
      <alignment vertical="center"/>
    </xf>
    <xf numFmtId="165" fontId="22" fillId="0" borderId="2" xfId="3" applyNumberFormat="1" applyFont="1" applyBorder="1" applyAlignment="1"/>
    <xf numFmtId="165" fontId="22" fillId="0" borderId="1" xfId="3" applyNumberFormat="1" applyFont="1" applyBorder="1" applyAlignment="1">
      <alignment vertical="center"/>
    </xf>
    <xf numFmtId="165" fontId="23" fillId="0" borderId="1" xfId="3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43" fontId="22" fillId="0" borderId="1" xfId="1" applyNumberFormat="1" applyFont="1" applyBorder="1" applyAlignment="1">
      <alignment vertical="center"/>
    </xf>
    <xf numFmtId="43" fontId="22" fillId="0" borderId="8" xfId="1" applyNumberFormat="1" applyFont="1" applyBorder="1" applyAlignment="1">
      <alignment vertical="center"/>
    </xf>
    <xf numFmtId="4" fontId="17" fillId="0" borderId="8" xfId="0" applyNumberFormat="1" applyFont="1" applyBorder="1"/>
    <xf numFmtId="165" fontId="22" fillId="0" borderId="23" xfId="3" applyNumberFormat="1" applyFont="1" applyBorder="1" applyAlignment="1">
      <alignment horizontal="center"/>
    </xf>
    <xf numFmtId="165" fontId="23" fillId="0" borderId="2" xfId="3" applyNumberFormat="1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43" fontId="22" fillId="0" borderId="2" xfId="1" applyNumberFormat="1" applyFont="1" applyBorder="1" applyAlignment="1">
      <alignment vertical="center"/>
    </xf>
    <xf numFmtId="43" fontId="22" fillId="0" borderId="0" xfId="1" applyNumberFormat="1" applyFont="1" applyBorder="1" applyAlignment="1">
      <alignment vertical="center"/>
    </xf>
    <xf numFmtId="43" fontId="22" fillId="0" borderId="14" xfId="1" applyNumberFormat="1" applyFont="1" applyBorder="1" applyAlignment="1">
      <alignment vertical="center"/>
    </xf>
    <xf numFmtId="43" fontId="22" fillId="0" borderId="7" xfId="1" applyNumberFormat="1" applyFont="1" applyBorder="1" applyAlignment="1">
      <alignment vertical="center"/>
    </xf>
    <xf numFmtId="165" fontId="16" fillId="0" borderId="23" xfId="3" applyNumberFormat="1" applyFont="1" applyBorder="1" applyAlignment="1">
      <alignment vertical="center"/>
    </xf>
    <xf numFmtId="165" fontId="16" fillId="0" borderId="20" xfId="3" applyNumberFormat="1" applyFont="1" applyBorder="1"/>
    <xf numFmtId="43" fontId="16" fillId="0" borderId="1" xfId="1" applyNumberFormat="1" applyFont="1" applyBorder="1" applyAlignment="1">
      <alignment vertical="center"/>
    </xf>
    <xf numFmtId="43" fontId="16" fillId="0" borderId="8" xfId="1" applyNumberFormat="1" applyFont="1" applyBorder="1" applyAlignment="1">
      <alignment vertical="center"/>
    </xf>
    <xf numFmtId="0" fontId="16" fillId="0" borderId="9" xfId="1" applyFont="1" applyFill="1" applyBorder="1" applyAlignment="1">
      <alignment horizontal="left" vertical="center" wrapText="1"/>
    </xf>
    <xf numFmtId="0" fontId="16" fillId="0" borderId="2" xfId="1" applyFont="1" applyFill="1" applyBorder="1" applyAlignment="1">
      <alignment vertical="center" wrapText="1"/>
    </xf>
    <xf numFmtId="4" fontId="24" fillId="0" borderId="0" xfId="0" applyNumberFormat="1" applyFont="1" applyAlignment="1">
      <alignment horizontal="right"/>
    </xf>
    <xf numFmtId="165" fontId="21" fillId="0" borderId="2" xfId="3" applyNumberFormat="1" applyFont="1" applyBorder="1"/>
    <xf numFmtId="165" fontId="16" fillId="0" borderId="1" xfId="1" applyNumberFormat="1" applyFont="1" applyBorder="1"/>
    <xf numFmtId="4" fontId="17" fillId="0" borderId="1" xfId="0" applyNumberFormat="1" applyFont="1" applyBorder="1" applyAlignment="1">
      <alignment horizontal="right"/>
    </xf>
    <xf numFmtId="165" fontId="16" fillId="0" borderId="2" xfId="3" applyNumberFormat="1" applyFont="1" applyBorder="1" applyAlignment="1">
      <alignment vertical="center"/>
    </xf>
    <xf numFmtId="165" fontId="16" fillId="0" borderId="1" xfId="3" applyNumberFormat="1" applyFont="1" applyBorder="1" applyAlignment="1">
      <alignment vertical="center"/>
    </xf>
    <xf numFmtId="4" fontId="26" fillId="0" borderId="1" xfId="0" applyNumberFormat="1" applyFont="1" applyBorder="1" applyAlignment="1">
      <alignment horizontal="right"/>
    </xf>
    <xf numFmtId="43" fontId="21" fillId="0" borderId="1" xfId="2" applyFont="1" applyBorder="1" applyAlignment="1">
      <alignment horizontal="right"/>
    </xf>
    <xf numFmtId="0" fontId="22" fillId="0" borderId="1" xfId="1" quotePrefix="1" applyFont="1" applyBorder="1"/>
    <xf numFmtId="43" fontId="23" fillId="0" borderId="1" xfId="2" applyFont="1" applyFill="1" applyBorder="1" applyAlignment="1"/>
    <xf numFmtId="0" fontId="22" fillId="0" borderId="1" xfId="1" quotePrefix="1" applyFont="1" applyBorder="1" applyAlignment="1">
      <alignment vertical="center" wrapText="1"/>
    </xf>
    <xf numFmtId="43" fontId="23" fillId="0" borderId="1" xfId="2" applyFont="1" applyFill="1" applyBorder="1" applyAlignment="1">
      <alignment vertical="center"/>
    </xf>
    <xf numFmtId="0" fontId="22" fillId="0" borderId="1" xfId="1" quotePrefix="1" applyFont="1" applyBorder="1" applyAlignment="1">
      <alignment wrapText="1"/>
    </xf>
    <xf numFmtId="165" fontId="22" fillId="0" borderId="0" xfId="3" applyNumberFormat="1" applyFont="1" applyBorder="1" applyAlignment="1">
      <alignment vertical="center"/>
    </xf>
    <xf numFmtId="165" fontId="22" fillId="0" borderId="23" xfId="3" applyNumberFormat="1" applyFont="1" applyBorder="1" applyAlignment="1">
      <alignment horizontal="center" vertical="center"/>
    </xf>
    <xf numFmtId="0" fontId="16" fillId="0" borderId="1" xfId="1" quotePrefix="1" applyFont="1" applyBorder="1" applyAlignment="1">
      <alignment wrapText="1"/>
    </xf>
    <xf numFmtId="165" fontId="16" fillId="0" borderId="0" xfId="3" applyNumberFormat="1" applyFont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0" fontId="22" fillId="0" borderId="9" xfId="1" applyFont="1" applyBorder="1" applyAlignment="1">
      <alignment horizontal="left" vertical="center"/>
    </xf>
    <xf numFmtId="165" fontId="22" fillId="0" borderId="1" xfId="4" applyNumberFormat="1" applyFont="1" applyBorder="1" applyAlignment="1">
      <alignment vertical="center"/>
    </xf>
    <xf numFmtId="165" fontId="22" fillId="0" borderId="23" xfId="3" applyNumberFormat="1" applyFont="1" applyBorder="1" applyAlignment="1">
      <alignment vertical="center"/>
    </xf>
    <xf numFmtId="0" fontId="16" fillId="0" borderId="9" xfId="1" applyFont="1" applyBorder="1" applyAlignment="1">
      <alignment horizontal="left" vertical="center"/>
    </xf>
    <xf numFmtId="0" fontId="16" fillId="0" borderId="1" xfId="1" quotePrefix="1" applyFont="1" applyBorder="1" applyAlignment="1">
      <alignment vertical="center" wrapText="1"/>
    </xf>
    <xf numFmtId="0" fontId="22" fillId="0" borderId="1" xfId="1" quotePrefix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165" fontId="16" fillId="0" borderId="8" xfId="3" applyNumberFormat="1" applyFont="1" applyBorder="1" applyAlignment="1">
      <alignment vertical="center"/>
    </xf>
    <xf numFmtId="0" fontId="22" fillId="0" borderId="1" xfId="1" applyFont="1" applyBorder="1" applyAlignment="1">
      <alignment vertical="center"/>
    </xf>
    <xf numFmtId="4" fontId="17" fillId="0" borderId="8" xfId="0" applyNumberFormat="1" applyFont="1" applyBorder="1" applyAlignment="1">
      <alignment horizontal="right"/>
    </xf>
    <xf numFmtId="166" fontId="23" fillId="0" borderId="1" xfId="1" applyNumberFormat="1" applyFont="1" applyBorder="1" applyAlignment="1">
      <alignment horizontal="right"/>
    </xf>
    <xf numFmtId="165" fontId="22" fillId="0" borderId="2" xfId="1" applyNumberFormat="1" applyFont="1" applyBorder="1"/>
    <xf numFmtId="0" fontId="22" fillId="0" borderId="0" xfId="1" applyFont="1" applyBorder="1" applyAlignment="1">
      <alignment horizontal="left" vertical="top"/>
    </xf>
    <xf numFmtId="0" fontId="22" fillId="0" borderId="2" xfId="1" quotePrefix="1" applyFont="1" applyBorder="1"/>
    <xf numFmtId="0" fontId="22" fillId="0" borderId="0" xfId="1" applyFont="1" applyBorder="1"/>
    <xf numFmtId="0" fontId="19" fillId="0" borderId="0" xfId="1" applyFont="1" applyAlignment="1">
      <alignment horizontal="center"/>
    </xf>
    <xf numFmtId="43" fontId="27" fillId="0" borderId="0" xfId="1" applyNumberFormat="1" applyFont="1"/>
    <xf numFmtId="0" fontId="27" fillId="0" borderId="0" xfId="1" applyFont="1"/>
    <xf numFmtId="43" fontId="19" fillId="0" borderId="0" xfId="1" applyNumberFormat="1" applyFont="1" applyAlignment="1">
      <alignment horizontal="center"/>
    </xf>
    <xf numFmtId="0" fontId="19" fillId="0" borderId="0" xfId="1" applyFont="1" applyAlignment="1"/>
    <xf numFmtId="0" fontId="19" fillId="0" borderId="0" xfId="1" applyFont="1"/>
    <xf numFmtId="43" fontId="19" fillId="0" borderId="0" xfId="1" applyNumberFormat="1" applyFont="1"/>
    <xf numFmtId="165" fontId="27" fillId="0" borderId="0" xfId="4" applyNumberFormat="1" applyFont="1"/>
    <xf numFmtId="0" fontId="28" fillId="0" borderId="0" xfId="1" applyFont="1" applyAlignment="1">
      <alignment horizontal="center"/>
    </xf>
    <xf numFmtId="165" fontId="21" fillId="0" borderId="1" xfId="3" applyNumberFormat="1" applyFont="1" applyBorder="1"/>
    <xf numFmtId="165" fontId="17" fillId="0" borderId="0" xfId="4" applyNumberFormat="1" applyFont="1" applyAlignment="1">
      <alignment horizontal="right"/>
    </xf>
    <xf numFmtId="165" fontId="16" fillId="0" borderId="23" xfId="3" applyNumberFormat="1" applyFont="1" applyBorder="1" applyAlignment="1">
      <alignment horizontal="center" vertical="center"/>
    </xf>
    <xf numFmtId="165" fontId="29" fillId="0" borderId="0" xfId="4" applyNumberFormat="1" applyFont="1" applyAlignment="1">
      <alignment horizontal="right"/>
    </xf>
    <xf numFmtId="4" fontId="29" fillId="0" borderId="0" xfId="0" applyNumberFormat="1" applyFont="1" applyAlignment="1">
      <alignment horizontal="right"/>
    </xf>
    <xf numFmtId="4" fontId="29" fillId="0" borderId="1" xfId="0" applyNumberFormat="1" applyFont="1" applyBorder="1" applyAlignment="1">
      <alignment horizontal="right"/>
    </xf>
    <xf numFmtId="165" fontId="27" fillId="0" borderId="0" xfId="1" applyNumberFormat="1" applyFont="1"/>
    <xf numFmtId="165" fontId="19" fillId="0" borderId="0" xfId="4" applyNumberFormat="1" applyFont="1"/>
    <xf numFmtId="165" fontId="19" fillId="0" borderId="0" xfId="1" applyNumberFormat="1" applyFont="1"/>
    <xf numFmtId="43" fontId="16" fillId="4" borderId="3" xfId="1" applyNumberFormat="1" applyFont="1" applyFill="1" applyBorder="1"/>
    <xf numFmtId="43" fontId="16" fillId="4" borderId="10" xfId="1" applyNumberFormat="1" applyFont="1" applyFill="1" applyBorder="1"/>
    <xf numFmtId="165" fontId="16" fillId="4" borderId="3" xfId="3" applyNumberFormat="1" applyFont="1" applyFill="1" applyBorder="1"/>
    <xf numFmtId="165" fontId="22" fillId="0" borderId="7" xfId="3" applyNumberFormat="1" applyFont="1" applyBorder="1"/>
    <xf numFmtId="0" fontId="31" fillId="0" borderId="0" xfId="0" applyFont="1"/>
    <xf numFmtId="165" fontId="31" fillId="0" borderId="8" xfId="4" applyNumberFormat="1" applyFont="1" applyBorder="1"/>
    <xf numFmtId="0" fontId="31" fillId="0" borderId="0" xfId="0" applyFont="1" applyBorder="1"/>
    <xf numFmtId="0" fontId="31" fillId="0" borderId="1" xfId="0" applyFont="1" applyBorder="1"/>
    <xf numFmtId="165" fontId="31" fillId="0" borderId="0" xfId="4" applyNumberFormat="1" applyFont="1" applyBorder="1"/>
    <xf numFmtId="43" fontId="31" fillId="0" borderId="0" xfId="0" applyNumberFormat="1" applyFont="1"/>
    <xf numFmtId="0" fontId="33" fillId="0" borderId="1" xfId="1" applyFont="1" applyBorder="1" applyAlignment="1">
      <alignment horizontal="left" vertical="top"/>
    </xf>
    <xf numFmtId="0" fontId="31" fillId="0" borderId="23" xfId="0" applyFont="1" applyBorder="1"/>
    <xf numFmtId="0" fontId="33" fillId="0" borderId="1" xfId="1" applyFont="1" applyBorder="1" applyAlignment="1">
      <alignment vertical="center" wrapText="1"/>
    </xf>
    <xf numFmtId="0" fontId="31" fillId="0" borderId="34" xfId="0" applyFont="1" applyBorder="1"/>
    <xf numFmtId="0" fontId="33" fillId="0" borderId="1" xfId="1" applyFont="1" applyBorder="1" applyAlignment="1">
      <alignment vertical="center"/>
    </xf>
    <xf numFmtId="165" fontId="31" fillId="0" borderId="0" xfId="4" applyNumberFormat="1" applyFont="1" applyBorder="1" applyAlignment="1">
      <alignment horizontal="right"/>
    </xf>
    <xf numFmtId="4" fontId="31" fillId="0" borderId="0" xfId="0" applyNumberFormat="1" applyFont="1" applyBorder="1" applyAlignment="1">
      <alignment horizontal="right"/>
    </xf>
    <xf numFmtId="0" fontId="31" fillId="0" borderId="35" xfId="0" applyFont="1" applyBorder="1"/>
    <xf numFmtId="0" fontId="31" fillId="0" borderId="40" xfId="0" applyFont="1" applyBorder="1"/>
    <xf numFmtId="0" fontId="31" fillId="0" borderId="39" xfId="0" applyFont="1" applyBorder="1" applyAlignment="1">
      <alignment wrapText="1"/>
    </xf>
    <xf numFmtId="165" fontId="31" fillId="0" borderId="39" xfId="4" applyNumberFormat="1" applyFont="1" applyBorder="1"/>
    <xf numFmtId="4" fontId="31" fillId="0" borderId="36" xfId="0" applyNumberFormat="1" applyFont="1" applyBorder="1" applyAlignment="1">
      <alignment horizontal="right"/>
    </xf>
    <xf numFmtId="0" fontId="31" fillId="0" borderId="36" xfId="0" applyFont="1" applyBorder="1"/>
    <xf numFmtId="0" fontId="31" fillId="0" borderId="42" xfId="0" applyFont="1" applyBorder="1"/>
    <xf numFmtId="165" fontId="31" fillId="0" borderId="0" xfId="0" applyNumberFormat="1" applyFont="1"/>
    <xf numFmtId="0" fontId="32" fillId="3" borderId="3" xfId="1" applyFont="1" applyFill="1" applyBorder="1"/>
    <xf numFmtId="0" fontId="32" fillId="3" borderId="1" xfId="1" applyFont="1" applyFill="1" applyBorder="1"/>
    <xf numFmtId="0" fontId="0" fillId="0" borderId="3" xfId="0" applyBorder="1"/>
    <xf numFmtId="165" fontId="30" fillId="3" borderId="3" xfId="4" applyNumberFormat="1" applyFont="1" applyFill="1" applyBorder="1"/>
    <xf numFmtId="165" fontId="30" fillId="3" borderId="3" xfId="0" applyNumberFormat="1" applyFont="1" applyFill="1" applyBorder="1"/>
    <xf numFmtId="43" fontId="0" fillId="3" borderId="3" xfId="5" applyFont="1" applyFill="1" applyBorder="1"/>
    <xf numFmtId="168" fontId="0" fillId="3" borderId="3" xfId="5" applyNumberFormat="1" applyFont="1" applyFill="1" applyBorder="1"/>
    <xf numFmtId="43" fontId="0" fillId="0" borderId="3" xfId="5" applyFont="1" applyBorder="1"/>
    <xf numFmtId="0" fontId="0" fillId="0" borderId="3" xfId="0" applyFill="1" applyBorder="1" applyAlignment="1">
      <alignment horizontal="center"/>
    </xf>
    <xf numFmtId="0" fontId="30" fillId="3" borderId="34" xfId="0" applyFont="1" applyFill="1" applyBorder="1" applyAlignment="1">
      <alignment horizontal="center"/>
    </xf>
    <xf numFmtId="0" fontId="31" fillId="3" borderId="28" xfId="0" applyFont="1" applyFill="1" applyBorder="1"/>
    <xf numFmtId="0" fontId="31" fillId="3" borderId="8" xfId="0" applyFont="1" applyFill="1" applyBorder="1"/>
    <xf numFmtId="165" fontId="31" fillId="3" borderId="13" xfId="4" applyNumberFormat="1" applyFont="1" applyFill="1" applyBorder="1"/>
    <xf numFmtId="165" fontId="31" fillId="3" borderId="8" xfId="4" applyNumberFormat="1" applyFont="1" applyFill="1" applyBorder="1"/>
    <xf numFmtId="165" fontId="31" fillId="3" borderId="1" xfId="4" applyNumberFormat="1" applyFont="1" applyFill="1" applyBorder="1"/>
    <xf numFmtId="0" fontId="31" fillId="3" borderId="0" xfId="0" applyFont="1" applyFill="1" applyBorder="1"/>
    <xf numFmtId="0" fontId="31" fillId="3" borderId="1" xfId="0" applyFont="1" applyFill="1" applyBorder="1"/>
    <xf numFmtId="165" fontId="31" fillId="3" borderId="0" xfId="4" applyNumberFormat="1" applyFont="1" applyFill="1" applyBorder="1"/>
    <xf numFmtId="165" fontId="31" fillId="3" borderId="23" xfId="4" applyNumberFormat="1" applyFont="1" applyFill="1" applyBorder="1"/>
    <xf numFmtId="165" fontId="31" fillId="3" borderId="14" xfId="4" applyNumberFormat="1" applyFont="1" applyFill="1" applyBorder="1"/>
    <xf numFmtId="0" fontId="33" fillId="3" borderId="1" xfId="1" applyFont="1" applyFill="1" applyBorder="1" applyAlignment="1">
      <alignment horizontal="left" vertical="top"/>
    </xf>
    <xf numFmtId="0" fontId="33" fillId="3" borderId="1" xfId="1" applyFont="1" applyFill="1" applyBorder="1"/>
    <xf numFmtId="165" fontId="33" fillId="3" borderId="0" xfId="3" applyNumberFormat="1" applyFont="1" applyFill="1" applyBorder="1"/>
    <xf numFmtId="0" fontId="31" fillId="3" borderId="11" xfId="0" applyFont="1" applyFill="1" applyBorder="1"/>
    <xf numFmtId="0" fontId="31" fillId="3" borderId="3" xfId="0" applyFont="1" applyFill="1" applyBorder="1"/>
    <xf numFmtId="0" fontId="30" fillId="3" borderId="8" xfId="0" applyFont="1" applyFill="1" applyBorder="1"/>
    <xf numFmtId="0" fontId="30" fillId="3" borderId="1" xfId="0" applyFont="1" applyFill="1" applyBorder="1"/>
    <xf numFmtId="0" fontId="31" fillId="3" borderId="23" xfId="0" applyFont="1" applyFill="1" applyBorder="1"/>
    <xf numFmtId="0" fontId="33" fillId="3" borderId="1" xfId="1" applyFont="1" applyFill="1" applyBorder="1" applyAlignment="1">
      <alignment wrapText="1"/>
    </xf>
    <xf numFmtId="0" fontId="33" fillId="3" borderId="1" xfId="1" applyFont="1" applyFill="1" applyBorder="1" applyAlignment="1">
      <alignment vertical="center" wrapText="1"/>
    </xf>
    <xf numFmtId="0" fontId="31" fillId="3" borderId="34" xfId="0" applyFont="1" applyFill="1" applyBorder="1"/>
    <xf numFmtId="0" fontId="31" fillId="3" borderId="10" xfId="0" applyFont="1" applyFill="1" applyBorder="1"/>
    <xf numFmtId="0" fontId="31" fillId="3" borderId="22" xfId="0" applyFont="1" applyFill="1" applyBorder="1"/>
    <xf numFmtId="0" fontId="33" fillId="3" borderId="1" xfId="1" applyFont="1" applyFill="1" applyBorder="1" applyAlignment="1">
      <alignment horizontal="left" vertical="center" wrapText="1"/>
    </xf>
    <xf numFmtId="0" fontId="31" fillId="3" borderId="23" xfId="0" applyFont="1" applyFill="1" applyBorder="1" applyAlignment="1">
      <alignment horizontal="right"/>
    </xf>
    <xf numFmtId="165" fontId="31" fillId="3" borderId="23" xfId="4" applyNumberFormat="1" applyFont="1" applyFill="1" applyBorder="1" applyAlignment="1">
      <alignment horizontal="right"/>
    </xf>
    <xf numFmtId="0" fontId="33" fillId="3" borderId="1" xfId="1" quotePrefix="1" applyFont="1" applyFill="1" applyBorder="1" applyAlignment="1">
      <alignment wrapText="1"/>
    </xf>
    <xf numFmtId="0" fontId="33" fillId="3" borderId="1" xfId="1" applyFont="1" applyFill="1" applyBorder="1" applyAlignment="1">
      <alignment horizontal="left" vertical="center"/>
    </xf>
    <xf numFmtId="0" fontId="33" fillId="3" borderId="1" xfId="1" quotePrefix="1" applyFont="1" applyFill="1" applyBorder="1" applyAlignment="1">
      <alignment vertical="center" wrapText="1"/>
    </xf>
    <xf numFmtId="0" fontId="30" fillId="2" borderId="28" xfId="0" applyFont="1" applyFill="1" applyBorder="1" applyAlignment="1">
      <alignment horizontal="center" vertical="center"/>
    </xf>
    <xf numFmtId="0" fontId="30" fillId="2" borderId="45" xfId="0" applyFont="1" applyFill="1" applyBorder="1" applyAlignment="1">
      <alignment horizontal="center" vertical="center"/>
    </xf>
    <xf numFmtId="0" fontId="30" fillId="5" borderId="47" xfId="0" applyFont="1" applyFill="1" applyBorder="1" applyAlignment="1">
      <alignment horizontal="center" vertical="center"/>
    </xf>
    <xf numFmtId="0" fontId="30" fillId="5" borderId="43" xfId="0" applyFont="1" applyFill="1" applyBorder="1" applyAlignment="1">
      <alignment horizontal="left" vertical="center"/>
    </xf>
    <xf numFmtId="0" fontId="16" fillId="5" borderId="43" xfId="1" applyFont="1" applyFill="1" applyBorder="1"/>
    <xf numFmtId="43" fontId="30" fillId="5" borderId="43" xfId="0" applyNumberFormat="1" applyFont="1" applyFill="1" applyBorder="1" applyAlignment="1">
      <alignment horizontal="center" vertical="center"/>
    </xf>
    <xf numFmtId="0" fontId="30" fillId="4" borderId="38" xfId="0" applyFont="1" applyFill="1" applyBorder="1" applyAlignment="1">
      <alignment horizontal="center"/>
    </xf>
    <xf numFmtId="0" fontId="32" fillId="4" borderId="38" xfId="1" applyFont="1" applyFill="1" applyBorder="1" applyAlignment="1">
      <alignment horizontal="left" vertical="top"/>
    </xf>
    <xf numFmtId="0" fontId="32" fillId="4" borderId="7" xfId="1" applyFont="1" applyFill="1" applyBorder="1"/>
    <xf numFmtId="165" fontId="30" fillId="4" borderId="37" xfId="4" applyNumberFormat="1" applyFont="1" applyFill="1" applyBorder="1"/>
    <xf numFmtId="165" fontId="30" fillId="4" borderId="14" xfId="4" applyNumberFormat="1" applyFont="1" applyFill="1" applyBorder="1"/>
    <xf numFmtId="0" fontId="30" fillId="4" borderId="7" xfId="0" applyFont="1" applyFill="1" applyBorder="1"/>
    <xf numFmtId="0" fontId="30" fillId="4" borderId="37" xfId="0" applyFont="1" applyFill="1" applyBorder="1"/>
    <xf numFmtId="165" fontId="30" fillId="4" borderId="7" xfId="4" applyNumberFormat="1" applyFont="1" applyFill="1" applyBorder="1"/>
    <xf numFmtId="165" fontId="30" fillId="4" borderId="46" xfId="4" applyNumberFormat="1" applyFont="1" applyFill="1" applyBorder="1"/>
    <xf numFmtId="0" fontId="30" fillId="4" borderId="41" xfId="0" applyFont="1" applyFill="1" applyBorder="1" applyAlignment="1">
      <alignment horizontal="center"/>
    </xf>
    <xf numFmtId="0" fontId="32" fillId="4" borderId="3" xfId="1" applyFont="1" applyFill="1" applyBorder="1" applyAlignment="1">
      <alignment horizontal="left" vertical="top"/>
    </xf>
    <xf numFmtId="0" fontId="32" fillId="4" borderId="3" xfId="1" applyFont="1" applyFill="1" applyBorder="1"/>
    <xf numFmtId="165" fontId="30" fillId="4" borderId="11" xfId="0" applyNumberFormat="1" applyFont="1" applyFill="1" applyBorder="1"/>
    <xf numFmtId="165" fontId="30" fillId="4" borderId="10" xfId="0" applyNumberFormat="1" applyFont="1" applyFill="1" applyBorder="1"/>
    <xf numFmtId="165" fontId="30" fillId="4" borderId="3" xfId="4" applyNumberFormat="1" applyFont="1" applyFill="1" applyBorder="1"/>
    <xf numFmtId="165" fontId="30" fillId="4" borderId="11" xfId="4" applyNumberFormat="1" applyFont="1" applyFill="1" applyBorder="1"/>
    <xf numFmtId="165" fontId="30" fillId="4" borderId="22" xfId="4" applyNumberFormat="1" applyFont="1" applyFill="1" applyBorder="1"/>
    <xf numFmtId="0" fontId="30" fillId="4" borderId="10" xfId="0" applyFont="1" applyFill="1" applyBorder="1" applyAlignment="1">
      <alignment horizontal="center"/>
    </xf>
    <xf numFmtId="165" fontId="30" fillId="4" borderId="10" xfId="4" applyNumberFormat="1" applyFont="1" applyFill="1" applyBorder="1"/>
    <xf numFmtId="0" fontId="30" fillId="4" borderId="3" xfId="0" applyFont="1" applyFill="1" applyBorder="1"/>
    <xf numFmtId="0" fontId="31" fillId="4" borderId="11" xfId="0" applyFont="1" applyFill="1" applyBorder="1"/>
    <xf numFmtId="0" fontId="31" fillId="4" borderId="3" xfId="0" applyFont="1" applyFill="1" applyBorder="1"/>
    <xf numFmtId="0" fontId="30" fillId="4" borderId="22" xfId="0" applyFont="1" applyFill="1" applyBorder="1"/>
    <xf numFmtId="0" fontId="30" fillId="4" borderId="3" xfId="0" applyFont="1" applyFill="1" applyBorder="1" applyAlignment="1">
      <alignment horizontal="center"/>
    </xf>
    <xf numFmtId="43" fontId="31" fillId="0" borderId="0" xfId="0" applyNumberFormat="1" applyFont="1" applyBorder="1"/>
    <xf numFmtId="165" fontId="30" fillId="0" borderId="0" xfId="0" applyNumberFormat="1" applyFont="1" applyBorder="1"/>
    <xf numFmtId="165" fontId="31" fillId="0" borderId="0" xfId="0" applyNumberFormat="1" applyFont="1" applyBorder="1"/>
    <xf numFmtId="0" fontId="16" fillId="5" borderId="3" xfId="1" applyFont="1" applyFill="1" applyBorder="1" applyAlignment="1">
      <alignment horizontal="left" vertical="top"/>
    </xf>
    <xf numFmtId="0" fontId="20" fillId="5" borderId="3" xfId="1" applyFont="1" applyFill="1" applyBorder="1"/>
    <xf numFmtId="165" fontId="16" fillId="5" borderId="4" xfId="1" applyNumberFormat="1" applyFont="1" applyFill="1" applyBorder="1"/>
    <xf numFmtId="165" fontId="21" fillId="5" borderId="4" xfId="1" applyNumberFormat="1" applyFont="1" applyFill="1" applyBorder="1"/>
    <xf numFmtId="43" fontId="16" fillId="5" borderId="3" xfId="1" applyNumberFormat="1" applyFont="1" applyFill="1" applyBorder="1"/>
    <xf numFmtId="43" fontId="16" fillId="5" borderId="10" xfId="1" applyNumberFormat="1" applyFont="1" applyFill="1" applyBorder="1"/>
    <xf numFmtId="165" fontId="16" fillId="5" borderId="3" xfId="3" applyNumberFormat="1" applyFont="1" applyFill="1" applyBorder="1"/>
    <xf numFmtId="0" fontId="22" fillId="4" borderId="9" xfId="1" applyFont="1" applyFill="1" applyBorder="1"/>
    <xf numFmtId="0" fontId="16" fillId="4" borderId="1" xfId="1" applyFont="1" applyFill="1" applyBorder="1" applyAlignment="1">
      <alignment horizontal="center"/>
    </xf>
    <xf numFmtId="165" fontId="16" fillId="4" borderId="3" xfId="4" applyNumberFormat="1" applyFont="1" applyFill="1" applyBorder="1"/>
    <xf numFmtId="165" fontId="16" fillId="4" borderId="4" xfId="3" applyNumberFormat="1" applyFont="1" applyFill="1" applyBorder="1"/>
    <xf numFmtId="165" fontId="16" fillId="4" borderId="11" xfId="3" applyNumberFormat="1" applyFont="1" applyFill="1" applyBorder="1"/>
    <xf numFmtId="165" fontId="16" fillId="4" borderId="22" xfId="3" applyNumberFormat="1" applyFont="1" applyFill="1" applyBorder="1"/>
    <xf numFmtId="0" fontId="22" fillId="4" borderId="24" xfId="1" applyFont="1" applyFill="1" applyBorder="1"/>
    <xf numFmtId="0" fontId="16" fillId="4" borderId="5" xfId="1" applyFont="1" applyFill="1" applyBorder="1" applyAlignment="1">
      <alignment horizontal="center"/>
    </xf>
    <xf numFmtId="165" fontId="16" fillId="4" borderId="6" xfId="3" applyNumberFormat="1" applyFont="1" applyFill="1" applyBorder="1"/>
    <xf numFmtId="165" fontId="16" fillId="4" borderId="12" xfId="3" applyNumberFormat="1" applyFont="1" applyFill="1" applyBorder="1"/>
    <xf numFmtId="165" fontId="16" fillId="4" borderId="15" xfId="3" applyNumberFormat="1" applyFont="1" applyFill="1" applyBorder="1"/>
    <xf numFmtId="165" fontId="16" fillId="4" borderId="5" xfId="3" applyNumberFormat="1" applyFont="1" applyFill="1" applyBorder="1"/>
    <xf numFmtId="165" fontId="16" fillId="4" borderId="27" xfId="3" applyNumberFormat="1" applyFont="1" applyFill="1" applyBorder="1"/>
    <xf numFmtId="166" fontId="21" fillId="4" borderId="5" xfId="1" applyNumberFormat="1" applyFont="1" applyFill="1" applyBorder="1" applyAlignment="1">
      <alignment horizontal="right"/>
    </xf>
    <xf numFmtId="165" fontId="16" fillId="4" borderId="5" xfId="1" applyNumberFormat="1" applyFont="1" applyFill="1" applyBorder="1" applyAlignment="1">
      <alignment vertical="center"/>
    </xf>
    <xf numFmtId="43" fontId="16" fillId="4" borderId="5" xfId="1" applyNumberFormat="1" applyFont="1" applyFill="1" applyBorder="1" applyAlignment="1">
      <alignment vertical="center"/>
    </xf>
    <xf numFmtId="43" fontId="16" fillId="4" borderId="15" xfId="1" applyNumberFormat="1" applyFont="1" applyFill="1" applyBorder="1"/>
    <xf numFmtId="0" fontId="34" fillId="0" borderId="7" xfId="0" applyFont="1" applyBorder="1" applyAlignment="1">
      <alignment wrapText="1"/>
    </xf>
    <xf numFmtId="165" fontId="17" fillId="0" borderId="0" xfId="0" applyNumberFormat="1" applyFont="1"/>
    <xf numFmtId="0" fontId="22" fillId="5" borderId="1" xfId="1" applyFont="1" applyFill="1" applyBorder="1"/>
    <xf numFmtId="0" fontId="7" fillId="0" borderId="0" xfId="1" applyFont="1" applyAlignment="1">
      <alignment horizontal="center"/>
    </xf>
    <xf numFmtId="0" fontId="7" fillId="2" borderId="17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2" borderId="18" xfId="1" applyFont="1" applyFill="1" applyBorder="1" applyAlignment="1">
      <alignment horizontal="center" vertical="center" wrapText="1"/>
    </xf>
    <xf numFmtId="0" fontId="12" fillId="2" borderId="26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19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6" fillId="2" borderId="16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17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 wrapText="1"/>
    </xf>
    <xf numFmtId="0" fontId="16" fillId="2" borderId="7" xfId="1" applyFont="1" applyFill="1" applyBorder="1" applyAlignment="1">
      <alignment horizontal="center" vertical="center" wrapText="1"/>
    </xf>
    <xf numFmtId="0" fontId="18" fillId="2" borderId="17" xfId="1" applyFont="1" applyFill="1" applyBorder="1" applyAlignment="1">
      <alignment horizontal="center" vertical="center" wrapText="1"/>
    </xf>
    <xf numFmtId="0" fontId="18" fillId="2" borderId="25" xfId="1" applyFont="1" applyFill="1" applyBorder="1" applyAlignment="1">
      <alignment horizontal="center" vertical="center" wrapText="1"/>
    </xf>
    <xf numFmtId="0" fontId="18" fillId="2" borderId="19" xfId="1" applyFont="1" applyFill="1" applyBorder="1" applyAlignment="1">
      <alignment horizontal="center" vertical="center" wrapText="1"/>
    </xf>
    <xf numFmtId="0" fontId="18" fillId="2" borderId="29" xfId="1" applyFont="1" applyFill="1" applyBorder="1" applyAlignment="1">
      <alignment horizontal="center" vertical="center" wrapText="1"/>
    </xf>
    <xf numFmtId="0" fontId="18" fillId="2" borderId="30" xfId="1" applyFont="1" applyFill="1" applyBorder="1" applyAlignment="1">
      <alignment horizontal="center" vertical="center" wrapText="1"/>
    </xf>
    <xf numFmtId="0" fontId="18" fillId="2" borderId="31" xfId="1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center" vertical="center"/>
    </xf>
    <xf numFmtId="0" fontId="30" fillId="2" borderId="44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2" borderId="33" xfId="0" applyFont="1" applyFill="1" applyBorder="1" applyAlignment="1">
      <alignment horizontal="center" vertical="center"/>
    </xf>
    <xf numFmtId="0" fontId="31" fillId="2" borderId="17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horizontal="center" vertical="center"/>
    </xf>
    <xf numFmtId="0" fontId="31" fillId="0" borderId="36" xfId="0" applyFont="1" applyBorder="1" applyAlignment="1">
      <alignment horizontal="right"/>
    </xf>
    <xf numFmtId="0" fontId="37" fillId="7" borderId="32" xfId="7" applyFont="1" applyFill="1" applyBorder="1" applyAlignment="1">
      <alignment horizontal="center" vertical="center"/>
    </xf>
    <xf numFmtId="0" fontId="37" fillId="7" borderId="17" xfId="7" applyFont="1" applyFill="1" applyBorder="1" applyAlignment="1">
      <alignment horizontal="center" vertical="center"/>
    </xf>
    <xf numFmtId="0" fontId="37" fillId="7" borderId="29" xfId="7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7" fillId="7" borderId="50" xfId="7" applyFont="1" applyFill="1" applyBorder="1" applyAlignment="1">
      <alignment horizontal="center" vertical="center"/>
    </xf>
    <xf numFmtId="0" fontId="37" fillId="7" borderId="51" xfId="7" applyFont="1" applyFill="1" applyBorder="1" applyAlignment="1">
      <alignment horizontal="center" vertical="center"/>
    </xf>
    <xf numFmtId="0" fontId="37" fillId="7" borderId="51" xfId="7" applyFont="1" applyFill="1" applyBorder="1" applyAlignment="1">
      <alignment horizontal="center" vertical="center"/>
    </xf>
    <xf numFmtId="0" fontId="37" fillId="7" borderId="28" xfId="7" applyFont="1" applyFill="1" applyBorder="1" applyAlignment="1">
      <alignment horizontal="center" vertical="center"/>
    </xf>
    <xf numFmtId="0" fontId="37" fillId="7" borderId="52" xfId="7" applyFont="1" applyFill="1" applyBorder="1" applyAlignment="1">
      <alignment horizontal="center" vertical="center"/>
    </xf>
    <xf numFmtId="0" fontId="37" fillId="7" borderId="53" xfId="7" applyFont="1" applyFill="1" applyBorder="1" applyAlignment="1">
      <alignment horizontal="center" vertical="center"/>
    </xf>
    <xf numFmtId="0" fontId="38" fillId="0" borderId="38" xfId="7" applyFont="1" applyBorder="1"/>
    <xf numFmtId="0" fontId="39" fillId="0" borderId="38" xfId="8" applyFont="1" applyBorder="1" applyAlignment="1">
      <alignment horizontal="left" vertical="top"/>
    </xf>
    <xf numFmtId="0" fontId="39" fillId="0" borderId="54" xfId="8" applyFont="1" applyBorder="1"/>
    <xf numFmtId="0" fontId="39" fillId="0" borderId="37" xfId="8" applyFont="1" applyBorder="1"/>
    <xf numFmtId="0" fontId="37" fillId="0" borderId="37" xfId="7" applyFont="1" applyBorder="1"/>
    <xf numFmtId="0" fontId="37" fillId="0" borderId="3" xfId="7" applyFont="1" applyBorder="1"/>
    <xf numFmtId="0" fontId="37" fillId="0" borderId="7" xfId="7" applyFont="1" applyBorder="1"/>
    <xf numFmtId="165" fontId="37" fillId="0" borderId="37" xfId="9" applyNumberFormat="1" applyFont="1" applyBorder="1"/>
    <xf numFmtId="165" fontId="37" fillId="0" borderId="3" xfId="9" applyNumberFormat="1" applyFont="1" applyBorder="1"/>
    <xf numFmtId="165" fontId="37" fillId="0" borderId="7" xfId="9" applyNumberFormat="1" applyFont="1" applyBorder="1"/>
    <xf numFmtId="165" fontId="37" fillId="0" borderId="55" xfId="9" applyNumberFormat="1" applyFont="1" applyBorder="1"/>
    <xf numFmtId="0" fontId="38" fillId="0" borderId="34" xfId="7" applyFont="1" applyBorder="1"/>
    <xf numFmtId="0" fontId="38" fillId="0" borderId="28" xfId="7" applyFont="1" applyBorder="1"/>
    <xf numFmtId="0" fontId="38" fillId="0" borderId="8" xfId="7" applyFont="1" applyBorder="1"/>
    <xf numFmtId="169" fontId="38" fillId="0" borderId="28" xfId="7" applyNumberFormat="1" applyFont="1" applyBorder="1"/>
    <xf numFmtId="43" fontId="38" fillId="0" borderId="1" xfId="7" applyNumberFormat="1" applyFont="1" applyBorder="1"/>
    <xf numFmtId="41" fontId="38" fillId="0" borderId="1" xfId="7" applyNumberFormat="1" applyFont="1" applyBorder="1"/>
    <xf numFmtId="169" fontId="38" fillId="0" borderId="0" xfId="9" applyNumberFormat="1" applyFont="1" applyBorder="1"/>
    <xf numFmtId="165" fontId="38" fillId="0" borderId="1" xfId="9" applyNumberFormat="1" applyFont="1" applyBorder="1"/>
    <xf numFmtId="41" fontId="38" fillId="0" borderId="1" xfId="9" applyNumberFormat="1" applyFont="1" applyBorder="1"/>
    <xf numFmtId="165" fontId="38" fillId="0" borderId="23" xfId="9" applyNumberFormat="1" applyFont="1" applyBorder="1"/>
    <xf numFmtId="169" fontId="0" fillId="0" borderId="0" xfId="0" applyNumberFormat="1"/>
    <xf numFmtId="0" fontId="38" fillId="0" borderId="1" xfId="7" applyFont="1" applyBorder="1"/>
    <xf numFmtId="169" fontId="38" fillId="0" borderId="1" xfId="7" applyNumberFormat="1" applyFont="1" applyBorder="1"/>
    <xf numFmtId="169" fontId="38" fillId="0" borderId="7" xfId="7" applyNumberFormat="1" applyFont="1" applyBorder="1"/>
    <xf numFmtId="0" fontId="38" fillId="0" borderId="41" xfId="7" applyFont="1" applyBorder="1"/>
    <xf numFmtId="0" fontId="39" fillId="0" borderId="3" xfId="8" applyFont="1" applyBorder="1" applyAlignment="1">
      <alignment horizontal="left" vertical="top"/>
    </xf>
    <xf numFmtId="0" fontId="39" fillId="0" borderId="3" xfId="8" applyFont="1" applyBorder="1"/>
    <xf numFmtId="0" fontId="39" fillId="0" borderId="11" xfId="8" applyFont="1" applyBorder="1"/>
    <xf numFmtId="165" fontId="37" fillId="0" borderId="11" xfId="7" applyNumberFormat="1" applyFont="1" applyBorder="1"/>
    <xf numFmtId="165" fontId="37" fillId="0" borderId="11" xfId="9" applyNumberFormat="1" applyFont="1" applyBorder="1"/>
    <xf numFmtId="165" fontId="37" fillId="0" borderId="22" xfId="9" applyNumberFormat="1" applyFont="1" applyBorder="1"/>
    <xf numFmtId="43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43" fontId="0" fillId="0" borderId="7" xfId="5" applyFont="1" applyBorder="1"/>
    <xf numFmtId="43" fontId="0" fillId="0" borderId="56" xfId="5" applyFont="1" applyBorder="1" applyAlignment="1">
      <alignment horizontal="center"/>
    </xf>
    <xf numFmtId="43" fontId="0" fillId="0" borderId="51" xfId="5" applyFont="1" applyBorder="1" applyAlignment="1">
      <alignment horizontal="center"/>
    </xf>
    <xf numFmtId="43" fontId="0" fillId="0" borderId="4" xfId="5" applyFont="1" applyBorder="1"/>
    <xf numFmtId="43" fontId="0" fillId="0" borderId="13" xfId="5" applyFont="1" applyBorder="1" applyAlignment="1">
      <alignment horizontal="center"/>
    </xf>
    <xf numFmtId="43" fontId="0" fillId="0" borderId="57" xfId="5" applyFont="1" applyBorder="1" applyAlignment="1">
      <alignment horizontal="center"/>
    </xf>
    <xf numFmtId="43" fontId="0" fillId="0" borderId="58" xfId="5" applyFont="1" applyBorder="1" applyAlignment="1">
      <alignment horizontal="center"/>
    </xf>
    <xf numFmtId="43" fontId="0" fillId="0" borderId="16" xfId="5" applyFont="1" applyBorder="1" applyAlignment="1">
      <alignment horizontal="center"/>
    </xf>
    <xf numFmtId="43" fontId="0" fillId="0" borderId="18" xfId="5" applyFont="1" applyBorder="1" applyAlignment="1">
      <alignment horizontal="center"/>
    </xf>
    <xf numFmtId="43" fontId="0" fillId="0" borderId="29" xfId="5" applyFont="1" applyBorder="1" applyAlignment="1">
      <alignment horizontal="center"/>
    </xf>
    <xf numFmtId="43" fontId="0" fillId="0" borderId="30" xfId="5" applyFont="1" applyBorder="1" applyAlignment="1">
      <alignment horizontal="center"/>
    </xf>
    <xf numFmtId="43" fontId="0" fillId="0" borderId="49" xfId="5" applyFont="1" applyBorder="1" applyAlignment="1">
      <alignment horizontal="center"/>
    </xf>
    <xf numFmtId="43" fontId="0" fillId="0" borderId="26" xfId="5" applyFont="1" applyBorder="1" applyAlignment="1">
      <alignment horizontal="center"/>
    </xf>
    <xf numFmtId="43" fontId="0" fillId="0" borderId="59" xfId="5" applyFont="1" applyBorder="1" applyAlignment="1">
      <alignment horizontal="center"/>
    </xf>
    <xf numFmtId="43" fontId="0" fillId="0" borderId="60" xfId="5" applyFont="1" applyBorder="1" applyAlignment="1">
      <alignment horizontal="center"/>
    </xf>
    <xf numFmtId="43" fontId="0" fillId="0" borderId="21" xfId="5" applyFont="1" applyBorder="1"/>
    <xf numFmtId="43" fontId="0" fillId="0" borderId="46" xfId="5" applyFont="1" applyBorder="1"/>
    <xf numFmtId="43" fontId="0" fillId="0" borderId="61" xfId="5" applyFont="1" applyBorder="1"/>
    <xf numFmtId="43" fontId="0" fillId="0" borderId="22" xfId="5" applyFont="1" applyBorder="1"/>
    <xf numFmtId="43" fontId="0" fillId="0" borderId="24" xfId="5" applyFont="1" applyBorder="1"/>
    <xf numFmtId="43" fontId="0" fillId="0" borderId="5" xfId="5" applyFont="1" applyBorder="1"/>
    <xf numFmtId="43" fontId="0" fillId="0" borderId="27" xfId="5" applyFont="1" applyBorder="1"/>
    <xf numFmtId="0" fontId="42" fillId="6" borderId="48" xfId="6" applyFont="1" applyAlignment="1">
      <alignment horizontal="center" vertical="center" wrapText="1"/>
    </xf>
    <xf numFmtId="0" fontId="42" fillId="6" borderId="62" xfId="6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42" fillId="6" borderId="64" xfId="6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42" fillId="6" borderId="48" xfId="6" applyFont="1" applyAlignment="1">
      <alignment horizontal="center" vertical="center" wrapText="1"/>
    </xf>
    <xf numFmtId="0" fontId="42" fillId="6" borderId="48" xfId="6" applyFont="1" applyAlignment="1">
      <alignment horizontal="center" vertical="center"/>
    </xf>
    <xf numFmtId="0" fontId="43" fillId="0" borderId="21" xfId="0" applyFont="1" applyBorder="1"/>
    <xf numFmtId="169" fontId="43" fillId="0" borderId="65" xfId="0" applyNumberFormat="1" applyFont="1" applyBorder="1"/>
    <xf numFmtId="169" fontId="43" fillId="0" borderId="0" xfId="0" applyNumberFormat="1" applyFont="1" applyBorder="1"/>
    <xf numFmtId="169" fontId="15" fillId="0" borderId="7" xfId="0" applyNumberFormat="1" applyFont="1" applyBorder="1"/>
    <xf numFmtId="169" fontId="15" fillId="0" borderId="14" xfId="0" applyNumberFormat="1" applyFont="1" applyBorder="1"/>
    <xf numFmtId="169" fontId="15" fillId="0" borderId="46" xfId="0" applyNumberFormat="1" applyFont="1" applyBorder="1"/>
    <xf numFmtId="0" fontId="17" fillId="0" borderId="61" xfId="0" applyFont="1" applyBorder="1"/>
    <xf numFmtId="169" fontId="17" fillId="0" borderId="4" xfId="0" applyNumberFormat="1" applyFont="1" applyBorder="1"/>
    <xf numFmtId="169" fontId="0" fillId="0" borderId="3" xfId="0" applyNumberFormat="1" applyBorder="1"/>
    <xf numFmtId="169" fontId="0" fillId="0" borderId="14" xfId="0" applyNumberFormat="1" applyBorder="1"/>
    <xf numFmtId="169" fontId="0" fillId="0" borderId="10" xfId="0" applyNumberFormat="1" applyBorder="1"/>
    <xf numFmtId="169" fontId="0" fillId="0" borderId="22" xfId="0" applyNumberFormat="1" applyBorder="1"/>
    <xf numFmtId="0" fontId="43" fillId="0" borderId="61" xfId="0" applyFont="1" applyBorder="1"/>
    <xf numFmtId="169" fontId="43" fillId="0" borderId="4" xfId="0" applyNumberFormat="1" applyFont="1" applyBorder="1"/>
    <xf numFmtId="169" fontId="15" fillId="0" borderId="3" xfId="0" applyNumberFormat="1" applyFont="1" applyBorder="1"/>
    <xf numFmtId="169" fontId="15" fillId="0" borderId="10" xfId="0" applyNumberFormat="1" applyFont="1" applyBorder="1"/>
    <xf numFmtId="169" fontId="15" fillId="0" borderId="22" xfId="0" applyNumberFormat="1" applyFont="1" applyBorder="1"/>
    <xf numFmtId="169" fontId="1" fillId="0" borderId="22" xfId="0" applyNumberFormat="1" applyFont="1" applyBorder="1"/>
    <xf numFmtId="0" fontId="40" fillId="0" borderId="61" xfId="0" applyFont="1" applyBorder="1"/>
    <xf numFmtId="169" fontId="40" fillId="0" borderId="4" xfId="0" applyNumberFormat="1" applyFont="1" applyBorder="1"/>
    <xf numFmtId="0" fontId="44" fillId="0" borderId="24" xfId="0" applyFont="1" applyBorder="1"/>
    <xf numFmtId="169" fontId="44" fillId="0" borderId="6" xfId="0" applyNumberFormat="1" applyFont="1" applyBorder="1"/>
    <xf numFmtId="169" fontId="15" fillId="0" borderId="5" xfId="0" applyNumberFormat="1" applyFont="1" applyBorder="1"/>
    <xf numFmtId="169" fontId="15" fillId="0" borderId="15" xfId="0" applyNumberFormat="1" applyFont="1" applyBorder="1"/>
    <xf numFmtId="169" fontId="15" fillId="0" borderId="27" xfId="0" applyNumberFormat="1" applyFont="1" applyBorder="1"/>
    <xf numFmtId="0" fontId="30" fillId="3" borderId="0" xfId="0" applyFont="1" applyFill="1" applyAlignment="1">
      <alignment horizontal="center"/>
    </xf>
    <xf numFmtId="0" fontId="31" fillId="3" borderId="0" xfId="0" applyFont="1" applyFill="1"/>
    <xf numFmtId="0" fontId="31" fillId="3" borderId="36" xfId="0" applyFont="1" applyFill="1" applyBorder="1" applyAlignment="1">
      <alignment horizontal="right"/>
    </xf>
    <xf numFmtId="0" fontId="30" fillId="3" borderId="32" xfId="0" applyFont="1" applyFill="1" applyBorder="1" applyAlignment="1">
      <alignment horizontal="center" vertical="center"/>
    </xf>
    <xf numFmtId="0" fontId="30" fillId="3" borderId="17" xfId="0" applyFont="1" applyFill="1" applyBorder="1" applyAlignment="1">
      <alignment horizontal="center" vertical="center"/>
    </xf>
    <xf numFmtId="0" fontId="31" fillId="3" borderId="17" xfId="0" applyFont="1" applyFill="1" applyBorder="1" applyAlignment="1">
      <alignment horizontal="center" vertical="center"/>
    </xf>
    <xf numFmtId="0" fontId="30" fillId="3" borderId="33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left" vertical="center"/>
    </xf>
    <xf numFmtId="0" fontId="16" fillId="3" borderId="43" xfId="1" applyFont="1" applyFill="1" applyBorder="1"/>
    <xf numFmtId="43" fontId="30" fillId="3" borderId="43" xfId="0" applyNumberFormat="1" applyFont="1" applyFill="1" applyBorder="1" applyAlignment="1">
      <alignment horizontal="center" vertical="center"/>
    </xf>
    <xf numFmtId="43" fontId="31" fillId="3" borderId="0" xfId="0" applyNumberFormat="1" applyFont="1" applyFill="1"/>
    <xf numFmtId="0" fontId="30" fillId="3" borderId="38" xfId="0" applyFont="1" applyFill="1" applyBorder="1" applyAlignment="1">
      <alignment horizontal="center"/>
    </xf>
    <xf numFmtId="0" fontId="32" fillId="3" borderId="38" xfId="1" applyFont="1" applyFill="1" applyBorder="1" applyAlignment="1">
      <alignment horizontal="left" vertical="top"/>
    </xf>
    <xf numFmtId="0" fontId="32" fillId="3" borderId="7" xfId="1" applyFont="1" applyFill="1" applyBorder="1"/>
    <xf numFmtId="165" fontId="30" fillId="3" borderId="37" xfId="4" applyNumberFormat="1" applyFont="1" applyFill="1" applyBorder="1"/>
    <xf numFmtId="165" fontId="30" fillId="3" borderId="14" xfId="4" applyNumberFormat="1" applyFont="1" applyFill="1" applyBorder="1"/>
    <xf numFmtId="0" fontId="30" fillId="3" borderId="7" xfId="0" applyFont="1" applyFill="1" applyBorder="1"/>
    <xf numFmtId="0" fontId="30" fillId="3" borderId="37" xfId="0" applyFont="1" applyFill="1" applyBorder="1"/>
    <xf numFmtId="165" fontId="30" fillId="3" borderId="7" xfId="4" applyNumberFormat="1" applyFont="1" applyFill="1" applyBorder="1"/>
    <xf numFmtId="165" fontId="30" fillId="3" borderId="46" xfId="4" applyNumberFormat="1" applyFont="1" applyFill="1" applyBorder="1"/>
    <xf numFmtId="165" fontId="31" fillId="3" borderId="0" xfId="0" applyNumberFormat="1" applyFont="1" applyFill="1"/>
    <xf numFmtId="0" fontId="30" fillId="3" borderId="41" xfId="0" applyFont="1" applyFill="1" applyBorder="1" applyAlignment="1">
      <alignment horizontal="center"/>
    </xf>
    <xf numFmtId="165" fontId="30" fillId="3" borderId="11" xfId="0" applyNumberFormat="1" applyFont="1" applyFill="1" applyBorder="1"/>
    <xf numFmtId="165" fontId="30" fillId="3" borderId="10" xfId="0" applyNumberFormat="1" applyFont="1" applyFill="1" applyBorder="1"/>
    <xf numFmtId="165" fontId="30" fillId="3" borderId="11" xfId="4" applyNumberFormat="1" applyFont="1" applyFill="1" applyBorder="1"/>
    <xf numFmtId="165" fontId="30" fillId="3" borderId="22" xfId="4" applyNumberFormat="1" applyFont="1" applyFill="1" applyBorder="1"/>
    <xf numFmtId="0" fontId="30" fillId="3" borderId="10" xfId="0" applyFont="1" applyFill="1" applyBorder="1" applyAlignment="1">
      <alignment horizontal="center"/>
    </xf>
    <xf numFmtId="165" fontId="30" fillId="3" borderId="10" xfId="4" applyNumberFormat="1" applyFont="1" applyFill="1" applyBorder="1"/>
    <xf numFmtId="0" fontId="30" fillId="3" borderId="3" xfId="0" applyFont="1" applyFill="1" applyBorder="1"/>
    <xf numFmtId="0" fontId="30" fillId="3" borderId="22" xfId="0" applyFont="1" applyFill="1" applyBorder="1"/>
    <xf numFmtId="0" fontId="30" fillId="3" borderId="3" xfId="0" applyFont="1" applyFill="1" applyBorder="1" applyAlignment="1">
      <alignment horizontal="center"/>
    </xf>
    <xf numFmtId="0" fontId="33" fillId="3" borderId="1" xfId="1" applyFont="1" applyFill="1" applyBorder="1" applyAlignment="1">
      <alignment vertical="center"/>
    </xf>
    <xf numFmtId="165" fontId="31" fillId="3" borderId="0" xfId="4" applyNumberFormat="1" applyFont="1" applyFill="1" applyBorder="1" applyAlignment="1">
      <alignment horizontal="right"/>
    </xf>
    <xf numFmtId="4" fontId="31" fillId="3" borderId="0" xfId="0" applyNumberFormat="1" applyFont="1" applyFill="1" applyBorder="1" applyAlignment="1">
      <alignment horizontal="right"/>
    </xf>
    <xf numFmtId="0" fontId="31" fillId="3" borderId="35" xfId="0" applyFont="1" applyFill="1" applyBorder="1"/>
    <xf numFmtId="0" fontId="31" fillId="3" borderId="40" xfId="0" applyFont="1" applyFill="1" applyBorder="1"/>
    <xf numFmtId="0" fontId="31" fillId="3" borderId="39" xfId="0" applyFont="1" applyFill="1" applyBorder="1" applyAlignment="1">
      <alignment wrapText="1"/>
    </xf>
    <xf numFmtId="165" fontId="31" fillId="3" borderId="39" xfId="4" applyNumberFormat="1" applyFont="1" applyFill="1" applyBorder="1"/>
    <xf numFmtId="4" fontId="31" fillId="3" borderId="36" xfId="0" applyNumberFormat="1" applyFont="1" applyFill="1" applyBorder="1" applyAlignment="1">
      <alignment horizontal="right"/>
    </xf>
    <xf numFmtId="0" fontId="31" fillId="3" borderId="36" xfId="0" applyFont="1" applyFill="1" applyBorder="1"/>
    <xf numFmtId="0" fontId="31" fillId="3" borderId="42" xfId="0" applyFont="1" applyFill="1" applyBorder="1"/>
    <xf numFmtId="0" fontId="22" fillId="3" borderId="0" xfId="1" applyFont="1" applyFill="1" applyBorder="1"/>
    <xf numFmtId="43" fontId="31" fillId="3" borderId="0" xfId="0" applyNumberFormat="1" applyFont="1" applyFill="1" applyBorder="1"/>
    <xf numFmtId="165" fontId="30" fillId="3" borderId="0" xfId="0" applyNumberFormat="1" applyFont="1" applyFill="1" applyBorder="1"/>
    <xf numFmtId="165" fontId="31" fillId="3" borderId="0" xfId="0" applyNumberFormat="1" applyFont="1" applyFill="1" applyBorder="1"/>
    <xf numFmtId="43" fontId="31" fillId="3" borderId="1" xfId="5" applyFont="1" applyFill="1" applyBorder="1"/>
  </cellXfs>
  <cellStyles count="10">
    <cellStyle name="Check Cell" xfId="6" builtinId="23"/>
    <cellStyle name="Comma" xfId="5" builtinId="3"/>
    <cellStyle name="Comma [0]" xfId="4" builtinId="6"/>
    <cellStyle name="Comma [0] 2" xfId="3"/>
    <cellStyle name="Comma [0] 3" xfId="9"/>
    <cellStyle name="Comma 2" xfId="2"/>
    <cellStyle name="Normal" xfId="0" builtinId="0"/>
    <cellStyle name="Normal 2" xfId="1"/>
    <cellStyle name="Normal 2 2" xfId="8"/>
    <cellStyle name="Normal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81" zoomScaleNormal="81" workbookViewId="0">
      <selection activeCell="N55" sqref="N55"/>
    </sheetView>
  </sheetViews>
  <sheetFormatPr defaultRowHeight="12.75" x14ac:dyDescent="0.2"/>
  <cols>
    <col min="1" max="1" width="10.42578125" style="106" customWidth="1"/>
    <col min="2" max="2" width="37" style="106" customWidth="1"/>
    <col min="3" max="3" width="24.85546875" style="106" customWidth="1"/>
    <col min="4" max="4" width="23.28515625" style="106" customWidth="1"/>
    <col min="5" max="5" width="8.7109375" style="106" customWidth="1"/>
    <col min="6" max="6" width="21.7109375" style="106" customWidth="1"/>
    <col min="7" max="7" width="9.140625" style="106"/>
    <col min="8" max="8" width="23.140625" style="106" customWidth="1"/>
    <col min="9" max="9" width="10.140625" style="106" customWidth="1"/>
    <col min="10" max="10" width="8.42578125" style="106" customWidth="1"/>
    <col min="11" max="11" width="7.42578125" style="106" customWidth="1"/>
    <col min="12" max="12" width="21.140625" style="106" customWidth="1"/>
    <col min="13" max="13" width="20.85546875" style="106" customWidth="1"/>
    <col min="14" max="14" width="17.140625" style="106" customWidth="1"/>
    <col min="15" max="15" width="16.140625" style="106" customWidth="1"/>
    <col min="16" max="16" width="10.140625" style="106" customWidth="1"/>
    <col min="17" max="17" width="9.140625" style="106"/>
    <col min="18" max="18" width="18.140625" style="106" bestFit="1" customWidth="1"/>
    <col min="19" max="19" width="9.140625" style="106"/>
    <col min="20" max="20" width="19.140625" style="106" bestFit="1" customWidth="1"/>
    <col min="21" max="16384" width="9.140625" style="106"/>
  </cols>
  <sheetData>
    <row r="1" spans="1:20" x14ac:dyDescent="0.2">
      <c r="A1" s="390" t="s">
        <v>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</row>
    <row r="2" spans="1:20" x14ac:dyDescent="0.2">
      <c r="A2" s="390" t="s">
        <v>127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</row>
    <row r="3" spans="1:20" ht="13.5" thickBot="1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ht="25.5" customHeight="1" x14ac:dyDescent="0.2">
      <c r="A4" s="399" t="s">
        <v>123</v>
      </c>
      <c r="B4" s="391" t="s">
        <v>1</v>
      </c>
      <c r="C4" s="401" t="s">
        <v>2</v>
      </c>
      <c r="D4" s="403" t="s">
        <v>126</v>
      </c>
      <c r="E4" s="403" t="s">
        <v>6</v>
      </c>
      <c r="F4" s="394" t="s">
        <v>3</v>
      </c>
      <c r="G4" s="394"/>
      <c r="H4" s="395" t="s">
        <v>4</v>
      </c>
      <c r="I4" s="396"/>
      <c r="J4" s="397" t="s">
        <v>5</v>
      </c>
      <c r="K4" s="397"/>
      <c r="L4" s="397"/>
      <c r="M4" s="397"/>
      <c r="N4" s="397"/>
      <c r="O4" s="397"/>
      <c r="P4" s="398"/>
    </row>
    <row r="5" spans="1:20" ht="38.25" x14ac:dyDescent="0.2">
      <c r="A5" s="400"/>
      <c r="B5" s="392"/>
      <c r="C5" s="402"/>
      <c r="D5" s="404"/>
      <c r="E5" s="404"/>
      <c r="F5" s="75" t="s">
        <v>7</v>
      </c>
      <c r="G5" s="75" t="s">
        <v>6</v>
      </c>
      <c r="H5" s="75" t="s">
        <v>133</v>
      </c>
      <c r="I5" s="75" t="s">
        <v>6</v>
      </c>
      <c r="J5" s="75" t="s">
        <v>8</v>
      </c>
      <c r="K5" s="75" t="s">
        <v>9</v>
      </c>
      <c r="L5" s="75" t="s">
        <v>120</v>
      </c>
      <c r="M5" s="75" t="s">
        <v>10</v>
      </c>
      <c r="N5" s="75" t="s">
        <v>121</v>
      </c>
      <c r="O5" s="75" t="s">
        <v>122</v>
      </c>
      <c r="P5" s="90" t="s">
        <v>6</v>
      </c>
    </row>
    <row r="6" spans="1:20" x14ac:dyDescent="0.2">
      <c r="A6" s="78"/>
      <c r="B6" s="60"/>
      <c r="C6" s="61"/>
      <c r="D6" s="61"/>
      <c r="E6" s="61"/>
      <c r="F6" s="61"/>
      <c r="G6" s="61"/>
      <c r="H6" s="61"/>
      <c r="I6" s="14"/>
      <c r="J6" s="62"/>
      <c r="K6" s="62"/>
      <c r="L6" s="62"/>
      <c r="M6" s="62"/>
      <c r="N6" s="62"/>
      <c r="O6" s="62"/>
      <c r="P6" s="95"/>
    </row>
    <row r="7" spans="1:20" x14ac:dyDescent="0.2">
      <c r="A7" s="79">
        <v>4.0999999999999996</v>
      </c>
      <c r="B7" s="5" t="s">
        <v>11</v>
      </c>
      <c r="C7" s="6">
        <v>657068247868</v>
      </c>
      <c r="D7" s="6"/>
      <c r="E7" s="6"/>
      <c r="F7" s="6"/>
      <c r="G7" s="26"/>
      <c r="H7" s="6"/>
      <c r="I7" s="7"/>
      <c r="J7" s="63"/>
      <c r="K7" s="63"/>
      <c r="L7" s="63"/>
      <c r="M7" s="63"/>
      <c r="N7" s="63"/>
      <c r="O7" s="63"/>
      <c r="P7" s="96"/>
    </row>
    <row r="8" spans="1:20" x14ac:dyDescent="0.2">
      <c r="A8" s="79" t="s">
        <v>12</v>
      </c>
      <c r="B8" s="5" t="s">
        <v>13</v>
      </c>
      <c r="C8" s="8">
        <v>460000000000</v>
      </c>
      <c r="D8" s="8"/>
      <c r="E8" s="8"/>
      <c r="F8" s="8"/>
      <c r="G8" s="27"/>
      <c r="H8" s="27"/>
      <c r="I8" s="7"/>
      <c r="J8" s="63"/>
      <c r="K8" s="63"/>
      <c r="L8" s="63"/>
      <c r="M8" s="63"/>
      <c r="N8" s="63"/>
      <c r="O8" s="63"/>
      <c r="P8" s="96"/>
    </row>
    <row r="9" spans="1:20" x14ac:dyDescent="0.2">
      <c r="A9" s="80" t="s">
        <v>14</v>
      </c>
      <c r="B9" s="9" t="s">
        <v>15</v>
      </c>
      <c r="C9" s="10">
        <v>53000000000</v>
      </c>
      <c r="D9" s="10">
        <v>3730993893.0899997</v>
      </c>
      <c r="E9" s="10">
        <v>7.0396111190377351</v>
      </c>
      <c r="F9" s="11"/>
      <c r="G9" s="56"/>
      <c r="H9" s="12">
        <v>2277806617.6999998</v>
      </c>
      <c r="I9" s="13">
        <v>61.050933959410102</v>
      </c>
      <c r="J9" s="64"/>
      <c r="K9" s="64"/>
      <c r="L9" s="64">
        <v>1453187275.3900001</v>
      </c>
      <c r="M9" s="64"/>
      <c r="N9" s="64"/>
      <c r="O9" s="64"/>
      <c r="P9" s="97">
        <v>38.949066040589905</v>
      </c>
      <c r="R9" s="108"/>
    </row>
    <row r="10" spans="1:20" x14ac:dyDescent="0.2">
      <c r="A10" s="80" t="s">
        <v>16</v>
      </c>
      <c r="B10" s="9" t="s">
        <v>17</v>
      </c>
      <c r="C10" s="10">
        <v>85500000000</v>
      </c>
      <c r="D10" s="10">
        <v>26446188667.059998</v>
      </c>
      <c r="E10" s="10">
        <v>30.931214815274849</v>
      </c>
      <c r="F10" s="11"/>
      <c r="G10" s="56"/>
      <c r="H10" s="12">
        <v>7065103110.0599976</v>
      </c>
      <c r="I10" s="13">
        <v>26.715014397745424</v>
      </c>
      <c r="J10" s="64"/>
      <c r="K10" s="64"/>
      <c r="L10" s="64">
        <v>19381085557</v>
      </c>
      <c r="M10" s="64"/>
      <c r="N10" s="64"/>
      <c r="O10" s="64"/>
      <c r="P10" s="97">
        <v>73.284985602254565</v>
      </c>
      <c r="R10" s="108"/>
      <c r="T10" s="108"/>
    </row>
    <row r="11" spans="1:20" x14ac:dyDescent="0.2">
      <c r="A11" s="80" t="s">
        <v>18</v>
      </c>
      <c r="B11" s="9" t="s">
        <v>19</v>
      </c>
      <c r="C11" s="10">
        <v>9000000000</v>
      </c>
      <c r="D11" s="10">
        <v>1850374158</v>
      </c>
      <c r="E11" s="10">
        <v>20.559712866666665</v>
      </c>
      <c r="F11" s="11"/>
      <c r="G11" s="56"/>
      <c r="H11" s="12">
        <v>1032941109.5999999</v>
      </c>
      <c r="I11" s="13">
        <v>55.823364433302892</v>
      </c>
      <c r="J11" s="64"/>
      <c r="K11" s="64"/>
      <c r="L11" s="64">
        <v>817433048.4000001</v>
      </c>
      <c r="M11" s="64"/>
      <c r="N11" s="64"/>
      <c r="O11" s="64"/>
      <c r="P11" s="97">
        <v>44.176635566697101</v>
      </c>
    </row>
    <row r="12" spans="1:20" x14ac:dyDescent="0.2">
      <c r="A12" s="80" t="s">
        <v>20</v>
      </c>
      <c r="B12" s="9" t="s">
        <v>21</v>
      </c>
      <c r="C12" s="10">
        <v>1000000000</v>
      </c>
      <c r="D12" s="10">
        <v>427962614.75999999</v>
      </c>
      <c r="E12" s="10">
        <v>42.796261475999998</v>
      </c>
      <c r="F12" s="11"/>
      <c r="G12" s="56"/>
      <c r="H12" s="12">
        <v>359883339.44</v>
      </c>
      <c r="I12" s="13">
        <v>84.092237739462689</v>
      </c>
      <c r="J12" s="64"/>
      <c r="K12" s="64"/>
      <c r="L12" s="64">
        <v>68079275.319999993</v>
      </c>
      <c r="M12" s="64"/>
      <c r="N12" s="64"/>
      <c r="O12" s="64"/>
      <c r="P12" s="97">
        <v>15.90776226053732</v>
      </c>
    </row>
    <row r="13" spans="1:20" x14ac:dyDescent="0.2">
      <c r="A13" s="80" t="s">
        <v>22</v>
      </c>
      <c r="B13" s="9" t="s">
        <v>23</v>
      </c>
      <c r="C13" s="10">
        <v>97000000000</v>
      </c>
      <c r="D13" s="10">
        <v>28950044796</v>
      </c>
      <c r="E13" s="10">
        <v>29.845407006185564</v>
      </c>
      <c r="F13" s="11"/>
      <c r="G13" s="56"/>
      <c r="H13" s="12"/>
      <c r="I13" s="13">
        <v>0</v>
      </c>
      <c r="J13" s="64"/>
      <c r="K13" s="64"/>
      <c r="L13" s="109">
        <v>28950044796</v>
      </c>
      <c r="M13" s="64"/>
      <c r="N13" s="64"/>
      <c r="O13" s="64"/>
      <c r="P13" s="97">
        <v>100</v>
      </c>
    </row>
    <row r="14" spans="1:20" x14ac:dyDescent="0.2">
      <c r="A14" s="80" t="s">
        <v>24</v>
      </c>
      <c r="B14" s="9" t="s">
        <v>25</v>
      </c>
      <c r="C14" s="10">
        <v>5500000000</v>
      </c>
      <c r="D14" s="10">
        <v>1886279302</v>
      </c>
      <c r="E14" s="10">
        <v>34.295987309090911</v>
      </c>
      <c r="F14" s="11"/>
      <c r="G14" s="57"/>
      <c r="H14" s="12">
        <v>1247226342</v>
      </c>
      <c r="I14" s="13">
        <v>66.120979044703532</v>
      </c>
      <c r="J14" s="64"/>
      <c r="K14" s="64"/>
      <c r="L14" s="64">
        <v>639052960</v>
      </c>
      <c r="M14" s="64"/>
      <c r="N14" s="64"/>
      <c r="O14" s="64"/>
      <c r="P14" s="97">
        <v>33.879020955296468</v>
      </c>
    </row>
    <row r="15" spans="1:20" x14ac:dyDescent="0.2">
      <c r="A15" s="81" t="s">
        <v>26</v>
      </c>
      <c r="B15" s="9" t="s">
        <v>27</v>
      </c>
      <c r="C15" s="10">
        <v>7000000000</v>
      </c>
      <c r="D15" s="10">
        <v>1383121744</v>
      </c>
      <c r="E15" s="10">
        <v>19.758882057142856</v>
      </c>
      <c r="F15" s="11"/>
      <c r="G15" s="110"/>
      <c r="H15" s="12">
        <v>1113434800</v>
      </c>
      <c r="I15" s="13">
        <v>80.501575861278624</v>
      </c>
      <c r="J15" s="64"/>
      <c r="K15" s="64"/>
      <c r="L15" s="64">
        <v>269686944</v>
      </c>
      <c r="M15" s="64"/>
      <c r="N15" s="64"/>
      <c r="O15" s="64"/>
      <c r="P15" s="97">
        <v>19.498424138721372</v>
      </c>
    </row>
    <row r="16" spans="1:20" x14ac:dyDescent="0.2">
      <c r="A16" s="80" t="s">
        <v>28</v>
      </c>
      <c r="B16" s="9" t="s">
        <v>118</v>
      </c>
      <c r="C16" s="10">
        <v>82000000000</v>
      </c>
      <c r="D16" s="10">
        <v>16439479453</v>
      </c>
      <c r="E16" s="10">
        <v>20.048145674390245</v>
      </c>
      <c r="F16" s="11"/>
      <c r="G16" s="57"/>
      <c r="H16" s="12">
        <v>14589521545</v>
      </c>
      <c r="I16" s="13">
        <v>88.746858358325909</v>
      </c>
      <c r="J16" s="64"/>
      <c r="K16" s="64"/>
      <c r="L16" s="64">
        <v>421496409</v>
      </c>
      <c r="M16" s="64">
        <v>1352535222</v>
      </c>
      <c r="N16" s="64">
        <v>72920899</v>
      </c>
      <c r="O16" s="64">
        <v>3005378</v>
      </c>
      <c r="P16" s="97">
        <v>11.25</v>
      </c>
      <c r="R16" s="108"/>
    </row>
    <row r="17" spans="1:20" x14ac:dyDescent="0.2">
      <c r="A17" s="80" t="s">
        <v>29</v>
      </c>
      <c r="B17" s="9" t="s">
        <v>119</v>
      </c>
      <c r="C17" s="10">
        <v>120000000000</v>
      </c>
      <c r="D17" s="10">
        <v>75069290046</v>
      </c>
      <c r="E17" s="10">
        <v>62.557741705000005</v>
      </c>
      <c r="F17" s="11"/>
      <c r="G17" s="57"/>
      <c r="H17" s="12">
        <v>44308006546</v>
      </c>
      <c r="I17" s="13">
        <v>59.022812815799256</v>
      </c>
      <c r="J17" s="64"/>
      <c r="K17" s="64"/>
      <c r="L17" s="64">
        <v>30761283500</v>
      </c>
      <c r="M17" s="64"/>
      <c r="N17" s="64"/>
      <c r="O17" s="64"/>
      <c r="P17" s="97">
        <v>40.977187184200744</v>
      </c>
      <c r="R17" s="111"/>
    </row>
    <row r="18" spans="1:20" x14ac:dyDescent="0.2">
      <c r="A18" s="82"/>
      <c r="B18" s="14" t="s">
        <v>30</v>
      </c>
      <c r="C18" s="15">
        <v>460000000000</v>
      </c>
      <c r="D18" s="15">
        <v>156183734673.91</v>
      </c>
      <c r="E18" s="15">
        <v>33.952985798676089</v>
      </c>
      <c r="F18" s="15"/>
      <c r="G18" s="15"/>
      <c r="H18" s="15">
        <v>71993923409.800003</v>
      </c>
      <c r="I18" s="105">
        <v>46.095660063522836</v>
      </c>
      <c r="J18" s="65"/>
      <c r="K18" s="65"/>
      <c r="L18" s="65">
        <v>82761349765.110001</v>
      </c>
      <c r="M18" s="65">
        <v>1352535222</v>
      </c>
      <c r="N18" s="65">
        <v>72920899</v>
      </c>
      <c r="O18" s="65">
        <v>3005378</v>
      </c>
      <c r="P18" s="98">
        <v>53.9</v>
      </c>
      <c r="R18" s="108"/>
      <c r="T18" s="108"/>
    </row>
    <row r="19" spans="1:20" x14ac:dyDescent="0.2">
      <c r="A19" s="79" t="s">
        <v>31</v>
      </c>
      <c r="B19" s="5" t="s">
        <v>32</v>
      </c>
      <c r="C19" s="10"/>
      <c r="D19" s="10"/>
      <c r="E19" s="10"/>
      <c r="F19" s="9"/>
      <c r="G19" s="29"/>
      <c r="H19" s="12"/>
      <c r="I19" s="13"/>
      <c r="J19" s="64"/>
      <c r="K19" s="71"/>
      <c r="L19" s="71"/>
      <c r="M19" s="64"/>
      <c r="N19" s="64"/>
      <c r="O19" s="64"/>
      <c r="P19" s="96"/>
    </row>
    <row r="20" spans="1:20" x14ac:dyDescent="0.2">
      <c r="A20" s="79" t="s">
        <v>33</v>
      </c>
      <c r="B20" s="5" t="s">
        <v>34</v>
      </c>
      <c r="C20" s="16">
        <v>16540496000</v>
      </c>
      <c r="D20" s="16"/>
      <c r="E20" s="16"/>
      <c r="F20" s="16"/>
      <c r="G20" s="16"/>
      <c r="H20" s="16"/>
      <c r="I20" s="13"/>
      <c r="J20" s="24"/>
      <c r="K20" s="72"/>
      <c r="L20" s="72"/>
      <c r="M20" s="72"/>
      <c r="N20" s="72"/>
      <c r="O20" s="21"/>
      <c r="P20" s="96"/>
      <c r="T20" s="108"/>
    </row>
    <row r="21" spans="1:20" x14ac:dyDescent="0.2">
      <c r="A21" s="80" t="s">
        <v>35</v>
      </c>
      <c r="B21" s="9" t="s">
        <v>36</v>
      </c>
      <c r="C21" s="10">
        <v>1800000000</v>
      </c>
      <c r="D21" s="10">
        <v>786464900</v>
      </c>
      <c r="E21" s="10">
        <v>43.692494444444449</v>
      </c>
      <c r="F21" s="11">
        <v>786464900</v>
      </c>
      <c r="G21" s="28">
        <v>100</v>
      </c>
      <c r="H21" s="12"/>
      <c r="I21" s="13">
        <v>0</v>
      </c>
      <c r="J21" s="64"/>
      <c r="K21" s="64"/>
      <c r="L21" s="64"/>
      <c r="M21" s="64"/>
      <c r="N21" s="64"/>
      <c r="O21" s="13"/>
      <c r="P21" s="97"/>
      <c r="R21" s="108"/>
    </row>
    <row r="22" spans="1:20" x14ac:dyDescent="0.2">
      <c r="A22" s="80" t="s">
        <v>37</v>
      </c>
      <c r="B22" s="9" t="s">
        <v>38</v>
      </c>
      <c r="C22" s="10">
        <v>2500000000</v>
      </c>
      <c r="D22" s="10">
        <v>1005946000</v>
      </c>
      <c r="E22" s="10">
        <v>40.237840000000006</v>
      </c>
      <c r="F22" s="11">
        <v>75584000</v>
      </c>
      <c r="G22" s="28">
        <v>7.5137234006596776</v>
      </c>
      <c r="H22" s="12">
        <v>930362000</v>
      </c>
      <c r="I22" s="13">
        <v>92.486276599340329</v>
      </c>
      <c r="J22" s="64"/>
      <c r="K22" s="64"/>
      <c r="L22" s="64"/>
      <c r="M22" s="64"/>
      <c r="N22" s="64"/>
      <c r="O22" s="13"/>
      <c r="P22" s="97"/>
      <c r="R22" s="108"/>
      <c r="T22" s="111"/>
    </row>
    <row r="23" spans="1:20" x14ac:dyDescent="0.2">
      <c r="A23" s="80" t="s">
        <v>39</v>
      </c>
      <c r="B23" s="9" t="s">
        <v>40</v>
      </c>
      <c r="C23" s="10">
        <v>7000000000</v>
      </c>
      <c r="D23" s="10"/>
      <c r="E23" s="10">
        <v>0</v>
      </c>
      <c r="F23" s="11"/>
      <c r="G23" s="28"/>
      <c r="H23" s="12"/>
      <c r="I23" s="13"/>
      <c r="J23" s="64"/>
      <c r="K23" s="64"/>
      <c r="L23" s="64"/>
      <c r="M23" s="64"/>
      <c r="N23" s="64"/>
      <c r="O23" s="13"/>
      <c r="P23" s="97"/>
      <c r="R23" s="108"/>
    </row>
    <row r="24" spans="1:20" x14ac:dyDescent="0.2">
      <c r="A24" s="80" t="s">
        <v>41</v>
      </c>
      <c r="B24" s="9" t="s">
        <v>42</v>
      </c>
      <c r="C24" s="10">
        <v>5202496000</v>
      </c>
      <c r="D24" s="10">
        <v>1166297000</v>
      </c>
      <c r="E24" s="10">
        <v>22.41802780819053</v>
      </c>
      <c r="F24" s="11">
        <v>1166297000</v>
      </c>
      <c r="G24" s="28">
        <v>100</v>
      </c>
      <c r="H24" s="12"/>
      <c r="I24" s="13">
        <v>0</v>
      </c>
      <c r="J24" s="64"/>
      <c r="K24" s="64"/>
      <c r="L24" s="64"/>
      <c r="M24" s="64"/>
      <c r="N24" s="64"/>
      <c r="O24" s="13"/>
      <c r="P24" s="97"/>
      <c r="R24" s="108"/>
    </row>
    <row r="25" spans="1:20" x14ac:dyDescent="0.2">
      <c r="A25" s="80" t="s">
        <v>43</v>
      </c>
      <c r="B25" s="9" t="s">
        <v>44</v>
      </c>
      <c r="C25" s="10">
        <v>38000000</v>
      </c>
      <c r="D25" s="10">
        <v>24656700</v>
      </c>
      <c r="E25" s="10">
        <v>64.886052631578949</v>
      </c>
      <c r="F25" s="11">
        <v>24656700</v>
      </c>
      <c r="G25" s="28">
        <v>100</v>
      </c>
      <c r="H25" s="12"/>
      <c r="I25" s="13">
        <v>0</v>
      </c>
      <c r="J25" s="64"/>
      <c r="K25" s="64"/>
      <c r="L25" s="64"/>
      <c r="M25" s="64"/>
      <c r="N25" s="64"/>
      <c r="O25" s="13"/>
      <c r="P25" s="97"/>
      <c r="R25" s="108"/>
    </row>
    <row r="26" spans="1:20" x14ac:dyDescent="0.2">
      <c r="A26" s="79" t="s">
        <v>45</v>
      </c>
      <c r="B26" s="18" t="s">
        <v>46</v>
      </c>
      <c r="C26" s="16">
        <v>2039800000</v>
      </c>
      <c r="D26" s="16"/>
      <c r="E26" s="10">
        <v>0</v>
      </c>
      <c r="F26" s="16"/>
      <c r="G26" s="28"/>
      <c r="H26" s="16"/>
      <c r="I26" s="13"/>
      <c r="J26" s="24"/>
      <c r="K26" s="72"/>
      <c r="L26" s="72"/>
      <c r="M26" s="72"/>
      <c r="N26" s="72"/>
      <c r="O26" s="21"/>
      <c r="P26" s="96"/>
      <c r="R26" s="108"/>
    </row>
    <row r="27" spans="1:20" x14ac:dyDescent="0.2">
      <c r="A27" s="80" t="s">
        <v>47</v>
      </c>
      <c r="B27" s="9" t="s">
        <v>48</v>
      </c>
      <c r="C27" s="10">
        <v>1754800000</v>
      </c>
      <c r="D27" s="10">
        <v>350799640</v>
      </c>
      <c r="E27" s="10">
        <v>19.990861636653751</v>
      </c>
      <c r="F27" s="11">
        <v>350799640</v>
      </c>
      <c r="G27" s="28">
        <v>100</v>
      </c>
      <c r="H27" s="12"/>
      <c r="I27" s="13">
        <v>0</v>
      </c>
      <c r="J27" s="64"/>
      <c r="K27" s="64"/>
      <c r="L27" s="64"/>
      <c r="M27" s="64"/>
      <c r="N27" s="64"/>
      <c r="O27" s="13"/>
      <c r="P27" s="97"/>
      <c r="R27" s="108"/>
    </row>
    <row r="28" spans="1:20" x14ac:dyDescent="0.2">
      <c r="A28" s="80" t="s">
        <v>49</v>
      </c>
      <c r="B28" s="9" t="s">
        <v>50</v>
      </c>
      <c r="C28" s="10">
        <v>285000000</v>
      </c>
      <c r="D28" s="10">
        <v>64602000</v>
      </c>
      <c r="E28" s="10">
        <v>22.667368421052629</v>
      </c>
      <c r="F28" s="11">
        <v>64602000</v>
      </c>
      <c r="G28" s="28">
        <v>100</v>
      </c>
      <c r="H28" s="12"/>
      <c r="I28" s="13">
        <v>0</v>
      </c>
      <c r="J28" s="64"/>
      <c r="K28" s="64"/>
      <c r="L28" s="64"/>
      <c r="M28" s="64"/>
      <c r="N28" s="64"/>
      <c r="O28" s="13"/>
      <c r="P28" s="97"/>
      <c r="R28" s="108"/>
    </row>
    <row r="29" spans="1:20" x14ac:dyDescent="0.2">
      <c r="A29" s="79" t="s">
        <v>51</v>
      </c>
      <c r="B29" s="18" t="s">
        <v>52</v>
      </c>
      <c r="C29" s="16">
        <v>11050000000</v>
      </c>
      <c r="D29" s="16"/>
      <c r="E29" s="10">
        <v>0</v>
      </c>
      <c r="F29" s="16"/>
      <c r="G29" s="28"/>
      <c r="H29" s="16"/>
      <c r="I29" s="13"/>
      <c r="J29" s="24"/>
      <c r="K29" s="72"/>
      <c r="L29" s="72"/>
      <c r="M29" s="72"/>
      <c r="N29" s="72"/>
      <c r="O29" s="21"/>
      <c r="P29" s="96"/>
      <c r="R29" s="108"/>
    </row>
    <row r="30" spans="1:20" x14ac:dyDescent="0.2">
      <c r="A30" s="80" t="s">
        <v>53</v>
      </c>
      <c r="B30" s="9" t="s">
        <v>54</v>
      </c>
      <c r="C30" s="10">
        <v>8000000000</v>
      </c>
      <c r="D30" s="93">
        <v>3491876139</v>
      </c>
      <c r="E30" s="11">
        <v>43.648451737499997</v>
      </c>
      <c r="F30" s="112"/>
      <c r="G30" s="28"/>
      <c r="H30" s="12">
        <v>3491876139</v>
      </c>
      <c r="I30" s="13">
        <v>100</v>
      </c>
      <c r="J30" s="64"/>
      <c r="K30" s="64"/>
      <c r="L30" s="64"/>
      <c r="M30" s="64"/>
      <c r="N30" s="64"/>
      <c r="O30" s="64"/>
      <c r="P30" s="97"/>
      <c r="R30" s="108"/>
    </row>
    <row r="31" spans="1:20" x14ac:dyDescent="0.2">
      <c r="A31" s="80" t="s">
        <v>55</v>
      </c>
      <c r="B31" s="9" t="s">
        <v>56</v>
      </c>
      <c r="C31" s="10">
        <v>50000000</v>
      </c>
      <c r="D31" s="10">
        <v>10000000</v>
      </c>
      <c r="E31" s="10">
        <v>20</v>
      </c>
      <c r="F31" s="11"/>
      <c r="G31" s="28"/>
      <c r="H31" s="12">
        <v>10000000</v>
      </c>
      <c r="I31" s="13">
        <v>100</v>
      </c>
      <c r="J31" s="64"/>
      <c r="K31" s="64"/>
      <c r="L31" s="64"/>
      <c r="M31" s="64"/>
      <c r="N31" s="64"/>
      <c r="O31" s="64"/>
      <c r="P31" s="97"/>
      <c r="R31" s="108"/>
    </row>
    <row r="32" spans="1:20" x14ac:dyDescent="0.2">
      <c r="A32" s="80" t="s">
        <v>57</v>
      </c>
      <c r="B32" s="9" t="s">
        <v>58</v>
      </c>
      <c r="C32" s="10">
        <v>3000000000</v>
      </c>
      <c r="D32" s="10">
        <v>2096080000</v>
      </c>
      <c r="E32" s="10">
        <v>69.869333333333344</v>
      </c>
      <c r="F32" s="11"/>
      <c r="G32" s="28"/>
      <c r="H32" s="12">
        <v>2096080000</v>
      </c>
      <c r="I32" s="13">
        <v>100</v>
      </c>
      <c r="J32" s="64"/>
      <c r="K32" s="64"/>
      <c r="L32" s="64"/>
      <c r="M32" s="64"/>
      <c r="N32" s="64"/>
      <c r="O32" s="64"/>
      <c r="P32" s="97"/>
      <c r="R32" s="108"/>
    </row>
    <row r="33" spans="1:18" x14ac:dyDescent="0.2">
      <c r="A33" s="82"/>
      <c r="B33" s="9" t="s">
        <v>59</v>
      </c>
      <c r="C33" s="10"/>
      <c r="D33" s="10"/>
      <c r="E33" s="10"/>
      <c r="F33" s="11"/>
      <c r="G33" s="28"/>
      <c r="H33" s="12"/>
      <c r="I33" s="13"/>
      <c r="J33" s="64"/>
      <c r="K33" s="64"/>
      <c r="L33" s="64"/>
      <c r="M33" s="64"/>
      <c r="N33" s="64"/>
      <c r="O33" s="64"/>
      <c r="P33" s="97"/>
      <c r="R33" s="108"/>
    </row>
    <row r="34" spans="1:18" x14ac:dyDescent="0.2">
      <c r="A34" s="82"/>
      <c r="B34" s="14" t="s">
        <v>60</v>
      </c>
      <c r="C34" s="19">
        <v>29630296000</v>
      </c>
      <c r="D34" s="19">
        <v>8996722379</v>
      </c>
      <c r="E34" s="15">
        <v>30.363255159516463</v>
      </c>
      <c r="F34" s="19">
        <v>2468404240</v>
      </c>
      <c r="G34" s="19">
        <v>27.436705680300953</v>
      </c>
      <c r="H34" s="19">
        <v>6528318139</v>
      </c>
      <c r="I34" s="105">
        <v>72.56329431969904</v>
      </c>
      <c r="J34" s="66"/>
      <c r="K34" s="15"/>
      <c r="L34" s="66"/>
      <c r="M34" s="15"/>
      <c r="N34" s="15"/>
      <c r="O34" s="66"/>
      <c r="P34" s="98"/>
      <c r="R34" s="108"/>
    </row>
    <row r="35" spans="1:18" x14ac:dyDescent="0.2">
      <c r="A35" s="79" t="s">
        <v>61</v>
      </c>
      <c r="B35" s="5" t="s">
        <v>62</v>
      </c>
      <c r="C35" s="20"/>
      <c r="D35" s="20"/>
      <c r="E35" s="20"/>
      <c r="F35" s="9"/>
      <c r="G35" s="29"/>
      <c r="H35" s="12"/>
      <c r="I35" s="13"/>
      <c r="J35" s="64"/>
      <c r="K35" s="64"/>
      <c r="L35" s="64"/>
      <c r="M35" s="64"/>
      <c r="N35" s="64"/>
      <c r="O35" s="64"/>
      <c r="P35" s="96"/>
    </row>
    <row r="36" spans="1:18" x14ac:dyDescent="0.2">
      <c r="A36" s="80"/>
      <c r="B36" s="5" t="s">
        <v>63</v>
      </c>
      <c r="C36" s="10"/>
      <c r="D36" s="10"/>
      <c r="E36" s="10"/>
      <c r="F36" s="9"/>
      <c r="G36" s="29"/>
      <c r="H36" s="12"/>
      <c r="I36" s="13"/>
      <c r="J36" s="64"/>
      <c r="K36" s="64"/>
      <c r="L36" s="64"/>
      <c r="M36" s="64"/>
      <c r="N36" s="64"/>
      <c r="O36" s="64"/>
      <c r="P36" s="96"/>
    </row>
    <row r="37" spans="1:18" ht="38.25" x14ac:dyDescent="0.2">
      <c r="A37" s="80" t="s">
        <v>64</v>
      </c>
      <c r="B37" s="45" t="s">
        <v>65</v>
      </c>
      <c r="C37" s="10"/>
      <c r="D37" s="10"/>
      <c r="E37" s="10"/>
      <c r="F37" s="9"/>
      <c r="G37" s="29"/>
      <c r="H37" s="12"/>
      <c r="I37" s="13"/>
      <c r="J37" s="64"/>
      <c r="K37" s="64"/>
      <c r="L37" s="64"/>
      <c r="M37" s="64"/>
      <c r="N37" s="64"/>
      <c r="O37" s="13"/>
      <c r="P37" s="96"/>
    </row>
    <row r="38" spans="1:18" ht="51" x14ac:dyDescent="0.2">
      <c r="A38" s="80" t="s">
        <v>66</v>
      </c>
      <c r="B38" s="46" t="s">
        <v>67</v>
      </c>
      <c r="C38" s="37">
        <v>53949880588</v>
      </c>
      <c r="D38" s="122">
        <v>44960371000.949997</v>
      </c>
      <c r="E38" s="37"/>
      <c r="F38" s="35"/>
      <c r="G38" s="47"/>
      <c r="H38" s="36"/>
      <c r="I38" s="38"/>
      <c r="J38" s="67"/>
      <c r="K38" s="67"/>
      <c r="L38" s="113">
        <v>44960371000.949997</v>
      </c>
      <c r="M38" s="112"/>
      <c r="N38" s="67"/>
      <c r="O38" s="38"/>
      <c r="P38" s="99">
        <v>100</v>
      </c>
    </row>
    <row r="39" spans="1:18" ht="51" x14ac:dyDescent="0.2">
      <c r="A39" s="80" t="s">
        <v>68</v>
      </c>
      <c r="B39" s="46" t="s">
        <v>69</v>
      </c>
      <c r="C39" s="37">
        <v>289023806</v>
      </c>
      <c r="D39" s="122">
        <v>287968105.25</v>
      </c>
      <c r="E39" s="37"/>
      <c r="F39" s="35"/>
      <c r="G39" s="48"/>
      <c r="H39" s="49"/>
      <c r="I39" s="50"/>
      <c r="J39" s="68"/>
      <c r="K39" s="67"/>
      <c r="L39" s="113">
        <v>287968105.25</v>
      </c>
      <c r="M39" s="38"/>
      <c r="N39" s="67"/>
      <c r="O39" s="38"/>
      <c r="P39" s="99">
        <v>100</v>
      </c>
    </row>
    <row r="40" spans="1:18" ht="51" x14ac:dyDescent="0.2">
      <c r="A40" s="80" t="s">
        <v>70</v>
      </c>
      <c r="B40" s="46" t="s">
        <v>71</v>
      </c>
      <c r="C40" s="37">
        <v>5504074138</v>
      </c>
      <c r="D40" s="37"/>
      <c r="E40" s="37"/>
      <c r="F40" s="35"/>
      <c r="G40" s="48"/>
      <c r="H40" s="49"/>
      <c r="I40" s="50"/>
      <c r="J40" s="68"/>
      <c r="K40" s="73"/>
      <c r="L40" s="73"/>
      <c r="M40" s="73"/>
      <c r="N40" s="73"/>
      <c r="O40" s="74"/>
      <c r="P40" s="100"/>
    </row>
    <row r="41" spans="1:18" ht="13.5" thickBot="1" x14ac:dyDescent="0.25">
      <c r="A41" s="83"/>
      <c r="B41" s="41" t="s">
        <v>72</v>
      </c>
      <c r="C41" s="42">
        <v>59742978532</v>
      </c>
      <c r="D41" s="42">
        <v>45248339106.199997</v>
      </c>
      <c r="E41" s="42"/>
      <c r="F41" s="42"/>
      <c r="G41" s="42"/>
      <c r="H41" s="42"/>
      <c r="I41" s="42"/>
      <c r="J41" s="69"/>
      <c r="K41" s="76"/>
      <c r="L41" s="76">
        <v>45248339106.199997</v>
      </c>
      <c r="M41" s="76"/>
      <c r="N41" s="76"/>
      <c r="O41" s="86"/>
      <c r="P41" s="98">
        <v>100</v>
      </c>
    </row>
    <row r="42" spans="1:18" x14ac:dyDescent="0.2">
      <c r="A42" s="82"/>
      <c r="B42" s="14"/>
      <c r="C42" s="16"/>
      <c r="D42" s="16"/>
      <c r="E42" s="16"/>
      <c r="F42" s="16"/>
      <c r="G42" s="16"/>
      <c r="H42" s="16"/>
      <c r="I42" s="16"/>
      <c r="J42" s="24"/>
      <c r="K42" s="92"/>
      <c r="L42" s="72"/>
      <c r="M42" s="72"/>
      <c r="N42" s="72"/>
      <c r="O42" s="21"/>
      <c r="P42" s="96"/>
    </row>
    <row r="43" spans="1:18" x14ac:dyDescent="0.2">
      <c r="A43" s="79" t="s">
        <v>73</v>
      </c>
      <c r="B43" s="5" t="s">
        <v>74</v>
      </c>
      <c r="C43" s="21">
        <v>107694973336</v>
      </c>
      <c r="D43" s="21"/>
      <c r="E43" s="21"/>
      <c r="F43" s="21"/>
      <c r="G43" s="21"/>
      <c r="H43" s="21"/>
      <c r="I43" s="34"/>
      <c r="J43" s="70"/>
      <c r="K43" s="70"/>
      <c r="L43" s="70"/>
      <c r="M43" s="70"/>
      <c r="N43" s="70"/>
      <c r="O43" s="70"/>
      <c r="P43" s="96"/>
    </row>
    <row r="44" spans="1:18" x14ac:dyDescent="0.2">
      <c r="A44" s="80"/>
      <c r="B44" s="5" t="s">
        <v>75</v>
      </c>
      <c r="C44" s="10"/>
      <c r="D44" s="10"/>
      <c r="E44" s="10"/>
      <c r="F44" s="11"/>
      <c r="G44" s="28"/>
      <c r="H44" s="12"/>
      <c r="I44" s="34"/>
      <c r="J44" s="70"/>
      <c r="K44" s="70"/>
      <c r="L44" s="34"/>
      <c r="M44" s="70"/>
      <c r="N44" s="70"/>
      <c r="O44" s="70"/>
      <c r="P44" s="96"/>
    </row>
    <row r="45" spans="1:18" ht="25.5" x14ac:dyDescent="0.25">
      <c r="A45" s="54" t="s">
        <v>76</v>
      </c>
      <c r="B45" s="53" t="s">
        <v>77</v>
      </c>
      <c r="C45" s="10"/>
      <c r="D45" s="120">
        <v>185326400</v>
      </c>
      <c r="E45" s="10"/>
      <c r="F45" s="16"/>
      <c r="G45" s="43"/>
      <c r="H45" s="17"/>
      <c r="I45" s="34"/>
      <c r="J45" s="70"/>
      <c r="K45" s="70"/>
      <c r="L45" s="120">
        <v>185326400</v>
      </c>
      <c r="M45" s="70"/>
      <c r="N45" s="70"/>
      <c r="O45" s="70"/>
      <c r="P45" s="97">
        <v>100</v>
      </c>
    </row>
    <row r="46" spans="1:18" ht="15" x14ac:dyDescent="0.25">
      <c r="A46" s="79" t="s">
        <v>78</v>
      </c>
      <c r="B46" s="18" t="s">
        <v>79</v>
      </c>
      <c r="C46" s="31">
        <v>1519973336</v>
      </c>
      <c r="D46" s="91">
        <v>1314853356.1800001</v>
      </c>
      <c r="E46" s="31"/>
      <c r="F46" s="16"/>
      <c r="G46" s="31"/>
      <c r="H46" s="17"/>
      <c r="I46" s="34"/>
      <c r="J46" s="70"/>
      <c r="K46" s="70"/>
      <c r="L46" s="91">
        <v>1314853356.1800001</v>
      </c>
      <c r="M46" s="70"/>
      <c r="N46" s="70"/>
      <c r="O46" s="70"/>
      <c r="P46" s="97">
        <v>100</v>
      </c>
    </row>
    <row r="47" spans="1:18" ht="15" x14ac:dyDescent="0.25">
      <c r="A47" s="80" t="s">
        <v>80</v>
      </c>
      <c r="B47" s="18" t="s">
        <v>81</v>
      </c>
      <c r="C47" s="16">
        <v>1675000000</v>
      </c>
      <c r="D47" s="91">
        <v>1556250000</v>
      </c>
      <c r="E47" s="16"/>
      <c r="F47" s="16"/>
      <c r="G47" s="114"/>
      <c r="H47" s="17"/>
      <c r="I47" s="7"/>
      <c r="J47" s="63"/>
      <c r="K47" s="63"/>
      <c r="L47" s="91">
        <v>1556250000</v>
      </c>
      <c r="M47" s="63"/>
      <c r="N47" s="63"/>
      <c r="O47" s="63"/>
      <c r="P47" s="97">
        <v>100</v>
      </c>
    </row>
    <row r="48" spans="1:18" x14ac:dyDescent="0.2">
      <c r="A48" s="79" t="s">
        <v>82</v>
      </c>
      <c r="B48" s="18" t="s">
        <v>83</v>
      </c>
      <c r="C48" s="16">
        <v>0</v>
      </c>
      <c r="D48" s="16"/>
      <c r="E48" s="16"/>
      <c r="F48" s="16"/>
      <c r="G48" s="16"/>
      <c r="H48" s="17"/>
      <c r="I48" s="7"/>
      <c r="J48" s="63"/>
      <c r="K48" s="63"/>
      <c r="L48" s="7"/>
      <c r="M48" s="63"/>
      <c r="N48" s="63"/>
      <c r="O48" s="63"/>
      <c r="P48" s="97"/>
    </row>
    <row r="49" spans="1:18" x14ac:dyDescent="0.2">
      <c r="A49" s="80" t="s">
        <v>84</v>
      </c>
      <c r="B49" s="22" t="s">
        <v>85</v>
      </c>
      <c r="C49" s="16">
        <v>0</v>
      </c>
      <c r="D49" s="10">
        <v>89529013</v>
      </c>
      <c r="E49" s="16"/>
      <c r="F49" s="11"/>
      <c r="G49" s="115"/>
      <c r="H49" s="12">
        <v>68959667</v>
      </c>
      <c r="I49" s="13">
        <v>77.024938273361727</v>
      </c>
      <c r="J49" s="64"/>
      <c r="K49" s="64"/>
      <c r="L49" s="13">
        <v>20569346</v>
      </c>
      <c r="M49" s="64"/>
      <c r="N49" s="64"/>
      <c r="O49" s="64"/>
      <c r="P49" s="97">
        <v>22.97506172663827</v>
      </c>
    </row>
    <row r="50" spans="1:18" x14ac:dyDescent="0.2">
      <c r="A50" s="80" t="s">
        <v>86</v>
      </c>
      <c r="B50" s="22" t="s">
        <v>87</v>
      </c>
      <c r="C50" s="31">
        <v>0</v>
      </c>
      <c r="D50" s="37">
        <v>99575440</v>
      </c>
      <c r="E50" s="31"/>
      <c r="F50" s="11"/>
      <c r="G50" s="115"/>
      <c r="H50" s="36">
        <v>26885368.800000001</v>
      </c>
      <c r="I50" s="13">
        <v>27</v>
      </c>
      <c r="J50" s="67"/>
      <c r="K50" s="67"/>
      <c r="L50" s="38">
        <v>72690071.200000003</v>
      </c>
      <c r="M50" s="67"/>
      <c r="N50" s="67"/>
      <c r="O50" s="67"/>
      <c r="P50" s="97">
        <v>73</v>
      </c>
    </row>
    <row r="51" spans="1:18" x14ac:dyDescent="0.2">
      <c r="A51" s="80" t="s">
        <v>88</v>
      </c>
      <c r="B51" s="22" t="s">
        <v>89</v>
      </c>
      <c r="C51" s="16">
        <v>0</v>
      </c>
      <c r="D51" s="10">
        <v>17665683</v>
      </c>
      <c r="E51" s="16"/>
      <c r="F51" s="11"/>
      <c r="G51" s="115"/>
      <c r="H51" s="12">
        <v>17665683</v>
      </c>
      <c r="I51" s="13">
        <v>100</v>
      </c>
      <c r="J51" s="64"/>
      <c r="K51" s="64"/>
      <c r="L51" s="64"/>
      <c r="M51" s="64"/>
      <c r="N51" s="64"/>
      <c r="O51" s="64"/>
      <c r="P51" s="97">
        <v>0</v>
      </c>
    </row>
    <row r="52" spans="1:18" x14ac:dyDescent="0.2">
      <c r="A52" s="80" t="s">
        <v>90</v>
      </c>
      <c r="B52" s="22" t="s">
        <v>91</v>
      </c>
      <c r="C52" s="16"/>
      <c r="D52" s="16"/>
      <c r="E52" s="16"/>
      <c r="F52" s="11"/>
      <c r="G52" s="115"/>
      <c r="H52" s="12"/>
      <c r="I52" s="13"/>
      <c r="J52" s="64"/>
      <c r="K52" s="64"/>
      <c r="L52" s="64"/>
      <c r="M52" s="64"/>
      <c r="N52" s="64"/>
      <c r="O52" s="64"/>
      <c r="P52" s="97"/>
    </row>
    <row r="53" spans="1:18" x14ac:dyDescent="0.2">
      <c r="A53" s="80" t="s">
        <v>92</v>
      </c>
      <c r="B53" s="52" t="s">
        <v>93</v>
      </c>
      <c r="C53" s="37">
        <v>0</v>
      </c>
      <c r="D53" s="37">
        <v>6050408</v>
      </c>
      <c r="E53" s="37"/>
      <c r="F53" s="11"/>
      <c r="G53" s="116"/>
      <c r="H53" s="36">
        <v>6050408</v>
      </c>
      <c r="I53" s="13">
        <v>100</v>
      </c>
      <c r="J53" s="67"/>
      <c r="K53" s="67"/>
      <c r="L53" s="67"/>
      <c r="M53" s="67"/>
      <c r="N53" s="67"/>
      <c r="O53" s="67"/>
      <c r="P53" s="97">
        <v>0</v>
      </c>
    </row>
    <row r="54" spans="1:18" x14ac:dyDescent="0.2">
      <c r="A54" s="80" t="s">
        <v>94</v>
      </c>
      <c r="B54" s="22" t="s">
        <v>95</v>
      </c>
      <c r="C54" s="37">
        <v>0</v>
      </c>
      <c r="D54" s="37">
        <v>23241282</v>
      </c>
      <c r="E54" s="37"/>
      <c r="F54" s="11"/>
      <c r="G54" s="37"/>
      <c r="H54" s="36">
        <v>23241282</v>
      </c>
      <c r="I54" s="13">
        <v>100</v>
      </c>
      <c r="J54" s="67"/>
      <c r="K54" s="67"/>
      <c r="L54" s="67"/>
      <c r="M54" s="67"/>
      <c r="N54" s="67"/>
      <c r="O54" s="67"/>
      <c r="P54" s="97">
        <v>0</v>
      </c>
    </row>
    <row r="55" spans="1:18" ht="25.5" x14ac:dyDescent="0.2">
      <c r="A55" s="80" t="s">
        <v>96</v>
      </c>
      <c r="B55" s="30" t="s">
        <v>97</v>
      </c>
      <c r="C55" s="37">
        <v>0</v>
      </c>
      <c r="D55" s="94">
        <v>1511907161</v>
      </c>
      <c r="E55" s="35"/>
      <c r="F55" s="11"/>
      <c r="G55" s="35"/>
      <c r="H55" s="36">
        <v>1458294849</v>
      </c>
      <c r="I55" s="38">
        <v>96.453994439411218</v>
      </c>
      <c r="J55" s="67"/>
      <c r="K55" s="67"/>
      <c r="L55" s="67">
        <v>49320117</v>
      </c>
      <c r="M55" s="67"/>
      <c r="N55" s="67">
        <v>4145512</v>
      </c>
      <c r="O55" s="67"/>
      <c r="P55" s="101">
        <v>3.54</v>
      </c>
      <c r="R55" s="108"/>
    </row>
    <row r="56" spans="1:18" ht="25.5" x14ac:dyDescent="0.2">
      <c r="A56" s="80" t="s">
        <v>98</v>
      </c>
      <c r="B56" s="30" t="s">
        <v>99</v>
      </c>
      <c r="C56" s="37"/>
      <c r="D56" s="94"/>
      <c r="E56" s="35"/>
      <c r="F56" s="35"/>
      <c r="G56" s="37"/>
      <c r="H56" s="36"/>
      <c r="I56" s="38"/>
      <c r="J56" s="67"/>
      <c r="K56" s="67"/>
      <c r="L56" s="67"/>
      <c r="M56" s="67"/>
      <c r="N56" s="67"/>
      <c r="O56" s="67"/>
      <c r="P56" s="101"/>
      <c r="R56" s="111"/>
    </row>
    <row r="57" spans="1:18" x14ac:dyDescent="0.2">
      <c r="A57" s="79" t="s">
        <v>100</v>
      </c>
      <c r="B57" s="39" t="s">
        <v>101</v>
      </c>
      <c r="C57" s="31">
        <v>0</v>
      </c>
      <c r="D57" s="104"/>
      <c r="E57" s="32"/>
      <c r="F57" s="32"/>
      <c r="G57" s="31"/>
      <c r="H57" s="33"/>
      <c r="I57" s="34"/>
      <c r="J57" s="70"/>
      <c r="K57" s="70"/>
      <c r="L57" s="70"/>
      <c r="M57" s="70"/>
      <c r="N57" s="70"/>
      <c r="O57" s="70"/>
      <c r="P57" s="101"/>
    </row>
    <row r="58" spans="1:18" ht="25.5" x14ac:dyDescent="0.2">
      <c r="A58" s="84" t="s">
        <v>102</v>
      </c>
      <c r="B58" s="52" t="s">
        <v>103</v>
      </c>
      <c r="C58" s="37">
        <v>0</v>
      </c>
      <c r="D58" s="112">
        <v>349517540</v>
      </c>
      <c r="E58" s="35"/>
      <c r="F58" s="112">
        <v>349517540</v>
      </c>
      <c r="G58" s="121">
        <v>100</v>
      </c>
      <c r="H58" s="36"/>
      <c r="I58" s="38"/>
      <c r="J58" s="67"/>
      <c r="K58" s="67"/>
      <c r="L58" s="67"/>
      <c r="M58" s="67"/>
      <c r="N58" s="67"/>
      <c r="O58" s="67"/>
      <c r="P58" s="101"/>
    </row>
    <row r="59" spans="1:18" ht="25.5" customHeight="1" x14ac:dyDescent="0.2">
      <c r="A59" s="84" t="s">
        <v>104</v>
      </c>
      <c r="B59" s="52" t="s">
        <v>105</v>
      </c>
      <c r="C59" s="37"/>
      <c r="D59" s="112">
        <v>746852</v>
      </c>
      <c r="E59" s="35"/>
      <c r="F59" s="112">
        <v>746852</v>
      </c>
      <c r="G59" s="121">
        <v>100</v>
      </c>
      <c r="H59" s="36"/>
      <c r="I59" s="38"/>
      <c r="J59" s="67"/>
      <c r="K59" s="67"/>
      <c r="L59" s="67"/>
      <c r="M59" s="67"/>
      <c r="N59" s="67"/>
      <c r="O59" s="67"/>
      <c r="P59" s="101"/>
    </row>
    <row r="60" spans="1:18" ht="25.5" x14ac:dyDescent="0.2">
      <c r="A60" s="80" t="s">
        <v>106</v>
      </c>
      <c r="B60" s="52" t="s">
        <v>107</v>
      </c>
      <c r="C60" s="37"/>
      <c r="D60" s="94"/>
      <c r="E60" s="35"/>
      <c r="F60" s="32"/>
      <c r="G60" s="37"/>
      <c r="H60" s="36"/>
      <c r="I60" s="38"/>
      <c r="J60" s="67"/>
      <c r="K60" s="67"/>
      <c r="L60" s="67"/>
      <c r="M60" s="67"/>
      <c r="N60" s="67"/>
      <c r="O60" s="67"/>
      <c r="P60" s="102"/>
    </row>
    <row r="61" spans="1:18" x14ac:dyDescent="0.2">
      <c r="A61" s="85" t="s">
        <v>108</v>
      </c>
      <c r="B61" s="55" t="s">
        <v>109</v>
      </c>
      <c r="C61" s="16">
        <v>90000000000</v>
      </c>
      <c r="D61" s="24"/>
      <c r="E61" s="21"/>
      <c r="F61" s="21"/>
      <c r="G61" s="16"/>
      <c r="H61" s="33"/>
      <c r="I61" s="7"/>
      <c r="J61" s="63"/>
      <c r="K61" s="63"/>
      <c r="L61" s="63"/>
      <c r="M61" s="63"/>
      <c r="N61" s="63"/>
      <c r="O61" s="63"/>
      <c r="P61" s="96"/>
    </row>
    <row r="62" spans="1:18" x14ac:dyDescent="0.2">
      <c r="A62" s="84" t="s">
        <v>110</v>
      </c>
      <c r="B62" s="40" t="s">
        <v>111</v>
      </c>
      <c r="C62" s="37">
        <v>90000000000</v>
      </c>
      <c r="D62" s="94">
        <v>39342511067.360001</v>
      </c>
      <c r="E62" s="35"/>
      <c r="F62" s="112"/>
      <c r="G62" s="47">
        <v>0</v>
      </c>
      <c r="H62" s="117">
        <v>39342511067.360001</v>
      </c>
      <c r="I62" s="38">
        <v>100</v>
      </c>
      <c r="J62" s="67"/>
      <c r="K62" s="67"/>
      <c r="L62" s="67"/>
      <c r="M62" s="67"/>
      <c r="N62" s="67"/>
      <c r="O62" s="67"/>
      <c r="P62" s="102"/>
    </row>
    <row r="63" spans="1:18" x14ac:dyDescent="0.2">
      <c r="A63" s="79" t="s">
        <v>112</v>
      </c>
      <c r="B63" s="58" t="s">
        <v>113</v>
      </c>
      <c r="C63" s="31">
        <v>14500000000</v>
      </c>
      <c r="D63" s="104"/>
      <c r="E63" s="32"/>
      <c r="F63" s="32"/>
      <c r="G63" s="31"/>
      <c r="H63" s="33"/>
      <c r="I63" s="38"/>
      <c r="J63" s="70"/>
      <c r="K63" s="70"/>
      <c r="L63" s="70"/>
      <c r="M63" s="70"/>
      <c r="N63" s="70"/>
      <c r="O63" s="70"/>
      <c r="P63" s="100"/>
    </row>
    <row r="64" spans="1:18" x14ac:dyDescent="0.2">
      <c r="A64" s="80" t="s">
        <v>114</v>
      </c>
      <c r="B64" s="59" t="s">
        <v>113</v>
      </c>
      <c r="C64" s="10">
        <v>14500000000</v>
      </c>
      <c r="D64" s="112">
        <v>4695078500</v>
      </c>
      <c r="E64" s="11"/>
      <c r="F64" s="112">
        <v>4695078500</v>
      </c>
      <c r="G64" s="118">
        <v>32.379851724137929</v>
      </c>
      <c r="H64" s="12"/>
      <c r="I64" s="38">
        <v>0</v>
      </c>
      <c r="J64" s="64"/>
      <c r="K64" s="64"/>
      <c r="L64" s="64"/>
      <c r="M64" s="64"/>
      <c r="N64" s="64"/>
      <c r="O64" s="64"/>
      <c r="P64" s="97"/>
    </row>
    <row r="65" spans="1:16" x14ac:dyDescent="0.2">
      <c r="A65" s="80"/>
      <c r="B65" s="59" t="s">
        <v>115</v>
      </c>
      <c r="C65" s="10">
        <v>0</v>
      </c>
      <c r="D65" s="112">
        <v>15750000</v>
      </c>
      <c r="E65" s="11"/>
      <c r="F65" s="112">
        <v>15750000</v>
      </c>
      <c r="G65" s="118">
        <v>100</v>
      </c>
      <c r="H65" s="12"/>
      <c r="I65" s="38">
        <v>0</v>
      </c>
      <c r="J65" s="64"/>
      <c r="K65" s="64"/>
      <c r="L65" s="64"/>
      <c r="M65" s="64"/>
      <c r="N65" s="64"/>
      <c r="O65" s="64"/>
      <c r="P65" s="97"/>
    </row>
    <row r="66" spans="1:16" x14ac:dyDescent="0.2">
      <c r="A66" s="80"/>
      <c r="B66" s="59" t="s">
        <v>116</v>
      </c>
      <c r="C66" s="10">
        <v>0</v>
      </c>
      <c r="D66" s="119">
        <v>9414256006.75</v>
      </c>
      <c r="E66" s="11"/>
      <c r="F66" s="119">
        <v>9414256006.75</v>
      </c>
      <c r="G66" s="118">
        <v>100</v>
      </c>
      <c r="H66" s="23"/>
      <c r="I66" s="38">
        <v>0</v>
      </c>
      <c r="J66" s="64"/>
      <c r="K66" s="64"/>
      <c r="L66" s="64"/>
      <c r="M66" s="64"/>
      <c r="N66" s="64"/>
      <c r="O66" s="64"/>
      <c r="P66" s="97"/>
    </row>
    <row r="67" spans="1:16" ht="13.5" thickBot="1" x14ac:dyDescent="0.25">
      <c r="A67" s="83"/>
      <c r="B67" s="41" t="s">
        <v>117</v>
      </c>
      <c r="C67" s="86">
        <v>107694973336</v>
      </c>
      <c r="D67" s="76">
        <v>58622258709.290001</v>
      </c>
      <c r="E67" s="86"/>
      <c r="F67" s="86">
        <v>14475348898.75</v>
      </c>
      <c r="G67" s="126">
        <v>24.692581312047022</v>
      </c>
      <c r="H67" s="87">
        <v>40943608325.160004</v>
      </c>
      <c r="I67" s="127">
        <v>69.843109471780863</v>
      </c>
      <c r="J67" s="88"/>
      <c r="K67" s="88"/>
      <c r="L67" s="88">
        <v>3199009290.3800001</v>
      </c>
      <c r="M67" s="88"/>
      <c r="N67" s="88">
        <v>4145512</v>
      </c>
      <c r="O67" s="88"/>
      <c r="P67" s="103">
        <v>5.46</v>
      </c>
    </row>
    <row r="68" spans="1:16" x14ac:dyDescent="0.2">
      <c r="A68" s="77"/>
      <c r="B68" s="51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x14ac:dyDescent="0.2">
      <c r="A69" s="3" t="s">
        <v>124</v>
      </c>
      <c r="B69" s="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x14ac:dyDescent="0.2">
      <c r="A70" s="3"/>
      <c r="B70" s="89"/>
      <c r="C70" s="25"/>
      <c r="D70" s="25"/>
      <c r="E70" s="25"/>
      <c r="F70" s="2"/>
      <c r="G70" s="2"/>
      <c r="H70" s="89"/>
      <c r="I70" s="89"/>
      <c r="J70" s="89"/>
      <c r="K70" s="89"/>
      <c r="L70" s="89"/>
      <c r="M70" s="89"/>
      <c r="N70" s="89"/>
      <c r="O70" s="89"/>
      <c r="P70" s="2"/>
    </row>
    <row r="71" spans="1:16" x14ac:dyDescent="0.2">
      <c r="A71" s="3"/>
      <c r="B71" s="89"/>
      <c r="C71" s="2"/>
      <c r="D71" s="2"/>
      <c r="E71" s="2"/>
      <c r="F71" s="2"/>
      <c r="G71" s="2"/>
      <c r="H71" s="89"/>
      <c r="I71" s="89"/>
      <c r="J71" s="89"/>
      <c r="K71" s="89"/>
      <c r="L71" s="89"/>
      <c r="M71" s="89"/>
      <c r="N71" s="89"/>
      <c r="O71" s="89"/>
      <c r="P71" s="2"/>
    </row>
    <row r="72" spans="1:16" x14ac:dyDescent="0.2">
      <c r="A72" s="3"/>
      <c r="B72" s="89"/>
      <c r="C72" s="2"/>
      <c r="D72" s="2"/>
      <c r="E72" s="2"/>
      <c r="F72" s="2"/>
      <c r="G72" s="393"/>
      <c r="H72" s="393"/>
      <c r="I72" s="393"/>
      <c r="J72" s="89"/>
      <c r="K72" s="89"/>
      <c r="L72" s="89"/>
      <c r="M72" s="89"/>
      <c r="N72" s="89"/>
      <c r="O72" s="123"/>
      <c r="P72" s="44"/>
    </row>
    <row r="73" spans="1:16" x14ac:dyDescent="0.2">
      <c r="A73" s="3"/>
      <c r="B73" s="89"/>
      <c r="C73" s="2"/>
      <c r="D73" s="2"/>
      <c r="E73" s="2"/>
      <c r="F73" s="2"/>
      <c r="G73" s="2"/>
      <c r="H73" s="1"/>
      <c r="I73" s="1"/>
      <c r="J73" s="1"/>
      <c r="K73" s="1"/>
      <c r="L73" s="125"/>
      <c r="M73" s="1"/>
      <c r="N73" s="1"/>
      <c r="O73" s="1"/>
      <c r="P73" s="2"/>
    </row>
    <row r="74" spans="1:16" x14ac:dyDescent="0.2">
      <c r="A74" s="3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24"/>
      <c r="P74" s="2"/>
    </row>
    <row r="75" spans="1:16" x14ac:dyDescent="0.2">
      <c r="A75" s="3"/>
      <c r="B75" s="1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2"/>
    </row>
    <row r="76" spans="1:16" x14ac:dyDescent="0.2">
      <c r="A76" s="3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2"/>
    </row>
    <row r="77" spans="1:16" x14ac:dyDescent="0.2">
      <c r="A77" s="3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2"/>
    </row>
    <row r="78" spans="1:16" x14ac:dyDescent="0.2">
      <c r="A78" s="3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2"/>
    </row>
    <row r="79" spans="1:16" x14ac:dyDescent="0.2">
      <c r="A79" s="3"/>
      <c r="B79" s="2"/>
      <c r="C79" s="2"/>
      <c r="D79" s="2"/>
      <c r="E79" s="2"/>
      <c r="F79" s="25"/>
      <c r="G79" s="2"/>
      <c r="H79" s="1"/>
      <c r="I79" s="1"/>
      <c r="J79" s="1"/>
      <c r="K79" s="1"/>
      <c r="L79" s="1"/>
      <c r="M79" s="1"/>
      <c r="N79" s="1"/>
      <c r="O79" s="1"/>
      <c r="P79" s="2"/>
    </row>
    <row r="80" spans="1:16" x14ac:dyDescent="0.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3"/>
      <c r="B81" s="4"/>
      <c r="C81" s="2"/>
      <c r="D81" s="2"/>
      <c r="E81" s="2"/>
      <c r="F81" s="2"/>
      <c r="G81" s="2"/>
      <c r="H81" s="4"/>
      <c r="I81" s="4"/>
      <c r="J81" s="4"/>
      <c r="K81" s="4"/>
      <c r="L81" s="4"/>
      <c r="M81" s="4"/>
      <c r="N81" s="4"/>
      <c r="O81" s="4"/>
      <c r="P81" s="3"/>
    </row>
    <row r="82" spans="1:16" x14ac:dyDescent="0.2">
      <c r="A82" s="3"/>
      <c r="B82" s="89"/>
      <c r="C82" s="2"/>
      <c r="D82" s="2"/>
      <c r="E82" s="2"/>
      <c r="F82" s="2"/>
      <c r="G82" s="2"/>
      <c r="H82" s="89"/>
      <c r="I82" s="89"/>
      <c r="J82" s="89"/>
      <c r="K82" s="89"/>
      <c r="L82" s="89"/>
      <c r="M82" s="89"/>
      <c r="N82" s="89"/>
      <c r="O82" s="89"/>
      <c r="P82" s="2"/>
    </row>
    <row r="83" spans="1:16" x14ac:dyDescent="0.2">
      <c r="A83" s="3"/>
      <c r="B83" s="89"/>
      <c r="C83" s="2"/>
      <c r="D83" s="2"/>
      <c r="E83" s="2"/>
      <c r="F83" s="2"/>
      <c r="G83" s="2"/>
      <c r="H83" s="89"/>
      <c r="I83" s="89"/>
      <c r="J83" s="89"/>
      <c r="K83" s="89"/>
      <c r="L83" s="89"/>
      <c r="M83" s="89"/>
      <c r="N83" s="89"/>
      <c r="O83" s="89"/>
      <c r="P83" s="2"/>
    </row>
    <row r="84" spans="1:16" x14ac:dyDescent="0.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">
      <c r="A85" s="3"/>
      <c r="B85" s="4"/>
      <c r="C85" s="2"/>
      <c r="D85" s="2"/>
      <c r="E85" s="2"/>
      <c r="F85" s="2"/>
      <c r="G85" s="2"/>
      <c r="H85" s="4"/>
      <c r="I85" s="4"/>
      <c r="J85" s="4"/>
      <c r="K85" s="4"/>
      <c r="L85" s="4"/>
      <c r="M85" s="4"/>
      <c r="N85" s="4"/>
      <c r="O85" s="4"/>
      <c r="P85" s="3"/>
    </row>
    <row r="86" spans="1:16" x14ac:dyDescent="0.2">
      <c r="A86" s="3"/>
      <c r="B86" s="89"/>
      <c r="C86" s="2"/>
      <c r="D86" s="2"/>
      <c r="E86" s="2"/>
      <c r="F86" s="2"/>
      <c r="G86" s="2"/>
      <c r="H86" s="89"/>
      <c r="I86" s="89"/>
      <c r="J86" s="89"/>
      <c r="K86" s="89"/>
      <c r="L86" s="89"/>
      <c r="M86" s="89"/>
      <c r="N86" s="89"/>
      <c r="O86" s="89"/>
      <c r="P86" s="2"/>
    </row>
    <row r="87" spans="1:16" x14ac:dyDescent="0.2">
      <c r="A87" s="3"/>
      <c r="B87" s="89"/>
      <c r="C87" s="2"/>
      <c r="D87" s="2"/>
      <c r="E87" s="2"/>
      <c r="F87" s="2"/>
      <c r="G87" s="2"/>
      <c r="H87" s="89"/>
      <c r="I87" s="89"/>
      <c r="J87" s="89"/>
      <c r="K87" s="89"/>
      <c r="L87" s="89"/>
      <c r="M87" s="89"/>
      <c r="N87" s="89"/>
      <c r="O87" s="89"/>
      <c r="P87" s="2"/>
    </row>
    <row r="88" spans="1:16" x14ac:dyDescent="0.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mergeCells count="11">
    <mergeCell ref="A1:P1"/>
    <mergeCell ref="A2:P2"/>
    <mergeCell ref="B4:B5"/>
    <mergeCell ref="G72:I72"/>
    <mergeCell ref="F4:G4"/>
    <mergeCell ref="H4:I4"/>
    <mergeCell ref="J4:P4"/>
    <mergeCell ref="A4:A5"/>
    <mergeCell ref="C4:C5"/>
    <mergeCell ref="D4:D5"/>
    <mergeCell ref="E4:E5"/>
  </mergeCells>
  <pageMargins left="0.98" right="0.31496062992125984" top="0.74803149606299213" bottom="0.74803149606299213" header="0.34" footer="0.31496062992125984"/>
  <pageSetup paperSize="258" scale="5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zoomScaleNormal="100" workbookViewId="0">
      <selection activeCell="H30" sqref="H30"/>
    </sheetView>
  </sheetViews>
  <sheetFormatPr defaultRowHeight="11.25" x14ac:dyDescent="0.2"/>
  <cols>
    <col min="1" max="1" width="13.140625" style="129" customWidth="1"/>
    <col min="2" max="2" width="37.42578125" style="129" customWidth="1"/>
    <col min="3" max="3" width="25.7109375" style="129" customWidth="1"/>
    <col min="4" max="4" width="23.28515625" style="129" customWidth="1"/>
    <col min="5" max="5" width="9.85546875" style="129" customWidth="1"/>
    <col min="6" max="6" width="22" style="129" customWidth="1"/>
    <col min="7" max="7" width="9.85546875" style="129" customWidth="1"/>
    <col min="8" max="8" width="22.85546875" style="129" customWidth="1"/>
    <col min="9" max="9" width="9.42578125" style="129" customWidth="1"/>
    <col min="10" max="10" width="18.28515625" style="129" customWidth="1"/>
    <col min="11" max="11" width="18.5703125" style="129" customWidth="1"/>
    <col min="12" max="12" width="22.42578125" style="129" customWidth="1"/>
    <col min="13" max="13" width="20.140625" style="129" customWidth="1"/>
    <col min="14" max="14" width="18.28515625" style="129" customWidth="1"/>
    <col min="15" max="15" width="16.140625" style="129" customWidth="1"/>
    <col min="16" max="16" width="22.5703125" style="129" customWidth="1"/>
    <col min="17" max="17" width="10.5703125" style="129" customWidth="1"/>
    <col min="18" max="18" width="9.140625" style="129"/>
    <col min="19" max="19" width="22" style="129" customWidth="1"/>
    <col min="20" max="20" width="25" style="129" customWidth="1"/>
    <col min="21" max="21" width="19.140625" style="129" bestFit="1" customWidth="1"/>
    <col min="22" max="16384" width="9.140625" style="129"/>
  </cols>
  <sheetData>
    <row r="1" spans="1:21" x14ac:dyDescent="0.2">
      <c r="A1" s="406" t="s">
        <v>0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1" x14ac:dyDescent="0.2">
      <c r="A2" s="406" t="s">
        <v>128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1" ht="12" thickBo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1:21" ht="25.5" customHeight="1" x14ac:dyDescent="0.2">
      <c r="A4" s="407" t="s">
        <v>123</v>
      </c>
      <c r="B4" s="409" t="s">
        <v>1</v>
      </c>
      <c r="C4" s="411" t="s">
        <v>2</v>
      </c>
      <c r="D4" s="413" t="s">
        <v>125</v>
      </c>
      <c r="E4" s="413" t="s">
        <v>6</v>
      </c>
      <c r="F4" s="415" t="s">
        <v>3</v>
      </c>
      <c r="G4" s="415"/>
      <c r="H4" s="416" t="s">
        <v>4</v>
      </c>
      <c r="I4" s="417"/>
      <c r="J4" s="418" t="s">
        <v>5</v>
      </c>
      <c r="K4" s="419"/>
      <c r="L4" s="419"/>
      <c r="M4" s="419"/>
      <c r="N4" s="419"/>
      <c r="O4" s="419"/>
      <c r="P4" s="419"/>
      <c r="Q4" s="420"/>
    </row>
    <row r="5" spans="1:21" ht="22.5" x14ac:dyDescent="0.2">
      <c r="A5" s="408"/>
      <c r="B5" s="410"/>
      <c r="C5" s="412"/>
      <c r="D5" s="414"/>
      <c r="E5" s="414"/>
      <c r="F5" s="131" t="s">
        <v>7</v>
      </c>
      <c r="G5" s="131" t="s">
        <v>6</v>
      </c>
      <c r="H5" s="131" t="s">
        <v>133</v>
      </c>
      <c r="I5" s="131" t="s">
        <v>6</v>
      </c>
      <c r="J5" s="131" t="s">
        <v>8</v>
      </c>
      <c r="K5" s="131" t="s">
        <v>9</v>
      </c>
      <c r="L5" s="131" t="s">
        <v>120</v>
      </c>
      <c r="M5" s="131" t="s">
        <v>10</v>
      </c>
      <c r="N5" s="131" t="s">
        <v>121</v>
      </c>
      <c r="O5" s="131" t="s">
        <v>122</v>
      </c>
      <c r="P5" s="132" t="s">
        <v>134</v>
      </c>
      <c r="Q5" s="133" t="s">
        <v>6</v>
      </c>
    </row>
    <row r="6" spans="1:21" x14ac:dyDescent="0.2">
      <c r="A6" s="134"/>
      <c r="B6" s="135"/>
      <c r="C6" s="136"/>
      <c r="D6" s="136"/>
      <c r="E6" s="136"/>
      <c r="F6" s="136"/>
      <c r="G6" s="136"/>
      <c r="H6" s="136"/>
      <c r="I6" s="137"/>
      <c r="J6" s="138"/>
      <c r="K6" s="138"/>
      <c r="L6" s="138"/>
      <c r="M6" s="138"/>
      <c r="N6" s="138"/>
      <c r="O6" s="138"/>
      <c r="P6" s="138"/>
      <c r="Q6" s="139"/>
    </row>
    <row r="7" spans="1:21" x14ac:dyDescent="0.2">
      <c r="A7" s="363">
        <v>4.0999999999999996</v>
      </c>
      <c r="B7" s="364" t="s">
        <v>11</v>
      </c>
      <c r="C7" s="365">
        <f>C18+C35+C42+C69</f>
        <v>657068247868</v>
      </c>
      <c r="D7" s="365">
        <f>D18+D35+D42+D69</f>
        <v>378966514334.91003</v>
      </c>
      <c r="E7" s="365">
        <f>D7/C7*100</f>
        <v>57.675365620625982</v>
      </c>
      <c r="F7" s="365">
        <f>F35+F69</f>
        <v>13255909658.219999</v>
      </c>
      <c r="G7" s="366">
        <f>F7/D7*100</f>
        <v>3.4979105426990698</v>
      </c>
      <c r="H7" s="365">
        <f>H18+H35+H69</f>
        <v>193703068610.32001</v>
      </c>
      <c r="I7" s="367">
        <f>H7/D7*100</f>
        <v>51.113505094314412</v>
      </c>
      <c r="J7" s="368"/>
      <c r="K7" s="368"/>
      <c r="L7" s="368"/>
      <c r="M7" s="368"/>
      <c r="N7" s="368"/>
      <c r="O7" s="368"/>
      <c r="P7" s="368">
        <f>P18+P35+P42+P69</f>
        <v>172007536066.37</v>
      </c>
      <c r="Q7" s="369">
        <f>P7/D7*100</f>
        <v>45.388584362986506</v>
      </c>
      <c r="S7" s="157">
        <f>Q7+I7+G7</f>
        <v>99.999999999999986</v>
      </c>
    </row>
    <row r="8" spans="1:21" x14ac:dyDescent="0.2">
      <c r="A8" s="140" t="s">
        <v>12</v>
      </c>
      <c r="B8" s="141" t="s">
        <v>13</v>
      </c>
      <c r="C8" s="145"/>
      <c r="D8" s="145"/>
      <c r="E8" s="145"/>
      <c r="F8" s="145"/>
      <c r="G8" s="146"/>
      <c r="H8" s="146"/>
      <c r="I8" s="142"/>
      <c r="J8" s="143"/>
      <c r="K8" s="143"/>
      <c r="L8" s="143"/>
      <c r="M8" s="143"/>
      <c r="N8" s="143"/>
      <c r="O8" s="143"/>
      <c r="P8" s="143"/>
      <c r="Q8" s="144"/>
    </row>
    <row r="9" spans="1:21" x14ac:dyDescent="0.2">
      <c r="A9" s="147" t="s">
        <v>14</v>
      </c>
      <c r="B9" s="148" t="s">
        <v>15</v>
      </c>
      <c r="C9" s="149">
        <v>53000000000</v>
      </c>
      <c r="D9" s="149">
        <v>5419102724.79</v>
      </c>
      <c r="E9" s="150">
        <f>D9/C9*100</f>
        <v>10.224722122245284</v>
      </c>
      <c r="F9" s="151"/>
      <c r="G9" s="152"/>
      <c r="H9" s="153">
        <v>2923199389.3999996</v>
      </c>
      <c r="I9" s="154">
        <f>H9/D9*100</f>
        <v>53.942498193061638</v>
      </c>
      <c r="J9" s="155"/>
      <c r="K9" s="155">
        <v>78734408</v>
      </c>
      <c r="L9" s="155">
        <v>2417168927.3900003</v>
      </c>
      <c r="M9" s="155"/>
      <c r="N9" s="155"/>
      <c r="O9" s="155"/>
      <c r="P9" s="155">
        <f>J9+K9+L9+M9+N9+O9</f>
        <v>2495903335.3900003</v>
      </c>
      <c r="Q9" s="156">
        <f>P9/D9*100</f>
        <v>46.057501806938362</v>
      </c>
      <c r="S9" s="157">
        <f t="shared" ref="S9:S18" si="0">I9+Q9</f>
        <v>100</v>
      </c>
    </row>
    <row r="10" spans="1:21" x14ac:dyDescent="0.2">
      <c r="A10" s="147" t="s">
        <v>16</v>
      </c>
      <c r="B10" s="148" t="s">
        <v>17</v>
      </c>
      <c r="C10" s="149">
        <v>85500000000</v>
      </c>
      <c r="D10" s="149">
        <v>41533078572.849998</v>
      </c>
      <c r="E10" s="150">
        <f t="shared" ref="E10:E18" si="1">D10/C10*100</f>
        <v>48.576700085204678</v>
      </c>
      <c r="F10" s="151"/>
      <c r="G10" s="152"/>
      <c r="H10" s="153">
        <v>11500983288.389996</v>
      </c>
      <c r="I10" s="154">
        <f t="shared" ref="I10:I17" si="2">H10/D10*100</f>
        <v>27.69114085346936</v>
      </c>
      <c r="J10" s="155"/>
      <c r="K10" s="155">
        <v>456378427.89999998</v>
      </c>
      <c r="L10" s="155">
        <v>29575716856.560001</v>
      </c>
      <c r="M10" s="155"/>
      <c r="N10" s="155"/>
      <c r="O10" s="155"/>
      <c r="P10" s="155">
        <f t="shared" ref="P10:P17" si="3">J10+K10+L10+M10+N10+O10</f>
        <v>30032095284.460003</v>
      </c>
      <c r="Q10" s="156">
        <f t="shared" ref="Q10:Q18" si="4">P10/D10*100</f>
        <v>72.308859146530637</v>
      </c>
      <c r="S10" s="157">
        <f t="shared" si="0"/>
        <v>100</v>
      </c>
      <c r="U10" s="157"/>
    </row>
    <row r="11" spans="1:21" x14ac:dyDescent="0.2">
      <c r="A11" s="147" t="s">
        <v>18</v>
      </c>
      <c r="B11" s="148" t="s">
        <v>19</v>
      </c>
      <c r="C11" s="149">
        <v>9000000000</v>
      </c>
      <c r="D11" s="149">
        <v>3015534190.96</v>
      </c>
      <c r="E11" s="150">
        <f t="shared" si="1"/>
        <v>33.505935455111114</v>
      </c>
      <c r="F11" s="151"/>
      <c r="G11" s="152"/>
      <c r="H11" s="153">
        <v>1458549535.76</v>
      </c>
      <c r="I11" s="154">
        <f t="shared" si="2"/>
        <v>48.367865969898638</v>
      </c>
      <c r="J11" s="155"/>
      <c r="K11" s="155">
        <v>17661839</v>
      </c>
      <c r="L11" s="155">
        <v>1539322816.2</v>
      </c>
      <c r="M11" s="155"/>
      <c r="N11" s="155"/>
      <c r="O11" s="155"/>
      <c r="P11" s="155">
        <f t="shared" si="3"/>
        <v>1556984655.2</v>
      </c>
      <c r="Q11" s="156">
        <f t="shared" si="4"/>
        <v>51.632134030101362</v>
      </c>
      <c r="S11" s="157">
        <f t="shared" si="0"/>
        <v>100</v>
      </c>
    </row>
    <row r="12" spans="1:21" x14ac:dyDescent="0.2">
      <c r="A12" s="158" t="s">
        <v>20</v>
      </c>
      <c r="B12" s="159" t="s">
        <v>21</v>
      </c>
      <c r="C12" s="160">
        <v>1000000000</v>
      </c>
      <c r="D12" s="160">
        <v>509241866.40999997</v>
      </c>
      <c r="E12" s="161">
        <f t="shared" si="1"/>
        <v>50.924186641000006</v>
      </c>
      <c r="F12" s="162"/>
      <c r="G12" s="163"/>
      <c r="H12" s="164">
        <v>420852591.08999997</v>
      </c>
      <c r="I12" s="165">
        <f t="shared" si="2"/>
        <v>82.642967683879277</v>
      </c>
      <c r="J12" s="166"/>
      <c r="K12" s="166">
        <v>0</v>
      </c>
      <c r="L12" s="166">
        <v>88389275.319999993</v>
      </c>
      <c r="M12" s="166"/>
      <c r="N12" s="166"/>
      <c r="O12" s="166"/>
      <c r="P12" s="155">
        <f t="shared" si="3"/>
        <v>88389275.319999993</v>
      </c>
      <c r="Q12" s="156">
        <f t="shared" si="4"/>
        <v>17.357032316120719</v>
      </c>
      <c r="S12" s="157">
        <f t="shared" si="0"/>
        <v>100</v>
      </c>
    </row>
    <row r="13" spans="1:21" x14ac:dyDescent="0.2">
      <c r="A13" s="147" t="s">
        <v>22</v>
      </c>
      <c r="B13" s="148" t="s">
        <v>23</v>
      </c>
      <c r="C13" s="149">
        <v>97000000000</v>
      </c>
      <c r="D13" s="149">
        <v>43829043499</v>
      </c>
      <c r="E13" s="150">
        <f t="shared" si="1"/>
        <v>45.184580926804124</v>
      </c>
      <c r="F13" s="151"/>
      <c r="G13" s="152"/>
      <c r="H13" s="153"/>
      <c r="I13" s="154">
        <f t="shared" si="2"/>
        <v>0</v>
      </c>
      <c r="J13" s="155"/>
      <c r="K13" s="155">
        <v>0</v>
      </c>
      <c r="L13" s="167">
        <v>43829043499</v>
      </c>
      <c r="M13" s="155"/>
      <c r="N13" s="155"/>
      <c r="O13" s="155"/>
      <c r="P13" s="155">
        <f t="shared" si="3"/>
        <v>43829043499</v>
      </c>
      <c r="Q13" s="156">
        <f t="shared" si="4"/>
        <v>100</v>
      </c>
      <c r="S13" s="157">
        <f t="shared" si="0"/>
        <v>100</v>
      </c>
    </row>
    <row r="14" spans="1:21" x14ac:dyDescent="0.2">
      <c r="A14" s="147" t="s">
        <v>24</v>
      </c>
      <c r="B14" s="148" t="s">
        <v>25</v>
      </c>
      <c r="C14" s="149">
        <v>5500000000</v>
      </c>
      <c r="D14" s="149">
        <v>3004496696</v>
      </c>
      <c r="E14" s="150">
        <f t="shared" si="1"/>
        <v>54.627212654545453</v>
      </c>
      <c r="F14" s="151"/>
      <c r="G14" s="168"/>
      <c r="H14" s="153">
        <v>1969379646</v>
      </c>
      <c r="I14" s="154">
        <f t="shared" si="2"/>
        <v>65.547738781737038</v>
      </c>
      <c r="J14" s="155"/>
      <c r="K14" s="155">
        <v>121718290</v>
      </c>
      <c r="L14" s="155">
        <v>913398760</v>
      </c>
      <c r="M14" s="155"/>
      <c r="N14" s="155"/>
      <c r="O14" s="155"/>
      <c r="P14" s="155">
        <f t="shared" si="3"/>
        <v>1035117050</v>
      </c>
      <c r="Q14" s="156">
        <f t="shared" si="4"/>
        <v>34.452261218262962</v>
      </c>
      <c r="S14" s="157">
        <f t="shared" si="0"/>
        <v>100</v>
      </c>
    </row>
    <row r="15" spans="1:21" x14ac:dyDescent="0.2">
      <c r="A15" s="158" t="s">
        <v>26</v>
      </c>
      <c r="B15" s="148" t="s">
        <v>27</v>
      </c>
      <c r="C15" s="149">
        <v>7000000000</v>
      </c>
      <c r="D15" s="149">
        <v>2069621074</v>
      </c>
      <c r="E15" s="150">
        <f t="shared" si="1"/>
        <v>29.566015342857142</v>
      </c>
      <c r="F15" s="151"/>
      <c r="G15" s="169"/>
      <c r="H15" s="153">
        <v>1691887514</v>
      </c>
      <c r="I15" s="154">
        <f t="shared" si="2"/>
        <v>81.748660914534156</v>
      </c>
      <c r="J15" s="155"/>
      <c r="K15" s="155">
        <v>8397696</v>
      </c>
      <c r="L15" s="155">
        <v>369335864</v>
      </c>
      <c r="M15" s="155"/>
      <c r="N15" s="155"/>
      <c r="O15" s="155"/>
      <c r="P15" s="155">
        <f t="shared" si="3"/>
        <v>377733560</v>
      </c>
      <c r="Q15" s="156">
        <f t="shared" si="4"/>
        <v>18.251339085465844</v>
      </c>
      <c r="S15" s="157">
        <f t="shared" si="0"/>
        <v>100</v>
      </c>
    </row>
    <row r="16" spans="1:21" s="171" customFormat="1" x14ac:dyDescent="0.2">
      <c r="A16" s="158" t="s">
        <v>28</v>
      </c>
      <c r="B16" s="159" t="s">
        <v>118</v>
      </c>
      <c r="C16" s="160">
        <v>82000000000</v>
      </c>
      <c r="D16" s="160">
        <v>35305398681</v>
      </c>
      <c r="E16" s="161">
        <f t="shared" si="1"/>
        <v>43.05536424512195</v>
      </c>
      <c r="F16" s="162"/>
      <c r="G16" s="170"/>
      <c r="H16" s="164">
        <v>31680854450</v>
      </c>
      <c r="I16" s="165">
        <f t="shared" si="2"/>
        <v>89.733739409801387</v>
      </c>
      <c r="J16" s="166"/>
      <c r="K16" s="166"/>
      <c r="L16" s="166">
        <v>740091434</v>
      </c>
      <c r="M16" s="166">
        <v>2715054879</v>
      </c>
      <c r="N16" s="166">
        <v>161749089</v>
      </c>
      <c r="O16" s="166">
        <v>7648829</v>
      </c>
      <c r="P16" s="155">
        <f t="shared" si="3"/>
        <v>3624544231</v>
      </c>
      <c r="Q16" s="156">
        <f t="shared" si="4"/>
        <v>10.266260590198602</v>
      </c>
      <c r="S16" s="157">
        <f t="shared" si="0"/>
        <v>99.999999999999986</v>
      </c>
    </row>
    <row r="17" spans="1:21" x14ac:dyDescent="0.2">
      <c r="A17" s="158" t="s">
        <v>29</v>
      </c>
      <c r="B17" s="159" t="s">
        <v>119</v>
      </c>
      <c r="C17" s="160">
        <v>120000000000</v>
      </c>
      <c r="D17" s="160">
        <v>97091346106</v>
      </c>
      <c r="E17" s="161">
        <f t="shared" si="1"/>
        <v>80.909455088333331</v>
      </c>
      <c r="F17" s="162"/>
      <c r="G17" s="170"/>
      <c r="H17" s="164">
        <v>66330062606</v>
      </c>
      <c r="I17" s="165">
        <f t="shared" si="2"/>
        <v>68.317172710309109</v>
      </c>
      <c r="J17" s="166"/>
      <c r="K17" s="166"/>
      <c r="L17" s="166">
        <v>30761283500</v>
      </c>
      <c r="M17" s="166"/>
      <c r="N17" s="166"/>
      <c r="O17" s="166"/>
      <c r="P17" s="155">
        <f t="shared" si="3"/>
        <v>30761283500</v>
      </c>
      <c r="Q17" s="156">
        <f t="shared" si="4"/>
        <v>31.682827289690891</v>
      </c>
      <c r="S17" s="157">
        <f t="shared" si="0"/>
        <v>100</v>
      </c>
    </row>
    <row r="18" spans="1:21" x14ac:dyDescent="0.2">
      <c r="A18" s="370"/>
      <c r="B18" s="371" t="s">
        <v>30</v>
      </c>
      <c r="C18" s="268">
        <v>460000000000</v>
      </c>
      <c r="D18" s="268">
        <f>SUM(D9:D17)</f>
        <v>231776863411.01001</v>
      </c>
      <c r="E18" s="372">
        <f t="shared" si="1"/>
        <v>50.386274654567401</v>
      </c>
      <c r="F18" s="268"/>
      <c r="G18" s="268"/>
      <c r="H18" s="268">
        <f>SUM(H9:H17)</f>
        <v>117975769020.64</v>
      </c>
      <c r="I18" s="372">
        <f>H18/D18*100</f>
        <v>50.900580534405414</v>
      </c>
      <c r="J18" s="267"/>
      <c r="K18" s="267">
        <f>SUM(K9:K17)</f>
        <v>682890660.89999998</v>
      </c>
      <c r="L18" s="267">
        <f>SUM(L9:L17)</f>
        <v>110233750932.47</v>
      </c>
      <c r="M18" s="267">
        <f>SUM(M16)</f>
        <v>2715054879</v>
      </c>
      <c r="N18" s="267">
        <f>SUM(N16:N17)</f>
        <v>161749089</v>
      </c>
      <c r="O18" s="267">
        <f>SUM(O16)</f>
        <v>7648829</v>
      </c>
      <c r="P18" s="266">
        <f>SUM(P9:P17)</f>
        <v>113801094390.37</v>
      </c>
      <c r="Q18" s="268">
        <f t="shared" si="4"/>
        <v>49.099419465594572</v>
      </c>
      <c r="S18" s="157">
        <f t="shared" si="0"/>
        <v>99.999999999999986</v>
      </c>
      <c r="U18" s="157"/>
    </row>
    <row r="19" spans="1:21" x14ac:dyDescent="0.2">
      <c r="A19" s="140" t="s">
        <v>31</v>
      </c>
      <c r="B19" s="141" t="s">
        <v>32</v>
      </c>
      <c r="C19" s="149"/>
      <c r="D19" s="173"/>
      <c r="E19" s="174"/>
      <c r="F19" s="148"/>
      <c r="G19" s="175"/>
      <c r="H19" s="153"/>
      <c r="I19" s="154"/>
      <c r="J19" s="155"/>
      <c r="K19" s="176"/>
      <c r="L19" s="176"/>
      <c r="M19" s="155"/>
      <c r="N19" s="155"/>
      <c r="O19" s="155"/>
      <c r="P19" s="155"/>
      <c r="Q19" s="144"/>
    </row>
    <row r="20" spans="1:21" x14ac:dyDescent="0.2">
      <c r="A20" s="140" t="s">
        <v>33</v>
      </c>
      <c r="B20" s="141" t="s">
        <v>34</v>
      </c>
      <c r="C20" s="177">
        <v>16540496000</v>
      </c>
      <c r="D20" s="178">
        <f>SUM(D21:D25)</f>
        <v>4515371100</v>
      </c>
      <c r="E20" s="179">
        <f>D20/C20*100</f>
        <v>27.298885716607291</v>
      </c>
      <c r="F20" s="180">
        <f>SUM(F21:F25)</f>
        <v>2608374800</v>
      </c>
      <c r="G20" s="257">
        <f>F20/D20*100</f>
        <v>57.766565410315884</v>
      </c>
      <c r="H20" s="177">
        <f>H22</f>
        <v>1390536000</v>
      </c>
      <c r="I20" s="142">
        <f>I22</f>
        <v>92.486276599340329</v>
      </c>
      <c r="J20" s="181">
        <f>J24</f>
        <v>283087000</v>
      </c>
      <c r="K20" s="179"/>
      <c r="L20" s="179">
        <f>SUM(L21:L24)</f>
        <v>233373300</v>
      </c>
      <c r="M20" s="179"/>
      <c r="N20" s="179"/>
      <c r="O20" s="180"/>
      <c r="P20" s="179">
        <f>SUM(P21:P24)</f>
        <v>516460300</v>
      </c>
      <c r="Q20" s="156">
        <f>P20/D20*100</f>
        <v>11.437826228723482</v>
      </c>
      <c r="S20" s="157">
        <f>H18+P18</f>
        <v>231776863411.01001</v>
      </c>
      <c r="U20" s="157"/>
    </row>
    <row r="21" spans="1:21" x14ac:dyDescent="0.2">
      <c r="A21" s="147" t="s">
        <v>35</v>
      </c>
      <c r="B21" s="389" t="s">
        <v>36</v>
      </c>
      <c r="C21" s="149">
        <v>1800000000</v>
      </c>
      <c r="D21" s="182">
        <v>1230690300</v>
      </c>
      <c r="E21" s="183">
        <f t="shared" ref="E21:E35" si="5">D21/C21*100</f>
        <v>68.371683333333337</v>
      </c>
      <c r="F21" s="151">
        <v>1123038000</v>
      </c>
      <c r="G21" s="184">
        <f>F21/D21*100</f>
        <v>91.252689649053053</v>
      </c>
      <c r="H21" s="153"/>
      <c r="I21" s="154">
        <v>0</v>
      </c>
      <c r="J21" s="155"/>
      <c r="K21" s="155"/>
      <c r="L21" s="155">
        <v>107652300</v>
      </c>
      <c r="M21" s="155"/>
      <c r="N21" s="155"/>
      <c r="O21" s="154"/>
      <c r="P21" s="155">
        <f>J21+K21+L21+M21+N21+O21</f>
        <v>107652300</v>
      </c>
      <c r="Q21" s="156">
        <f>P21/D21*100</f>
        <v>8.7473103509469432</v>
      </c>
      <c r="S21" s="157">
        <f>F21+L21</f>
        <v>1230690300</v>
      </c>
      <c r="T21" s="388">
        <f>Q21+G21</f>
        <v>100</v>
      </c>
    </row>
    <row r="22" spans="1:21" x14ac:dyDescent="0.2">
      <c r="A22" s="147" t="s">
        <v>37</v>
      </c>
      <c r="B22" s="148" t="s">
        <v>38</v>
      </c>
      <c r="C22" s="149">
        <v>2500000000</v>
      </c>
      <c r="D22" s="182">
        <v>1502293000</v>
      </c>
      <c r="E22" s="183">
        <f t="shared" si="5"/>
        <v>60.091720000000002</v>
      </c>
      <c r="F22" s="151">
        <v>111757000</v>
      </c>
      <c r="G22" s="184">
        <f>F22/D22*100</f>
        <v>7.4390947704608887</v>
      </c>
      <c r="H22" s="153">
        <v>1390536000</v>
      </c>
      <c r="I22" s="154">
        <v>92.486276599340329</v>
      </c>
      <c r="J22" s="155"/>
      <c r="K22" s="155"/>
      <c r="L22" s="155"/>
      <c r="M22" s="155"/>
      <c r="N22" s="155"/>
      <c r="O22" s="154"/>
      <c r="P22" s="155">
        <f t="shared" ref="P22:P33" si="6">J22+K22+L22+M22+N22+O22</f>
        <v>0</v>
      </c>
      <c r="Q22" s="156">
        <f t="shared" ref="Q22:Q33" si="7">P22/D22*100</f>
        <v>0</v>
      </c>
      <c r="S22" s="157"/>
      <c r="U22" s="185"/>
    </row>
    <row r="23" spans="1:21" x14ac:dyDescent="0.2">
      <c r="A23" s="147" t="s">
        <v>39</v>
      </c>
      <c r="B23" s="148" t="s">
        <v>40</v>
      </c>
      <c r="C23" s="149">
        <v>7000000000</v>
      </c>
      <c r="D23" s="173"/>
      <c r="E23" s="183">
        <f t="shared" si="5"/>
        <v>0</v>
      </c>
      <c r="F23" s="151"/>
      <c r="G23" s="184"/>
      <c r="H23" s="153"/>
      <c r="I23" s="154"/>
      <c r="J23" s="155"/>
      <c r="K23" s="155"/>
      <c r="L23" s="155"/>
      <c r="M23" s="155"/>
      <c r="N23" s="155"/>
      <c r="O23" s="154"/>
      <c r="P23" s="155">
        <f t="shared" si="6"/>
        <v>0</v>
      </c>
      <c r="Q23" s="156"/>
      <c r="S23" s="157"/>
    </row>
    <row r="24" spans="1:21" x14ac:dyDescent="0.2">
      <c r="A24" s="147" t="s">
        <v>41</v>
      </c>
      <c r="B24" s="389" t="s">
        <v>42</v>
      </c>
      <c r="C24" s="149">
        <v>5202496000</v>
      </c>
      <c r="D24" s="182">
        <v>1741042000</v>
      </c>
      <c r="E24" s="183">
        <f t="shared" si="5"/>
        <v>33.465513476608152</v>
      </c>
      <c r="F24" s="151">
        <v>1332234000</v>
      </c>
      <c r="G24" s="184">
        <f t="shared" ref="G24:G26" si="8">F24/D24*100</f>
        <v>76.51934875781285</v>
      </c>
      <c r="H24" s="153"/>
      <c r="I24" s="154">
        <v>0</v>
      </c>
      <c r="J24" s="173">
        <v>283087000</v>
      </c>
      <c r="K24" s="155"/>
      <c r="L24" s="155">
        <v>125721000</v>
      </c>
      <c r="M24" s="155"/>
      <c r="N24" s="155"/>
      <c r="O24" s="154"/>
      <c r="P24" s="155">
        <f t="shared" si="6"/>
        <v>408808000</v>
      </c>
      <c r="Q24" s="156">
        <f t="shared" si="7"/>
        <v>23.48065124218715</v>
      </c>
      <c r="S24" s="157">
        <f>M16+N16+O16</f>
        <v>2884452797</v>
      </c>
    </row>
    <row r="25" spans="1:21" x14ac:dyDescent="0.2">
      <c r="A25" s="147" t="s">
        <v>43</v>
      </c>
      <c r="B25" s="148" t="s">
        <v>159</v>
      </c>
      <c r="C25" s="149">
        <v>38000000</v>
      </c>
      <c r="D25" s="182">
        <v>41345800</v>
      </c>
      <c r="E25" s="183">
        <f t="shared" si="5"/>
        <v>108.80473684210526</v>
      </c>
      <c r="F25" s="151">
        <v>41345800</v>
      </c>
      <c r="G25" s="184">
        <f t="shared" si="8"/>
        <v>100</v>
      </c>
      <c r="H25" s="153"/>
      <c r="I25" s="154">
        <v>0</v>
      </c>
      <c r="J25" s="155"/>
      <c r="K25" s="155"/>
      <c r="L25" s="155"/>
      <c r="M25" s="155"/>
      <c r="N25" s="155"/>
      <c r="O25" s="154"/>
      <c r="P25" s="155">
        <f t="shared" si="6"/>
        <v>0</v>
      </c>
      <c r="Q25" s="156">
        <f t="shared" si="7"/>
        <v>0</v>
      </c>
      <c r="S25" s="157"/>
    </row>
    <row r="26" spans="1:21" ht="15" x14ac:dyDescent="0.25">
      <c r="A26" s="140" t="s">
        <v>45</v>
      </c>
      <c r="B26" s="186" t="s">
        <v>46</v>
      </c>
      <c r="C26" s="177">
        <v>2039800000</v>
      </c>
      <c r="D26" s="128">
        <f>SUM(D27:D28)</f>
        <v>625098680</v>
      </c>
      <c r="E26" s="179">
        <f t="shared" si="5"/>
        <v>30.645096578095892</v>
      </c>
      <c r="F26" s="180">
        <f>SUM(F27:F28)</f>
        <v>625098680</v>
      </c>
      <c r="G26" s="257">
        <f t="shared" si="8"/>
        <v>100</v>
      </c>
      <c r="H26" s="177"/>
      <c r="I26" s="154"/>
      <c r="J26" s="173"/>
      <c r="K26" s="179"/>
      <c r="L26" s="179"/>
      <c r="M26" s="179"/>
      <c r="N26" s="179"/>
      <c r="O26" s="180"/>
      <c r="P26" s="155">
        <f t="shared" si="6"/>
        <v>0</v>
      </c>
      <c r="Q26" s="156">
        <f t="shared" si="7"/>
        <v>0</v>
      </c>
      <c r="S26" s="157">
        <f>J24+L24</f>
        <v>408808000</v>
      </c>
      <c r="T26" s="388">
        <f>G24+Q24</f>
        <v>100</v>
      </c>
    </row>
    <row r="27" spans="1:21" x14ac:dyDescent="0.2">
      <c r="A27" s="147" t="s">
        <v>47</v>
      </c>
      <c r="B27" s="148" t="s">
        <v>48</v>
      </c>
      <c r="C27" s="149">
        <v>1754800000</v>
      </c>
      <c r="D27" s="187">
        <v>523487180</v>
      </c>
      <c r="E27" s="183">
        <f t="shared" si="5"/>
        <v>29.831728971962619</v>
      </c>
      <c r="F27" s="151">
        <v>523487180</v>
      </c>
      <c r="G27" s="184">
        <v>100</v>
      </c>
      <c r="H27" s="153"/>
      <c r="I27" s="154">
        <v>0</v>
      </c>
      <c r="J27" s="155"/>
      <c r="K27" s="155"/>
      <c r="L27" s="155"/>
      <c r="M27" s="155"/>
      <c r="N27" s="155"/>
      <c r="O27" s="154"/>
      <c r="P27" s="155">
        <f t="shared" si="6"/>
        <v>0</v>
      </c>
      <c r="Q27" s="156">
        <f t="shared" si="7"/>
        <v>0</v>
      </c>
      <c r="S27" s="151">
        <v>1332234000</v>
      </c>
    </row>
    <row r="28" spans="1:21" x14ac:dyDescent="0.2">
      <c r="A28" s="147" t="s">
        <v>49</v>
      </c>
      <c r="B28" s="148" t="s">
        <v>50</v>
      </c>
      <c r="C28" s="149">
        <v>285000000</v>
      </c>
      <c r="D28" s="182">
        <v>101611500</v>
      </c>
      <c r="E28" s="183">
        <f t="shared" si="5"/>
        <v>35.653157894736843</v>
      </c>
      <c r="F28" s="151">
        <v>101611500</v>
      </c>
      <c r="G28" s="184">
        <v>100</v>
      </c>
      <c r="H28" s="153"/>
      <c r="I28" s="154">
        <v>0</v>
      </c>
      <c r="J28" s="155"/>
      <c r="K28" s="155"/>
      <c r="L28" s="155"/>
      <c r="M28" s="155"/>
      <c r="N28" s="155"/>
      <c r="O28" s="154"/>
      <c r="P28" s="155">
        <f t="shared" si="6"/>
        <v>0</v>
      </c>
      <c r="Q28" s="156">
        <f t="shared" si="7"/>
        <v>0</v>
      </c>
      <c r="S28" s="157">
        <f>S26+S27</f>
        <v>1741042000</v>
      </c>
    </row>
    <row r="29" spans="1:21" x14ac:dyDescent="0.2">
      <c r="A29" s="140" t="s">
        <v>51</v>
      </c>
      <c r="B29" s="186" t="s">
        <v>52</v>
      </c>
      <c r="C29" s="177">
        <v>11050000000</v>
      </c>
      <c r="D29" s="181">
        <f>SUM(D30:D33)</f>
        <v>8082924230</v>
      </c>
      <c r="E29" s="179">
        <f t="shared" si="5"/>
        <v>73.14863556561086</v>
      </c>
      <c r="F29" s="180">
        <f>SUM(F30:F33)</f>
        <v>20000</v>
      </c>
      <c r="G29" s="257">
        <f>F29/D29*100</f>
        <v>2.4743520328657096E-4</v>
      </c>
      <c r="H29" s="177">
        <f>SUM(H30:H33)</f>
        <v>8082904230</v>
      </c>
      <c r="I29" s="142">
        <f>H29/D29*100</f>
        <v>99.999752564796722</v>
      </c>
      <c r="J29" s="181"/>
      <c r="K29" s="179"/>
      <c r="L29" s="179"/>
      <c r="M29" s="179"/>
      <c r="N29" s="179"/>
      <c r="O29" s="180"/>
      <c r="P29" s="155">
        <f t="shared" si="6"/>
        <v>0</v>
      </c>
      <c r="Q29" s="156">
        <f t="shared" si="7"/>
        <v>0</v>
      </c>
      <c r="S29" s="157"/>
    </row>
    <row r="30" spans="1:21" x14ac:dyDescent="0.2">
      <c r="A30" s="147" t="s">
        <v>53</v>
      </c>
      <c r="B30" s="148" t="s">
        <v>54</v>
      </c>
      <c r="C30" s="149">
        <v>8000000000</v>
      </c>
      <c r="D30" s="188">
        <v>5470924230</v>
      </c>
      <c r="E30" s="183">
        <f t="shared" si="5"/>
        <v>68.386552874999992</v>
      </c>
      <c r="F30" s="189"/>
      <c r="G30" s="184"/>
      <c r="H30" s="189">
        <v>5470924230</v>
      </c>
      <c r="I30" s="142">
        <f>H30/D30*100</f>
        <v>100</v>
      </c>
      <c r="J30" s="155"/>
      <c r="K30" s="155"/>
      <c r="L30" s="155"/>
      <c r="M30" s="155"/>
      <c r="N30" s="155"/>
      <c r="O30" s="155"/>
      <c r="P30" s="155">
        <f t="shared" si="6"/>
        <v>0</v>
      </c>
      <c r="Q30" s="156">
        <f t="shared" si="7"/>
        <v>0</v>
      </c>
      <c r="S30" s="157"/>
    </row>
    <row r="31" spans="1:21" x14ac:dyDescent="0.2">
      <c r="A31" s="147" t="s">
        <v>55</v>
      </c>
      <c r="B31" s="148" t="s">
        <v>56</v>
      </c>
      <c r="C31" s="149">
        <v>50000000</v>
      </c>
      <c r="D31" s="188">
        <v>34000000</v>
      </c>
      <c r="E31" s="183">
        <f t="shared" si="5"/>
        <v>68</v>
      </c>
      <c r="F31" s="151"/>
      <c r="G31" s="184"/>
      <c r="H31" s="153">
        <v>34000000</v>
      </c>
      <c r="I31" s="154">
        <v>100</v>
      </c>
      <c r="J31" s="155"/>
      <c r="K31" s="155"/>
      <c r="L31" s="155"/>
      <c r="M31" s="155"/>
      <c r="N31" s="155"/>
      <c r="O31" s="155"/>
      <c r="P31" s="155">
        <f t="shared" si="6"/>
        <v>0</v>
      </c>
      <c r="Q31" s="156">
        <f t="shared" si="7"/>
        <v>0</v>
      </c>
      <c r="S31" s="157"/>
    </row>
    <row r="32" spans="1:21" ht="22.5" x14ac:dyDescent="0.2">
      <c r="A32" s="147" t="s">
        <v>130</v>
      </c>
      <c r="B32" s="190" t="s">
        <v>129</v>
      </c>
      <c r="C32" s="151">
        <v>0</v>
      </c>
      <c r="D32" s="182">
        <v>20000</v>
      </c>
      <c r="E32" s="183"/>
      <c r="F32" s="151">
        <v>20000</v>
      </c>
      <c r="G32" s="184">
        <v>100</v>
      </c>
      <c r="H32" s="153"/>
      <c r="I32" s="154"/>
      <c r="J32" s="155"/>
      <c r="K32" s="155"/>
      <c r="L32" s="155"/>
      <c r="M32" s="155"/>
      <c r="N32" s="155"/>
      <c r="O32" s="155"/>
      <c r="P32" s="155">
        <f t="shared" si="6"/>
        <v>0</v>
      </c>
      <c r="Q32" s="156">
        <f t="shared" si="7"/>
        <v>0</v>
      </c>
      <c r="S32" s="157"/>
    </row>
    <row r="33" spans="1:20" x14ac:dyDescent="0.2">
      <c r="A33" s="147" t="s">
        <v>57</v>
      </c>
      <c r="B33" s="148" t="s">
        <v>58</v>
      </c>
      <c r="C33" s="149">
        <v>3000000000</v>
      </c>
      <c r="D33" s="182">
        <v>2577980000</v>
      </c>
      <c r="E33" s="183">
        <f t="shared" si="5"/>
        <v>85.932666666666663</v>
      </c>
      <c r="F33" s="151"/>
      <c r="G33" s="184"/>
      <c r="H33" s="153">
        <v>2577980000</v>
      </c>
      <c r="I33" s="154">
        <v>100</v>
      </c>
      <c r="J33" s="155"/>
      <c r="K33" s="155"/>
      <c r="L33" s="155"/>
      <c r="M33" s="155"/>
      <c r="N33" s="155"/>
      <c r="O33" s="155"/>
      <c r="P33" s="155">
        <f t="shared" si="6"/>
        <v>0</v>
      </c>
      <c r="Q33" s="156">
        <f t="shared" si="7"/>
        <v>0</v>
      </c>
      <c r="S33" s="157"/>
    </row>
    <row r="34" spans="1:20" x14ac:dyDescent="0.2">
      <c r="A34" s="172"/>
      <c r="B34" s="148" t="s">
        <v>59</v>
      </c>
      <c r="C34" s="149"/>
      <c r="D34" s="149"/>
      <c r="E34" s="183"/>
      <c r="F34" s="151"/>
      <c r="G34" s="184"/>
      <c r="H34" s="153"/>
      <c r="I34" s="154"/>
      <c r="J34" s="155"/>
      <c r="K34" s="155"/>
      <c r="L34" s="155"/>
      <c r="M34" s="155"/>
      <c r="N34" s="155"/>
      <c r="O34" s="155"/>
      <c r="P34" s="155"/>
      <c r="Q34" s="156"/>
      <c r="S34" s="157"/>
    </row>
    <row r="35" spans="1:20" x14ac:dyDescent="0.2">
      <c r="A35" s="370"/>
      <c r="B35" s="371" t="s">
        <v>60</v>
      </c>
      <c r="C35" s="373">
        <v>29630296000</v>
      </c>
      <c r="D35" s="373">
        <f>D20+D26+D29</f>
        <v>13223394010</v>
      </c>
      <c r="E35" s="268">
        <f t="shared" si="5"/>
        <v>44.627951101129739</v>
      </c>
      <c r="F35" s="373">
        <f>F20+F26+F29</f>
        <v>3233493480</v>
      </c>
      <c r="G35" s="373">
        <f>F35/D35*100</f>
        <v>24.45282563277414</v>
      </c>
      <c r="H35" s="373">
        <f>H20+H29</f>
        <v>9473440230</v>
      </c>
      <c r="I35" s="266">
        <f>H35/D35*100</f>
        <v>71.64151822773978</v>
      </c>
      <c r="J35" s="374">
        <f>SUM(J24)</f>
        <v>283087000</v>
      </c>
      <c r="K35" s="268"/>
      <c r="L35" s="374">
        <f>SUM(L21:L24)</f>
        <v>233373300</v>
      </c>
      <c r="M35" s="268"/>
      <c r="N35" s="268"/>
      <c r="O35" s="374"/>
      <c r="P35" s="374">
        <f>SUM(P21:P34)</f>
        <v>516460300</v>
      </c>
      <c r="Q35" s="375">
        <f>P35/D35*100</f>
        <v>3.9056561394860836</v>
      </c>
      <c r="S35" s="157">
        <f>G35+I35+Q35</f>
        <v>100</v>
      </c>
    </row>
    <row r="36" spans="1:20" x14ac:dyDescent="0.2">
      <c r="A36" s="140" t="s">
        <v>61</v>
      </c>
      <c r="B36" s="141" t="s">
        <v>62</v>
      </c>
      <c r="C36" s="191"/>
      <c r="D36" s="191"/>
      <c r="E36" s="191"/>
      <c r="F36" s="148"/>
      <c r="G36" s="175"/>
      <c r="H36" s="153"/>
      <c r="I36" s="154"/>
      <c r="J36" s="155"/>
      <c r="K36" s="155"/>
      <c r="L36" s="155"/>
      <c r="M36" s="155"/>
      <c r="N36" s="155"/>
      <c r="O36" s="155"/>
      <c r="P36" s="155"/>
      <c r="Q36" s="144"/>
    </row>
    <row r="37" spans="1:20" x14ac:dyDescent="0.2">
      <c r="A37" s="147"/>
      <c r="B37" s="141" t="s">
        <v>63</v>
      </c>
      <c r="C37" s="149"/>
      <c r="D37" s="149"/>
      <c r="E37" s="149"/>
      <c r="F37" s="148"/>
      <c r="G37" s="175"/>
      <c r="H37" s="153"/>
      <c r="I37" s="154"/>
      <c r="J37" s="155"/>
      <c r="K37" s="155"/>
      <c r="L37" s="155"/>
      <c r="M37" s="155"/>
      <c r="N37" s="155"/>
      <c r="O37" s="155"/>
      <c r="P37" s="155"/>
      <c r="Q37" s="144"/>
    </row>
    <row r="38" spans="1:20" ht="32.25" x14ac:dyDescent="0.2">
      <c r="A38" s="147" t="s">
        <v>64</v>
      </c>
      <c r="B38" s="192" t="s">
        <v>65</v>
      </c>
      <c r="C38" s="149"/>
      <c r="D38" s="149"/>
      <c r="E38" s="149"/>
      <c r="F38" s="148"/>
      <c r="G38" s="175"/>
      <c r="H38" s="153"/>
      <c r="I38" s="154"/>
      <c r="J38" s="155"/>
      <c r="K38" s="155"/>
      <c r="L38" s="155"/>
      <c r="M38" s="155"/>
      <c r="N38" s="155"/>
      <c r="O38" s="154"/>
      <c r="P38" s="155"/>
      <c r="Q38" s="144"/>
    </row>
    <row r="39" spans="1:20" ht="31.5" x14ac:dyDescent="0.2">
      <c r="A39" s="147" t="s">
        <v>66</v>
      </c>
      <c r="B39" s="193" t="s">
        <v>67</v>
      </c>
      <c r="C39" s="194">
        <v>53949880588</v>
      </c>
      <c r="D39" s="195">
        <v>44960371000.949997</v>
      </c>
      <c r="E39" s="194">
        <f>D39/C39*100</f>
        <v>83.337294746395557</v>
      </c>
      <c r="F39" s="196"/>
      <c r="G39" s="197"/>
      <c r="H39" s="198"/>
      <c r="I39" s="199"/>
      <c r="J39" s="200"/>
      <c r="K39" s="200"/>
      <c r="L39" s="201">
        <v>44960371000.949997</v>
      </c>
      <c r="M39" s="189"/>
      <c r="N39" s="200"/>
      <c r="O39" s="199"/>
      <c r="P39" s="200">
        <f>L39</f>
        <v>44960371000.949997</v>
      </c>
      <c r="Q39" s="202">
        <v>100</v>
      </c>
    </row>
    <row r="40" spans="1:20" ht="31.5" x14ac:dyDescent="0.2">
      <c r="A40" s="147" t="s">
        <v>68</v>
      </c>
      <c r="B40" s="193" t="s">
        <v>69</v>
      </c>
      <c r="C40" s="194">
        <v>289023806</v>
      </c>
      <c r="D40" s="195">
        <v>287968105.25</v>
      </c>
      <c r="E40" s="194">
        <f t="shared" ref="E40:E41" si="9">D40/C40*100</f>
        <v>99.634735711009213</v>
      </c>
      <c r="F40" s="196"/>
      <c r="G40" s="203"/>
      <c r="H40" s="204"/>
      <c r="I40" s="205"/>
      <c r="J40" s="206"/>
      <c r="K40" s="200"/>
      <c r="L40" s="201">
        <v>287968105.25</v>
      </c>
      <c r="M40" s="199"/>
      <c r="N40" s="200"/>
      <c r="O40" s="199"/>
      <c r="P40" s="200">
        <f>L40</f>
        <v>287968105.25</v>
      </c>
      <c r="Q40" s="202">
        <v>100</v>
      </c>
    </row>
    <row r="41" spans="1:20" ht="31.5" x14ac:dyDescent="0.2">
      <c r="A41" s="147" t="s">
        <v>70</v>
      </c>
      <c r="B41" s="193" t="s">
        <v>71</v>
      </c>
      <c r="C41" s="194">
        <v>5504074138</v>
      </c>
      <c r="D41" s="194"/>
      <c r="E41" s="194">
        <f t="shared" si="9"/>
        <v>0</v>
      </c>
      <c r="F41" s="196"/>
      <c r="G41" s="203"/>
      <c r="H41" s="204"/>
      <c r="I41" s="205"/>
      <c r="J41" s="206"/>
      <c r="K41" s="207"/>
      <c r="L41" s="207"/>
      <c r="M41" s="207"/>
      <c r="N41" s="207"/>
      <c r="O41" s="208"/>
      <c r="P41" s="200"/>
      <c r="Q41" s="209"/>
    </row>
    <row r="42" spans="1:20" ht="12" thickBot="1" x14ac:dyDescent="0.25">
      <c r="A42" s="376"/>
      <c r="B42" s="377" t="s">
        <v>72</v>
      </c>
      <c r="C42" s="378">
        <v>59742978532</v>
      </c>
      <c r="D42" s="378">
        <v>45248339106.199997</v>
      </c>
      <c r="E42" s="378">
        <f>D42/C42*100</f>
        <v>75.738338157953962</v>
      </c>
      <c r="F42" s="378"/>
      <c r="G42" s="378"/>
      <c r="H42" s="378"/>
      <c r="I42" s="378"/>
      <c r="J42" s="379"/>
      <c r="K42" s="380"/>
      <c r="L42" s="380">
        <v>45248339106.199997</v>
      </c>
      <c r="M42" s="380"/>
      <c r="N42" s="380"/>
      <c r="O42" s="381"/>
      <c r="P42" s="381">
        <f>SUM(P39:P41)</f>
        <v>45248339106.199997</v>
      </c>
      <c r="Q42" s="382">
        <v>100</v>
      </c>
    </row>
    <row r="43" spans="1:20" x14ac:dyDescent="0.2">
      <c r="A43" s="172"/>
      <c r="B43" s="137"/>
      <c r="C43" s="177"/>
      <c r="D43" s="177"/>
      <c r="E43" s="177"/>
      <c r="F43" s="177"/>
      <c r="G43" s="177"/>
      <c r="H43" s="177"/>
      <c r="I43" s="177"/>
      <c r="J43" s="181"/>
      <c r="K43" s="210"/>
      <c r="L43" s="179"/>
      <c r="M43" s="179"/>
      <c r="N43" s="179"/>
      <c r="O43" s="180"/>
      <c r="P43" s="179"/>
      <c r="Q43" s="144"/>
    </row>
    <row r="44" spans="1:20" x14ac:dyDescent="0.2">
      <c r="A44" s="140" t="s">
        <v>73</v>
      </c>
      <c r="B44" s="141" t="s">
        <v>74</v>
      </c>
      <c r="C44" s="180"/>
      <c r="D44" s="180"/>
      <c r="E44" s="180"/>
      <c r="F44" s="180"/>
      <c r="G44" s="180"/>
      <c r="H44" s="180"/>
      <c r="I44" s="211"/>
      <c r="J44" s="212"/>
      <c r="K44" s="212"/>
      <c r="L44" s="212"/>
      <c r="M44" s="212"/>
      <c r="N44" s="212"/>
      <c r="O44" s="212"/>
      <c r="P44" s="212"/>
      <c r="Q44" s="144"/>
    </row>
    <row r="45" spans="1:20" x14ac:dyDescent="0.2">
      <c r="A45" s="147"/>
      <c r="B45" s="141" t="s">
        <v>75</v>
      </c>
      <c r="C45" s="149"/>
      <c r="D45" s="149"/>
      <c r="E45" s="149"/>
      <c r="F45" s="151"/>
      <c r="G45" s="184"/>
      <c r="H45" s="153"/>
      <c r="I45" s="211"/>
      <c r="J45" s="212"/>
      <c r="K45" s="212"/>
      <c r="L45" s="211"/>
      <c r="M45" s="212"/>
      <c r="N45" s="212"/>
      <c r="O45" s="212"/>
      <c r="P45" s="212"/>
      <c r="Q45" s="144"/>
    </row>
    <row r="46" spans="1:20" x14ac:dyDescent="0.2">
      <c r="A46" s="213" t="s">
        <v>76</v>
      </c>
      <c r="B46" s="214" t="s">
        <v>77</v>
      </c>
      <c r="C46" s="149"/>
      <c r="D46" s="215">
        <v>267422100</v>
      </c>
      <c r="E46" s="151"/>
      <c r="F46" s="177"/>
      <c r="G46" s="216"/>
      <c r="H46" s="217"/>
      <c r="I46" s="211"/>
      <c r="J46" s="212"/>
      <c r="K46" s="212"/>
      <c r="L46" s="218">
        <v>267422100</v>
      </c>
      <c r="M46" s="212"/>
      <c r="N46" s="212"/>
      <c r="O46" s="212"/>
      <c r="P46" s="212">
        <f>L46</f>
        <v>267422100</v>
      </c>
      <c r="Q46" s="156">
        <v>100</v>
      </c>
      <c r="S46" s="157"/>
      <c r="T46" s="157"/>
    </row>
    <row r="47" spans="1:20" ht="12.75" x14ac:dyDescent="0.2">
      <c r="A47" s="140" t="s">
        <v>78</v>
      </c>
      <c r="B47" s="186" t="s">
        <v>79</v>
      </c>
      <c r="C47" s="219">
        <v>1519973336</v>
      </c>
      <c r="D47" s="215">
        <v>2070772895.5999999</v>
      </c>
      <c r="E47" s="220">
        <f>D47/C47*100</f>
        <v>136.23744881272049</v>
      </c>
      <c r="F47" s="177"/>
      <c r="G47" s="219"/>
      <c r="H47" s="217"/>
      <c r="I47" s="211"/>
      <c r="J47" s="212"/>
      <c r="K47" s="212"/>
      <c r="L47" s="221">
        <v>2070772895.5999999</v>
      </c>
      <c r="M47" s="212"/>
      <c r="N47" s="212"/>
      <c r="O47" s="212"/>
      <c r="P47" s="262">
        <v>2070772895.5999999</v>
      </c>
      <c r="Q47" s="156">
        <v>136.23744881272049</v>
      </c>
      <c r="S47" s="157"/>
      <c r="T47" s="157"/>
    </row>
    <row r="48" spans="1:20" ht="12.75" x14ac:dyDescent="0.2">
      <c r="A48" s="147" t="s">
        <v>80</v>
      </c>
      <c r="B48" s="186" t="s">
        <v>81</v>
      </c>
      <c r="C48" s="177">
        <v>1675000000</v>
      </c>
      <c r="D48" s="215">
        <v>2493750000</v>
      </c>
      <c r="E48" s="220">
        <f>D48/C48*100</f>
        <v>148.88059701492537</v>
      </c>
      <c r="F48" s="177"/>
      <c r="G48" s="222"/>
      <c r="H48" s="217"/>
      <c r="I48" s="142"/>
      <c r="J48" s="143"/>
      <c r="K48" s="143"/>
      <c r="L48" s="221">
        <v>2493750000</v>
      </c>
      <c r="M48" s="143"/>
      <c r="N48" s="143"/>
      <c r="O48" s="143"/>
      <c r="P48" s="262">
        <v>2493750000</v>
      </c>
      <c r="Q48" s="156">
        <v>148.88059701492537</v>
      </c>
      <c r="S48" s="157"/>
      <c r="T48" s="157"/>
    </row>
    <row r="49" spans="1:20" x14ac:dyDescent="0.2">
      <c r="A49" s="140" t="s">
        <v>82</v>
      </c>
      <c r="B49" s="186" t="s">
        <v>83</v>
      </c>
      <c r="C49" s="177">
        <v>0</v>
      </c>
      <c r="D49" s="177">
        <f>SUM(D51:D56)</f>
        <v>3715853889.9499998</v>
      </c>
      <c r="E49" s="177"/>
      <c r="F49" s="177"/>
      <c r="G49" s="177"/>
      <c r="H49" s="217">
        <f>SUM(H50:H56)</f>
        <v>3360604155.75</v>
      </c>
      <c r="I49" s="142">
        <f>H49/D49*100</f>
        <v>90.439620482365626</v>
      </c>
      <c r="J49" s="143"/>
      <c r="K49" s="143">
        <f>K51</f>
        <v>10415076</v>
      </c>
      <c r="L49" s="142">
        <f>SUM(L50:L56)</f>
        <v>201674300.19999999</v>
      </c>
      <c r="M49" s="143">
        <f>M56</f>
        <v>160164393</v>
      </c>
      <c r="N49" s="143">
        <f>N56</f>
        <v>10594138</v>
      </c>
      <c r="O49" s="143"/>
      <c r="P49" s="143">
        <f>SUM(P51:P56)</f>
        <v>355249734.19999999</v>
      </c>
      <c r="Q49" s="156">
        <f>P49/D49*100</f>
        <v>9.5603795176343773</v>
      </c>
      <c r="S49" s="157"/>
      <c r="T49" s="157"/>
    </row>
    <row r="50" spans="1:20" x14ac:dyDescent="0.2">
      <c r="A50" s="147" t="s">
        <v>84</v>
      </c>
      <c r="B50" s="223" t="s">
        <v>85</v>
      </c>
      <c r="C50" s="177">
        <v>0</v>
      </c>
      <c r="D50" s="149">
        <v>107304298</v>
      </c>
      <c r="E50" s="177"/>
      <c r="F50" s="151"/>
      <c r="G50" s="224"/>
      <c r="H50" s="153">
        <v>79706125</v>
      </c>
      <c r="I50" s="154">
        <f>H50/D50*100</f>
        <v>74.280458924394622</v>
      </c>
      <c r="J50" s="155"/>
      <c r="K50" s="155"/>
      <c r="L50" s="154">
        <v>27598173</v>
      </c>
      <c r="M50" s="155"/>
      <c r="N50" s="155"/>
      <c r="O50" s="155"/>
      <c r="P50" s="155">
        <f>L50</f>
        <v>27598173</v>
      </c>
      <c r="Q50" s="156">
        <f>P50/D50*100</f>
        <v>25.719541075605378</v>
      </c>
      <c r="S50" s="157"/>
      <c r="T50" s="157"/>
    </row>
    <row r="51" spans="1:20" x14ac:dyDescent="0.2">
      <c r="A51" s="147" t="s">
        <v>86</v>
      </c>
      <c r="B51" s="223" t="s">
        <v>87</v>
      </c>
      <c r="C51" s="219">
        <v>0</v>
      </c>
      <c r="D51" s="194">
        <v>163450774.94999999</v>
      </c>
      <c r="E51" s="219"/>
      <c r="F51" s="151"/>
      <c r="G51" s="224"/>
      <c r="H51" s="198">
        <v>56827932.749999985</v>
      </c>
      <c r="I51" s="154">
        <f t="shared" ref="I51:I52" si="10">H51/D51*100</f>
        <v>34.767612920393795</v>
      </c>
      <c r="J51" s="200"/>
      <c r="K51" s="200">
        <v>10415076</v>
      </c>
      <c r="L51" s="199">
        <v>96207766.200000003</v>
      </c>
      <c r="M51" s="200"/>
      <c r="N51" s="200"/>
      <c r="O51" s="200"/>
      <c r="P51" s="200">
        <f>K51+L51</f>
        <v>106622842.2</v>
      </c>
      <c r="Q51" s="156">
        <f>P51/D51*100</f>
        <v>65.232387079606198</v>
      </c>
      <c r="S51" s="157"/>
      <c r="T51" s="157"/>
    </row>
    <row r="52" spans="1:20" x14ac:dyDescent="0.2">
      <c r="A52" s="147" t="s">
        <v>88</v>
      </c>
      <c r="B52" s="223" t="s">
        <v>89</v>
      </c>
      <c r="C52" s="177">
        <v>0</v>
      </c>
      <c r="D52" s="149">
        <v>30105165</v>
      </c>
      <c r="E52" s="177"/>
      <c r="F52" s="151"/>
      <c r="G52" s="224"/>
      <c r="H52" s="153">
        <v>30105165</v>
      </c>
      <c r="I52" s="154">
        <f t="shared" si="10"/>
        <v>100</v>
      </c>
      <c r="J52" s="155"/>
      <c r="K52" s="155"/>
      <c r="L52" s="155"/>
      <c r="M52" s="155"/>
      <c r="N52" s="155"/>
      <c r="O52" s="155"/>
      <c r="P52" s="155"/>
      <c r="Q52" s="156"/>
      <c r="S52" s="157"/>
      <c r="T52" s="157"/>
    </row>
    <row r="53" spans="1:20" x14ac:dyDescent="0.2">
      <c r="A53" s="147" t="s">
        <v>90</v>
      </c>
      <c r="B53" s="223" t="s">
        <v>91</v>
      </c>
      <c r="C53" s="177"/>
      <c r="D53" s="177"/>
      <c r="E53" s="177"/>
      <c r="F53" s="151"/>
      <c r="G53" s="224"/>
      <c r="H53" s="153"/>
      <c r="I53" s="154"/>
      <c r="J53" s="155"/>
      <c r="K53" s="155"/>
      <c r="L53" s="155"/>
      <c r="M53" s="155"/>
      <c r="N53" s="155"/>
      <c r="O53" s="155"/>
      <c r="P53" s="155"/>
      <c r="Q53" s="156"/>
      <c r="S53" s="157"/>
      <c r="T53" s="157"/>
    </row>
    <row r="54" spans="1:20" x14ac:dyDescent="0.2">
      <c r="A54" s="147" t="s">
        <v>92</v>
      </c>
      <c r="B54" s="225" t="s">
        <v>93</v>
      </c>
      <c r="C54" s="194">
        <v>0</v>
      </c>
      <c r="D54" s="194">
        <v>7435438</v>
      </c>
      <c r="E54" s="194"/>
      <c r="F54" s="151"/>
      <c r="G54" s="226"/>
      <c r="H54" s="198"/>
      <c r="I54" s="154"/>
      <c r="J54" s="200"/>
      <c r="K54" s="200"/>
      <c r="L54" s="200"/>
      <c r="M54" s="200"/>
      <c r="N54" s="200"/>
      <c r="O54" s="200"/>
      <c r="P54" s="200"/>
      <c r="Q54" s="156"/>
      <c r="S54" s="157"/>
      <c r="T54" s="157"/>
    </row>
    <row r="55" spans="1:20" x14ac:dyDescent="0.2">
      <c r="A55" s="147" t="s">
        <v>94</v>
      </c>
      <c r="B55" s="223" t="s">
        <v>95</v>
      </c>
      <c r="C55" s="194">
        <v>0</v>
      </c>
      <c r="D55" s="194">
        <v>37849939</v>
      </c>
      <c r="E55" s="194"/>
      <c r="F55" s="151"/>
      <c r="G55" s="194"/>
      <c r="H55" s="198"/>
      <c r="I55" s="154"/>
      <c r="J55" s="200"/>
      <c r="K55" s="200"/>
      <c r="L55" s="200"/>
      <c r="M55" s="200"/>
      <c r="N55" s="200"/>
      <c r="O55" s="200"/>
      <c r="P55" s="200"/>
      <c r="Q55" s="156"/>
      <c r="S55" s="157"/>
      <c r="T55" s="157"/>
    </row>
    <row r="56" spans="1:20" ht="21.75" x14ac:dyDescent="0.2">
      <c r="A56" s="147" t="s">
        <v>96</v>
      </c>
      <c r="B56" s="227" t="s">
        <v>97</v>
      </c>
      <c r="C56" s="194">
        <v>0</v>
      </c>
      <c r="D56" s="228">
        <v>3477012573</v>
      </c>
      <c r="E56" s="196"/>
      <c r="F56" s="151"/>
      <c r="G56" s="196"/>
      <c r="H56" s="198">
        <v>3193964933</v>
      </c>
      <c r="I56" s="199">
        <f>H56/D56*100</f>
        <v>91.859458829745222</v>
      </c>
      <c r="J56" s="200"/>
      <c r="K56" s="200"/>
      <c r="L56" s="200">
        <v>77868361</v>
      </c>
      <c r="M56" s="200">
        <v>160164393</v>
      </c>
      <c r="N56" s="200">
        <v>10594138</v>
      </c>
      <c r="O56" s="200"/>
      <c r="P56" s="200">
        <f>L56+M56+N56</f>
        <v>248626892</v>
      </c>
      <c r="Q56" s="229">
        <v>7.14</v>
      </c>
      <c r="S56" s="157"/>
      <c r="T56" s="157"/>
    </row>
    <row r="57" spans="1:20" ht="21.75" x14ac:dyDescent="0.2">
      <c r="A57" s="147" t="s">
        <v>98</v>
      </c>
      <c r="B57" s="227" t="s">
        <v>99</v>
      </c>
      <c r="C57" s="194"/>
      <c r="D57" s="228"/>
      <c r="E57" s="196"/>
      <c r="F57" s="196"/>
      <c r="G57" s="194"/>
      <c r="H57" s="198"/>
      <c r="I57" s="199"/>
      <c r="J57" s="200"/>
      <c r="K57" s="200"/>
      <c r="L57" s="200"/>
      <c r="M57" s="200"/>
      <c r="N57" s="200"/>
      <c r="O57" s="200"/>
      <c r="P57" s="200"/>
      <c r="Q57" s="229"/>
      <c r="S57" s="157"/>
      <c r="T57" s="157"/>
    </row>
    <row r="58" spans="1:20" x14ac:dyDescent="0.2">
      <c r="A58" s="140" t="s">
        <v>100</v>
      </c>
      <c r="B58" s="230" t="s">
        <v>101</v>
      </c>
      <c r="C58" s="219">
        <v>0</v>
      </c>
      <c r="D58" s="231">
        <f>SUM(D59:D60)</f>
        <v>569028921</v>
      </c>
      <c r="E58" s="220"/>
      <c r="F58" s="220">
        <f>SUM(E59:F60)</f>
        <v>395061081</v>
      </c>
      <c r="G58" s="219">
        <f>F58/D58*100</f>
        <v>69.427241115570652</v>
      </c>
      <c r="H58" s="232"/>
      <c r="I58" s="211"/>
      <c r="J58" s="212"/>
      <c r="K58" s="212"/>
      <c r="L58" s="212">
        <f>L59</f>
        <v>173967840</v>
      </c>
      <c r="M58" s="212"/>
      <c r="N58" s="212"/>
      <c r="O58" s="212"/>
      <c r="P58" s="212">
        <f>P59</f>
        <v>173967840</v>
      </c>
      <c r="Q58" s="259">
        <f>Q59</f>
        <v>30.625701572642349</v>
      </c>
      <c r="S58" s="157"/>
      <c r="T58" s="157"/>
    </row>
    <row r="59" spans="1:20" ht="21" x14ac:dyDescent="0.2">
      <c r="A59" s="233" t="s">
        <v>102</v>
      </c>
      <c r="B59" s="225" t="s">
        <v>103</v>
      </c>
      <c r="C59" s="194">
        <v>0</v>
      </c>
      <c r="D59" s="182">
        <v>568045240</v>
      </c>
      <c r="E59" s="196"/>
      <c r="F59" s="182">
        <v>394077400</v>
      </c>
      <c r="G59" s="234">
        <f>F59/D59*100</f>
        <v>69.374298427357644</v>
      </c>
      <c r="H59" s="198"/>
      <c r="I59" s="199"/>
      <c r="J59" s="200"/>
      <c r="K59" s="200"/>
      <c r="L59" s="200">
        <v>173967840</v>
      </c>
      <c r="M59" s="200"/>
      <c r="N59" s="200"/>
      <c r="O59" s="200"/>
      <c r="P59" s="200">
        <f>L59</f>
        <v>173967840</v>
      </c>
      <c r="Q59" s="229">
        <f>P59/D59*100</f>
        <v>30.625701572642349</v>
      </c>
      <c r="S59" s="157"/>
      <c r="T59" s="157"/>
    </row>
    <row r="60" spans="1:20" x14ac:dyDescent="0.2">
      <c r="A60" s="233" t="s">
        <v>104</v>
      </c>
      <c r="B60" s="225" t="s">
        <v>105</v>
      </c>
      <c r="C60" s="194"/>
      <c r="D60" s="182">
        <v>983681</v>
      </c>
      <c r="E60" s="196"/>
      <c r="F60" s="182">
        <v>983681</v>
      </c>
      <c r="G60" s="234">
        <v>100</v>
      </c>
      <c r="H60" s="198"/>
      <c r="I60" s="199"/>
      <c r="J60" s="200"/>
      <c r="K60" s="200"/>
      <c r="L60" s="200"/>
      <c r="M60" s="200"/>
      <c r="N60" s="200"/>
      <c r="O60" s="200"/>
      <c r="P60" s="200"/>
      <c r="Q60" s="229"/>
      <c r="S60" s="157"/>
      <c r="T60" s="157"/>
    </row>
    <row r="61" spans="1:20" ht="21" x14ac:dyDescent="0.2">
      <c r="A61" s="147" t="s">
        <v>106</v>
      </c>
      <c r="B61" s="225" t="s">
        <v>107</v>
      </c>
      <c r="C61" s="194"/>
      <c r="D61" s="228"/>
      <c r="E61" s="196"/>
      <c r="F61" s="220"/>
      <c r="G61" s="194"/>
      <c r="H61" s="198"/>
      <c r="I61" s="199"/>
      <c r="J61" s="200"/>
      <c r="K61" s="200"/>
      <c r="L61" s="200"/>
      <c r="M61" s="200"/>
      <c r="N61" s="200"/>
      <c r="O61" s="200"/>
      <c r="P61" s="200"/>
      <c r="Q61" s="235"/>
      <c r="S61" s="157"/>
      <c r="T61" s="157"/>
    </row>
    <row r="62" spans="1:20" x14ac:dyDescent="0.2">
      <c r="A62" s="236" t="s">
        <v>108</v>
      </c>
      <c r="B62" s="237" t="s">
        <v>109</v>
      </c>
      <c r="C62" s="177">
        <v>90000000000</v>
      </c>
      <c r="D62" s="181">
        <f>D63</f>
        <v>62893255203.93</v>
      </c>
      <c r="E62" s="180"/>
      <c r="F62" s="180"/>
      <c r="G62" s="177"/>
      <c r="H62" s="232">
        <f>H63</f>
        <v>62893255203.93</v>
      </c>
      <c r="I62" s="142">
        <f>I63</f>
        <v>100</v>
      </c>
      <c r="J62" s="143"/>
      <c r="K62" s="143"/>
      <c r="L62" s="143"/>
      <c r="M62" s="143"/>
      <c r="N62" s="143"/>
      <c r="O62" s="143"/>
      <c r="P62" s="143"/>
      <c r="Q62" s="144"/>
      <c r="S62" s="157"/>
      <c r="T62" s="157"/>
    </row>
    <row r="63" spans="1:20" x14ac:dyDescent="0.2">
      <c r="A63" s="233" t="s">
        <v>110</v>
      </c>
      <c r="B63" s="238" t="s">
        <v>111</v>
      </c>
      <c r="C63" s="194">
        <v>90000000000</v>
      </c>
      <c r="D63" s="258">
        <v>62893255203.93</v>
      </c>
      <c r="E63" s="196"/>
      <c r="F63" s="201"/>
      <c r="G63" s="197">
        <v>0</v>
      </c>
      <c r="H63" s="182">
        <v>62893255203.93</v>
      </c>
      <c r="I63" s="199">
        <v>100</v>
      </c>
      <c r="J63" s="200"/>
      <c r="K63" s="200"/>
      <c r="L63" s="200"/>
      <c r="M63" s="200"/>
      <c r="N63" s="200"/>
      <c r="O63" s="200"/>
      <c r="P63" s="200"/>
      <c r="Q63" s="235"/>
      <c r="S63" s="157"/>
      <c r="T63" s="157"/>
    </row>
    <row r="64" spans="1:20" x14ac:dyDescent="0.2">
      <c r="A64" s="140" t="s">
        <v>112</v>
      </c>
      <c r="B64" s="239" t="s">
        <v>113</v>
      </c>
      <c r="C64" s="219">
        <v>14500000000</v>
      </c>
      <c r="D64" s="231"/>
      <c r="E64" s="220"/>
      <c r="F64" s="240"/>
      <c r="G64" s="220"/>
      <c r="H64" s="232"/>
      <c r="I64" s="199"/>
      <c r="J64" s="212"/>
      <c r="K64" s="212"/>
      <c r="L64" s="212"/>
      <c r="M64" s="212"/>
      <c r="N64" s="212"/>
      <c r="O64" s="212"/>
      <c r="P64" s="212"/>
      <c r="Q64" s="209"/>
      <c r="S64" s="157"/>
      <c r="T64" s="157"/>
    </row>
    <row r="65" spans="1:20" x14ac:dyDescent="0.2">
      <c r="A65" s="147" t="s">
        <v>114</v>
      </c>
      <c r="B65" s="241" t="s">
        <v>113</v>
      </c>
      <c r="C65" s="149">
        <v>14500000000</v>
      </c>
      <c r="D65" s="182">
        <v>7080479700</v>
      </c>
      <c r="E65" s="151"/>
      <c r="F65" s="182"/>
      <c r="G65" s="242"/>
      <c r="H65" s="218"/>
      <c r="I65" s="199"/>
      <c r="J65" s="155"/>
      <c r="K65" s="155"/>
      <c r="L65" s="155">
        <v>7080479700</v>
      </c>
      <c r="M65" s="155"/>
      <c r="N65" s="155"/>
      <c r="O65" s="155"/>
      <c r="P65" s="155">
        <f>L65</f>
        <v>7080479700</v>
      </c>
      <c r="Q65" s="156">
        <f>P65/D65*100</f>
        <v>100</v>
      </c>
      <c r="S65" s="157"/>
      <c r="T65" s="157"/>
    </row>
    <row r="66" spans="1:20" ht="12.75" x14ac:dyDescent="0.2">
      <c r="A66" s="147"/>
      <c r="B66" s="241" t="s">
        <v>115</v>
      </c>
      <c r="C66" s="149">
        <v>0</v>
      </c>
      <c r="D66" s="182">
        <v>20970000</v>
      </c>
      <c r="E66" s="151"/>
      <c r="F66" s="260">
        <v>20970000</v>
      </c>
      <c r="G66" s="243">
        <v>100</v>
      </c>
      <c r="H66" s="153"/>
      <c r="I66" s="199">
        <v>0</v>
      </c>
      <c r="J66" s="155"/>
      <c r="K66" s="155"/>
      <c r="L66" s="155"/>
      <c r="M66" s="155"/>
      <c r="N66" s="155"/>
      <c r="O66" s="155"/>
      <c r="P66" s="155"/>
      <c r="Q66" s="156"/>
      <c r="S66" s="157"/>
      <c r="T66" s="157"/>
    </row>
    <row r="67" spans="1:20" ht="12.75" x14ac:dyDescent="0.2">
      <c r="A67" s="147"/>
      <c r="B67" s="241" t="s">
        <v>116</v>
      </c>
      <c r="C67" s="149">
        <v>0</v>
      </c>
      <c r="D67" s="182">
        <v>9525985097.2199993</v>
      </c>
      <c r="E67" s="151"/>
      <c r="F67" s="261">
        <v>9525985097.2199993</v>
      </c>
      <c r="G67" s="243">
        <v>100</v>
      </c>
      <c r="H67" s="244"/>
      <c r="I67" s="199">
        <v>0</v>
      </c>
      <c r="J67" s="155"/>
      <c r="K67" s="155"/>
      <c r="L67" s="155"/>
      <c r="M67" s="155"/>
      <c r="N67" s="155"/>
      <c r="O67" s="155"/>
      <c r="P67" s="155"/>
      <c r="Q67" s="156"/>
      <c r="S67" s="157"/>
      <c r="T67" s="157"/>
    </row>
    <row r="68" spans="1:20" ht="21.75" x14ac:dyDescent="0.2">
      <c r="A68" s="129" t="s">
        <v>131</v>
      </c>
      <c r="B68" s="387" t="s">
        <v>132</v>
      </c>
      <c r="C68" s="269"/>
      <c r="D68" s="182">
        <v>80400000</v>
      </c>
      <c r="E68" s="151"/>
      <c r="F68" s="261">
        <v>80400000</v>
      </c>
      <c r="G68" s="243">
        <v>100</v>
      </c>
      <c r="H68" s="244"/>
      <c r="I68" s="199"/>
      <c r="J68" s="155"/>
      <c r="K68" s="155"/>
      <c r="L68" s="155"/>
      <c r="M68" s="155"/>
      <c r="N68" s="155"/>
      <c r="O68" s="155"/>
      <c r="P68" s="155"/>
      <c r="Q68" s="156"/>
      <c r="S68" s="157"/>
      <c r="T68" s="157"/>
    </row>
    <row r="69" spans="1:20" ht="12" thickBot="1" x14ac:dyDescent="0.25">
      <c r="A69" s="376"/>
      <c r="B69" s="377" t="s">
        <v>117</v>
      </c>
      <c r="C69" s="381">
        <v>107694973336</v>
      </c>
      <c r="D69" s="380">
        <f>D46+D47+D48+D49+D58+D62+D65+D66+D67+D68</f>
        <v>88717917807.699997</v>
      </c>
      <c r="E69" s="381">
        <f>D69/C69*100</f>
        <v>82.378884603004593</v>
      </c>
      <c r="F69" s="381">
        <f>F58+F66+F67+F68</f>
        <v>10022416178.219999</v>
      </c>
      <c r="G69" s="383">
        <f>F69/D69*100</f>
        <v>11.29694702703013</v>
      </c>
      <c r="H69" s="384">
        <f>H49+H62</f>
        <v>66253859359.68</v>
      </c>
      <c r="I69" s="385">
        <f>H69/D69*100</f>
        <v>74.679231655648366</v>
      </c>
      <c r="J69" s="386"/>
      <c r="K69" s="386">
        <f>SUM(K51:K68)</f>
        <v>10415076</v>
      </c>
      <c r="L69" s="386">
        <v>3199009290.3800001</v>
      </c>
      <c r="M69" s="386">
        <f>SUM(M56:M68)</f>
        <v>160164393</v>
      </c>
      <c r="N69" s="386">
        <f>SUM(N56:N68)</f>
        <v>10594138</v>
      </c>
      <c r="O69" s="386"/>
      <c r="P69" s="386">
        <f>P46+P47+P48+P49+P58+P65</f>
        <v>12441642269.799999</v>
      </c>
      <c r="Q69" s="382">
        <f>P69/D69*100</f>
        <v>14.023821317321501</v>
      </c>
      <c r="S69" s="157">
        <f>G69+I69+Q69</f>
        <v>100</v>
      </c>
    </row>
    <row r="70" spans="1:20" x14ac:dyDescent="0.2">
      <c r="A70" s="245"/>
      <c r="B70" s="246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</row>
    <row r="71" spans="1:20" x14ac:dyDescent="0.2">
      <c r="A71" s="247" t="s">
        <v>124</v>
      </c>
      <c r="B71" s="247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</row>
    <row r="72" spans="1:20" x14ac:dyDescent="0.2">
      <c r="A72" s="247"/>
      <c r="B72" s="248"/>
      <c r="C72" s="249"/>
      <c r="D72" s="249"/>
      <c r="E72" s="249"/>
      <c r="F72" s="250"/>
      <c r="G72" s="250"/>
      <c r="H72" s="248"/>
      <c r="I72" s="248"/>
      <c r="J72" s="248"/>
      <c r="K72" s="248"/>
      <c r="L72" s="248"/>
      <c r="M72" s="248"/>
      <c r="N72" s="248"/>
      <c r="O72" s="248"/>
      <c r="P72" s="248"/>
      <c r="Q72" s="250"/>
    </row>
    <row r="73" spans="1:20" x14ac:dyDescent="0.2">
      <c r="A73" s="247"/>
      <c r="B73" s="248"/>
      <c r="C73" s="250"/>
      <c r="D73" s="250"/>
      <c r="E73" s="250"/>
      <c r="F73" s="249"/>
      <c r="G73" s="250"/>
      <c r="H73" s="248"/>
      <c r="I73" s="248"/>
      <c r="J73" s="248"/>
      <c r="K73" s="248"/>
      <c r="L73" s="248"/>
      <c r="M73" s="248"/>
      <c r="N73" s="248"/>
      <c r="O73" s="248"/>
      <c r="P73" s="248"/>
      <c r="Q73" s="250"/>
    </row>
    <row r="74" spans="1:20" x14ac:dyDescent="0.2">
      <c r="A74" s="247"/>
      <c r="B74" s="248"/>
      <c r="C74" s="250"/>
      <c r="D74" s="250"/>
      <c r="E74" s="250"/>
      <c r="F74" s="263"/>
      <c r="G74" s="405"/>
      <c r="H74" s="405"/>
      <c r="I74" s="405"/>
      <c r="J74" s="248"/>
      <c r="K74" s="248"/>
      <c r="L74" s="248"/>
      <c r="M74" s="248"/>
      <c r="N74" s="248"/>
      <c r="O74" s="251"/>
      <c r="P74" s="251"/>
      <c r="Q74" s="252"/>
    </row>
    <row r="75" spans="1:20" x14ac:dyDescent="0.2">
      <c r="A75" s="247"/>
      <c r="B75" s="248"/>
      <c r="C75" s="250"/>
      <c r="D75" s="250"/>
      <c r="E75" s="250"/>
      <c r="F75" s="263"/>
      <c r="G75" s="250"/>
      <c r="H75" s="264"/>
      <c r="I75" s="253"/>
      <c r="J75" s="253"/>
      <c r="K75" s="253"/>
      <c r="L75" s="199"/>
      <c r="M75" s="253"/>
      <c r="N75" s="253"/>
      <c r="O75" s="253"/>
      <c r="P75" s="253"/>
      <c r="Q75" s="250"/>
    </row>
    <row r="76" spans="1:20" x14ac:dyDescent="0.2">
      <c r="A76" s="247"/>
      <c r="B76" s="253"/>
      <c r="C76" s="250"/>
      <c r="D76" s="250"/>
      <c r="E76" s="250"/>
      <c r="F76" s="250"/>
      <c r="G76" s="250"/>
      <c r="H76" s="249"/>
      <c r="I76" s="250"/>
      <c r="J76" s="249"/>
      <c r="K76" s="250"/>
      <c r="L76" s="249"/>
      <c r="M76" s="250"/>
      <c r="N76" s="250"/>
      <c r="O76" s="255"/>
      <c r="P76" s="255"/>
      <c r="Q76" s="250"/>
    </row>
    <row r="77" spans="1:20" x14ac:dyDescent="0.2">
      <c r="A77" s="247"/>
      <c r="B77" s="253"/>
      <c r="C77" s="250"/>
      <c r="D77" s="250"/>
      <c r="E77" s="250"/>
      <c r="F77" s="249"/>
      <c r="G77" s="250"/>
      <c r="H77" s="254"/>
      <c r="I77" s="253"/>
      <c r="J77" s="253"/>
      <c r="K77" s="253"/>
      <c r="L77" s="253"/>
      <c r="M77" s="253"/>
      <c r="N77" s="253"/>
      <c r="O77" s="253"/>
      <c r="P77" s="253"/>
      <c r="Q77" s="250"/>
    </row>
    <row r="78" spans="1:20" x14ac:dyDescent="0.2">
      <c r="A78" s="247"/>
      <c r="B78" s="250"/>
      <c r="C78" s="250"/>
      <c r="D78" s="250"/>
      <c r="E78" s="250"/>
      <c r="F78" s="263"/>
      <c r="G78" s="250"/>
      <c r="H78" s="254"/>
      <c r="I78" s="253"/>
      <c r="J78" s="253"/>
      <c r="K78" s="253"/>
      <c r="L78" s="253"/>
      <c r="M78" s="253"/>
      <c r="N78" s="253"/>
      <c r="O78" s="253"/>
      <c r="P78" s="253"/>
      <c r="Q78" s="250"/>
    </row>
    <row r="79" spans="1:20" x14ac:dyDescent="0.2">
      <c r="A79" s="247"/>
      <c r="B79" s="250"/>
      <c r="C79" s="250"/>
      <c r="D79" s="250"/>
      <c r="E79" s="250"/>
      <c r="F79" s="249"/>
      <c r="G79" s="250"/>
      <c r="H79" s="265"/>
      <c r="I79" s="253"/>
      <c r="J79" s="253"/>
      <c r="K79" s="253"/>
      <c r="L79" s="253"/>
      <c r="M79" s="253"/>
      <c r="N79" s="253"/>
      <c r="O79" s="253"/>
      <c r="P79" s="253"/>
      <c r="Q79" s="250"/>
    </row>
    <row r="80" spans="1:20" x14ac:dyDescent="0.2">
      <c r="A80" s="247"/>
      <c r="B80" s="250"/>
      <c r="C80" s="250"/>
      <c r="D80" s="250"/>
      <c r="E80" s="250"/>
      <c r="F80" s="250"/>
      <c r="G80" s="250"/>
      <c r="H80" s="253"/>
      <c r="I80" s="253"/>
      <c r="J80" s="253"/>
      <c r="K80" s="253"/>
      <c r="L80" s="253"/>
      <c r="M80" s="253"/>
      <c r="N80" s="253"/>
      <c r="O80" s="253"/>
      <c r="P80" s="253"/>
      <c r="Q80" s="250"/>
    </row>
    <row r="81" spans="1:17" x14ac:dyDescent="0.2">
      <c r="A81" s="247"/>
      <c r="B81" s="250"/>
      <c r="C81" s="250"/>
      <c r="D81" s="250"/>
      <c r="E81" s="250"/>
      <c r="F81" s="249"/>
      <c r="G81" s="250"/>
      <c r="H81" s="253"/>
      <c r="I81" s="253"/>
      <c r="J81" s="253"/>
      <c r="K81" s="253"/>
      <c r="L81" s="253"/>
      <c r="M81" s="253"/>
      <c r="N81" s="253"/>
      <c r="O81" s="253"/>
      <c r="P81" s="253"/>
      <c r="Q81" s="250"/>
    </row>
    <row r="82" spans="1:17" x14ac:dyDescent="0.2">
      <c r="A82" s="247"/>
      <c r="B82" s="250"/>
      <c r="C82" s="250"/>
      <c r="D82" s="250"/>
      <c r="E82" s="250"/>
      <c r="F82" s="250"/>
      <c r="G82" s="250"/>
      <c r="H82" s="249"/>
      <c r="I82" s="250"/>
      <c r="J82" s="250"/>
      <c r="K82" s="250"/>
      <c r="L82" s="250"/>
      <c r="M82" s="250"/>
      <c r="N82" s="250"/>
      <c r="O82" s="250"/>
      <c r="P82" s="250"/>
      <c r="Q82" s="250"/>
    </row>
    <row r="83" spans="1:17" x14ac:dyDescent="0.2">
      <c r="A83" s="247"/>
      <c r="B83" s="256"/>
      <c r="C83" s="250"/>
      <c r="D83" s="250"/>
      <c r="E83" s="250"/>
      <c r="F83" s="250"/>
      <c r="G83" s="250"/>
      <c r="H83" s="256"/>
      <c r="I83" s="256"/>
      <c r="J83" s="256"/>
      <c r="K83" s="256"/>
      <c r="L83" s="256"/>
      <c r="M83" s="256"/>
      <c r="N83" s="256"/>
      <c r="O83" s="256"/>
      <c r="P83" s="256"/>
      <c r="Q83" s="247"/>
    </row>
    <row r="84" spans="1:17" x14ac:dyDescent="0.2">
      <c r="A84" s="247"/>
      <c r="B84" s="248"/>
      <c r="C84" s="250"/>
      <c r="D84" s="250"/>
      <c r="E84" s="250"/>
      <c r="F84" s="250"/>
      <c r="G84" s="250"/>
      <c r="H84" s="248"/>
      <c r="I84" s="248"/>
      <c r="J84" s="248"/>
      <c r="K84" s="248"/>
      <c r="L84" s="248"/>
      <c r="M84" s="248"/>
      <c r="N84" s="248"/>
      <c r="O84" s="248"/>
      <c r="P84" s="248"/>
      <c r="Q84" s="250"/>
    </row>
    <row r="85" spans="1:17" x14ac:dyDescent="0.2">
      <c r="A85" s="247"/>
      <c r="B85" s="248"/>
      <c r="C85" s="250"/>
      <c r="D85" s="250"/>
      <c r="E85" s="250"/>
      <c r="F85" s="250"/>
      <c r="G85" s="250"/>
      <c r="H85" s="248"/>
      <c r="I85" s="248"/>
      <c r="J85" s="248"/>
      <c r="K85" s="248"/>
      <c r="L85" s="248"/>
      <c r="M85" s="248"/>
      <c r="N85" s="248"/>
      <c r="O85" s="248"/>
      <c r="P85" s="248"/>
      <c r="Q85" s="250"/>
    </row>
    <row r="86" spans="1:17" x14ac:dyDescent="0.2">
      <c r="A86" s="247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</row>
    <row r="87" spans="1:17" x14ac:dyDescent="0.2">
      <c r="A87" s="247"/>
      <c r="B87" s="256"/>
      <c r="C87" s="250"/>
      <c r="D87" s="250"/>
      <c r="E87" s="250"/>
      <c r="F87" s="250"/>
      <c r="G87" s="250"/>
      <c r="H87" s="256"/>
      <c r="I87" s="256"/>
      <c r="J87" s="256"/>
      <c r="K87" s="256"/>
      <c r="L87" s="256"/>
      <c r="M87" s="256"/>
      <c r="N87" s="256"/>
      <c r="O87" s="256"/>
      <c r="P87" s="256"/>
      <c r="Q87" s="247"/>
    </row>
    <row r="88" spans="1:17" x14ac:dyDescent="0.2">
      <c r="A88" s="247"/>
      <c r="B88" s="248"/>
      <c r="C88" s="250"/>
      <c r="D88" s="250"/>
      <c r="E88" s="250"/>
      <c r="F88" s="250"/>
      <c r="G88" s="250"/>
      <c r="H88" s="248"/>
      <c r="I88" s="248"/>
      <c r="J88" s="248"/>
      <c r="K88" s="248"/>
      <c r="L88" s="248"/>
      <c r="M88" s="248"/>
      <c r="N88" s="248"/>
      <c r="O88" s="248"/>
      <c r="P88" s="248"/>
      <c r="Q88" s="250"/>
    </row>
    <row r="89" spans="1:17" x14ac:dyDescent="0.2">
      <c r="A89" s="247"/>
      <c r="B89" s="248"/>
      <c r="C89" s="250"/>
      <c r="D89" s="250"/>
      <c r="E89" s="250"/>
      <c r="F89" s="250"/>
      <c r="G89" s="250"/>
      <c r="H89" s="248"/>
      <c r="I89" s="248"/>
      <c r="J89" s="248"/>
      <c r="K89" s="248"/>
      <c r="L89" s="248"/>
      <c r="M89" s="248"/>
      <c r="N89" s="248"/>
      <c r="O89" s="248"/>
      <c r="P89" s="248"/>
      <c r="Q89" s="250"/>
    </row>
    <row r="90" spans="1:17" x14ac:dyDescent="0.2">
      <c r="A90" s="247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</row>
    <row r="91" spans="1:17" x14ac:dyDescent="0.2">
      <c r="A91" s="247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</row>
    <row r="92" spans="1:17" x14ac:dyDescent="0.2">
      <c r="A92" s="247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</row>
  </sheetData>
  <mergeCells count="11">
    <mergeCell ref="G74:I74"/>
    <mergeCell ref="A1:Q1"/>
    <mergeCell ref="A2:Q2"/>
    <mergeCell ref="A4:A5"/>
    <mergeCell ref="B4:B5"/>
    <mergeCell ref="C4:C5"/>
    <mergeCell ref="D4:D5"/>
    <mergeCell ref="E4:E5"/>
    <mergeCell ref="F4:G4"/>
    <mergeCell ref="H4:I4"/>
    <mergeCell ref="J4:Q4"/>
  </mergeCells>
  <pageMargins left="0.9055118110236221" right="0.70866141732283472" top="0.74803149606299213" bottom="0.74803149606299213" header="0.31496062992125984" footer="0.31496062992125984"/>
  <pageSetup paperSize="258" scale="4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XFD1048576"/>
    </sheetView>
  </sheetViews>
  <sheetFormatPr defaultRowHeight="11.25" x14ac:dyDescent="0.2"/>
  <cols>
    <col min="1" max="1" width="4.85546875" style="270" customWidth="1"/>
    <col min="2" max="2" width="9" style="270" customWidth="1"/>
    <col min="3" max="3" width="33.85546875" style="270" customWidth="1"/>
    <col min="4" max="4" width="16.42578125" style="270" customWidth="1"/>
    <col min="5" max="5" width="15.7109375" style="270" customWidth="1"/>
    <col min="6" max="6" width="6.28515625" style="270" customWidth="1"/>
    <col min="7" max="7" width="16.28515625" style="270" customWidth="1"/>
    <col min="8" max="8" width="6.7109375" style="270" customWidth="1"/>
    <col min="9" max="9" width="19.5703125" style="270" customWidth="1"/>
    <col min="10" max="10" width="6.7109375" style="270" customWidth="1"/>
    <col min="11" max="11" width="18.42578125" style="270" customWidth="1"/>
    <col min="12" max="12" width="6.7109375" style="270" customWidth="1"/>
    <col min="13" max="13" width="9.140625" style="270"/>
    <col min="14" max="14" width="16" style="270" bestFit="1" customWidth="1"/>
    <col min="15" max="16384" width="9.140625" style="270"/>
  </cols>
  <sheetData>
    <row r="1" spans="1:14" x14ac:dyDescent="0.2">
      <c r="A1" s="425" t="s">
        <v>149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</row>
    <row r="2" spans="1:14" ht="12" thickBot="1" x14ac:dyDescent="0.25">
      <c r="K2" s="429" t="s">
        <v>158</v>
      </c>
      <c r="L2" s="429"/>
    </row>
    <row r="3" spans="1:14" x14ac:dyDescent="0.2">
      <c r="A3" s="423" t="s">
        <v>135</v>
      </c>
      <c r="B3" s="421" t="s">
        <v>136</v>
      </c>
      <c r="C3" s="421" t="s">
        <v>137</v>
      </c>
      <c r="D3" s="421" t="s">
        <v>138</v>
      </c>
      <c r="E3" s="421" t="s">
        <v>144</v>
      </c>
      <c r="F3" s="427" t="s">
        <v>6</v>
      </c>
      <c r="G3" s="421" t="s">
        <v>139</v>
      </c>
      <c r="H3" s="421"/>
      <c r="I3" s="421" t="s">
        <v>140</v>
      </c>
      <c r="J3" s="421"/>
      <c r="K3" s="421" t="s">
        <v>5</v>
      </c>
      <c r="L3" s="426"/>
    </row>
    <row r="4" spans="1:14" ht="12" thickBot="1" x14ac:dyDescent="0.25">
      <c r="A4" s="424"/>
      <c r="B4" s="422"/>
      <c r="C4" s="422"/>
      <c r="D4" s="422"/>
      <c r="E4" s="422"/>
      <c r="F4" s="428"/>
      <c r="G4" s="330" t="s">
        <v>7</v>
      </c>
      <c r="H4" s="330" t="s">
        <v>6</v>
      </c>
      <c r="I4" s="330" t="s">
        <v>141</v>
      </c>
      <c r="J4" s="330" t="s">
        <v>6</v>
      </c>
      <c r="K4" s="330" t="s">
        <v>142</v>
      </c>
      <c r="L4" s="331" t="s">
        <v>6</v>
      </c>
    </row>
    <row r="5" spans="1:14" ht="12" thickBot="1" x14ac:dyDescent="0.25">
      <c r="A5" s="332">
        <v>1</v>
      </c>
      <c r="B5" s="333">
        <v>4.0999999999999996</v>
      </c>
      <c r="C5" s="334" t="s">
        <v>150</v>
      </c>
      <c r="D5" s="335">
        <f>D6+D16+D20+D26</f>
        <v>657068247868</v>
      </c>
      <c r="E5" s="335">
        <f t="shared" ref="E5" si="0">E6+E16+E20+E26</f>
        <v>378966514334.91003</v>
      </c>
      <c r="F5" s="335">
        <f>E5/D5*100</f>
        <v>57.675365620625982</v>
      </c>
      <c r="G5" s="335">
        <f t="shared" ref="G5" si="1">G6+G16+G20+G26</f>
        <v>13255889658.219999</v>
      </c>
      <c r="H5" s="335">
        <f>G5/E5*100</f>
        <v>3.4979052651879323</v>
      </c>
      <c r="I5" s="335">
        <f t="shared" ref="I5" si="2">I6+I16+I20+I26</f>
        <v>193703088610.32001</v>
      </c>
      <c r="J5" s="335">
        <f>I5/E5*100</f>
        <v>51.113510371825555</v>
      </c>
      <c r="K5" s="335">
        <f t="shared" ref="K5" si="3">K6+K16+K20+K26</f>
        <v>172007536066.37</v>
      </c>
      <c r="L5" s="335">
        <f>K5/E5*100</f>
        <v>45.388584362986506</v>
      </c>
      <c r="N5" s="275">
        <f>N6+N16+N20+N26</f>
        <v>378966514334.91003</v>
      </c>
    </row>
    <row r="6" spans="1:14" x14ac:dyDescent="0.2">
      <c r="A6" s="336">
        <v>2</v>
      </c>
      <c r="B6" s="337" t="s">
        <v>12</v>
      </c>
      <c r="C6" s="338" t="s">
        <v>143</v>
      </c>
      <c r="D6" s="339">
        <v>460000000000</v>
      </c>
      <c r="E6" s="340">
        <v>231776863411.01001</v>
      </c>
      <c r="F6" s="341">
        <v>50.39</v>
      </c>
      <c r="G6" s="342"/>
      <c r="H6" s="341"/>
      <c r="I6" s="339">
        <v>117975769020.64</v>
      </c>
      <c r="J6" s="343">
        <f>I6/E6*100</f>
        <v>50.900580534405414</v>
      </c>
      <c r="K6" s="339">
        <v>113801094390.37</v>
      </c>
      <c r="L6" s="344">
        <f>K6/E6*100</f>
        <v>49.099419465594572</v>
      </c>
      <c r="N6" s="290">
        <f>I6+K6</f>
        <v>231776863411.01001</v>
      </c>
    </row>
    <row r="7" spans="1:14" x14ac:dyDescent="0.2">
      <c r="A7" s="300"/>
      <c r="B7" s="301" t="s">
        <v>14</v>
      </c>
      <c r="C7" s="302" t="s">
        <v>15</v>
      </c>
      <c r="D7" s="303">
        <v>53000000000</v>
      </c>
      <c r="E7" s="304">
        <v>5419102724.79</v>
      </c>
      <c r="F7" s="305">
        <v>10.224722122245284</v>
      </c>
      <c r="G7" s="306"/>
      <c r="H7" s="307"/>
      <c r="I7" s="308">
        <v>2923199389.3999996</v>
      </c>
      <c r="J7" s="305">
        <f t="shared" ref="J7:J15" si="4">I7/E7*100</f>
        <v>53.942498193061638</v>
      </c>
      <c r="K7" s="308">
        <v>2495903335.3900003</v>
      </c>
      <c r="L7" s="309">
        <f t="shared" ref="L7:L15" si="5">K7/E7*100</f>
        <v>46.057501806938362</v>
      </c>
    </row>
    <row r="8" spans="1:14" x14ac:dyDescent="0.2">
      <c r="A8" s="300"/>
      <c r="B8" s="307" t="s">
        <v>16</v>
      </c>
      <c r="C8" s="302" t="s">
        <v>17</v>
      </c>
      <c r="D8" s="304">
        <v>85500000000</v>
      </c>
      <c r="E8" s="304">
        <v>41533078572.849998</v>
      </c>
      <c r="F8" s="305">
        <v>48.576700085204678</v>
      </c>
      <c r="G8" s="306"/>
      <c r="H8" s="307"/>
      <c r="I8" s="308">
        <v>11500983288.389996</v>
      </c>
      <c r="J8" s="305">
        <f t="shared" si="4"/>
        <v>27.69114085346936</v>
      </c>
      <c r="K8" s="308">
        <v>30032095284.460003</v>
      </c>
      <c r="L8" s="309">
        <f t="shared" si="5"/>
        <v>72.308859146530637</v>
      </c>
    </row>
    <row r="9" spans="1:14" x14ac:dyDescent="0.2">
      <c r="A9" s="300"/>
      <c r="B9" s="307" t="s">
        <v>18</v>
      </c>
      <c r="C9" s="302" t="s">
        <v>19</v>
      </c>
      <c r="D9" s="304">
        <v>9000000000</v>
      </c>
      <c r="E9" s="304">
        <v>3015534190.96</v>
      </c>
      <c r="F9" s="305">
        <v>33.505935455111114</v>
      </c>
      <c r="G9" s="306"/>
      <c r="H9" s="307"/>
      <c r="I9" s="308">
        <v>1458549535.76</v>
      </c>
      <c r="J9" s="305">
        <f t="shared" si="4"/>
        <v>48.367865969898638</v>
      </c>
      <c r="K9" s="308">
        <v>1556984655.2</v>
      </c>
      <c r="L9" s="309">
        <f t="shared" si="5"/>
        <v>51.632134030101362</v>
      </c>
    </row>
    <row r="10" spans="1:14" x14ac:dyDescent="0.2">
      <c r="A10" s="300"/>
      <c r="B10" s="307" t="s">
        <v>20</v>
      </c>
      <c r="C10" s="302" t="s">
        <v>21</v>
      </c>
      <c r="D10" s="304">
        <v>1000000000</v>
      </c>
      <c r="E10" s="304">
        <v>509241866.40999997</v>
      </c>
      <c r="F10" s="305">
        <v>50.924186641000006</v>
      </c>
      <c r="G10" s="306"/>
      <c r="H10" s="307"/>
      <c r="I10" s="308">
        <v>420852591.08999997</v>
      </c>
      <c r="J10" s="305">
        <f t="shared" si="4"/>
        <v>82.642967683879277</v>
      </c>
      <c r="K10" s="308">
        <v>88389275.319999993</v>
      </c>
      <c r="L10" s="309">
        <f t="shared" si="5"/>
        <v>17.357032316120719</v>
      </c>
    </row>
    <row r="11" spans="1:14" x14ac:dyDescent="0.2">
      <c r="A11" s="300"/>
      <c r="B11" s="307" t="s">
        <v>22</v>
      </c>
      <c r="C11" s="302" t="s">
        <v>23</v>
      </c>
      <c r="D11" s="304">
        <v>97000000000</v>
      </c>
      <c r="E11" s="304">
        <v>43829043499</v>
      </c>
      <c r="F11" s="305">
        <v>45.184580926804124</v>
      </c>
      <c r="G11" s="306"/>
      <c r="H11" s="307"/>
      <c r="I11" s="308">
        <v>0</v>
      </c>
      <c r="J11" s="305">
        <f t="shared" si="4"/>
        <v>0</v>
      </c>
      <c r="K11" s="308">
        <v>43829043499</v>
      </c>
      <c r="L11" s="309">
        <f t="shared" si="5"/>
        <v>100</v>
      </c>
    </row>
    <row r="12" spans="1:14" x14ac:dyDescent="0.2">
      <c r="A12" s="300"/>
      <c r="B12" s="307" t="s">
        <v>24</v>
      </c>
      <c r="C12" s="302" t="s">
        <v>25</v>
      </c>
      <c r="D12" s="304">
        <v>5500000000</v>
      </c>
      <c r="E12" s="304">
        <v>3004496696</v>
      </c>
      <c r="F12" s="305">
        <v>54.627212654545453</v>
      </c>
      <c r="G12" s="306"/>
      <c r="H12" s="307"/>
      <c r="I12" s="308">
        <v>1969379646</v>
      </c>
      <c r="J12" s="305">
        <f t="shared" si="4"/>
        <v>65.547738781737038</v>
      </c>
      <c r="K12" s="308">
        <v>1035117050</v>
      </c>
      <c r="L12" s="309">
        <f t="shared" si="5"/>
        <v>34.452261218262962</v>
      </c>
    </row>
    <row r="13" spans="1:14" x14ac:dyDescent="0.2">
      <c r="A13" s="300"/>
      <c r="B13" s="307" t="s">
        <v>26</v>
      </c>
      <c r="C13" s="302" t="s">
        <v>27</v>
      </c>
      <c r="D13" s="304">
        <v>7000000000</v>
      </c>
      <c r="E13" s="304">
        <v>2069621074</v>
      </c>
      <c r="F13" s="305">
        <v>29.566015342857142</v>
      </c>
      <c r="G13" s="306"/>
      <c r="H13" s="307"/>
      <c r="I13" s="308">
        <v>1691887514</v>
      </c>
      <c r="J13" s="305">
        <f t="shared" si="4"/>
        <v>81.748660914534156</v>
      </c>
      <c r="K13" s="308">
        <v>377733560</v>
      </c>
      <c r="L13" s="309">
        <f t="shared" si="5"/>
        <v>18.251339085465844</v>
      </c>
    </row>
    <row r="14" spans="1:14" x14ac:dyDescent="0.2">
      <c r="A14" s="300"/>
      <c r="B14" s="307" t="s">
        <v>28</v>
      </c>
      <c r="C14" s="302" t="s">
        <v>118</v>
      </c>
      <c r="D14" s="304">
        <v>82000000000</v>
      </c>
      <c r="E14" s="304">
        <v>35305398681</v>
      </c>
      <c r="F14" s="305">
        <v>43.05536424512195</v>
      </c>
      <c r="G14" s="306"/>
      <c r="H14" s="307"/>
      <c r="I14" s="308">
        <v>31680854450</v>
      </c>
      <c r="J14" s="305">
        <f t="shared" si="4"/>
        <v>89.733739409801387</v>
      </c>
      <c r="K14" s="308">
        <v>3624544231</v>
      </c>
      <c r="L14" s="309">
        <f t="shared" si="5"/>
        <v>10.266260590198602</v>
      </c>
    </row>
    <row r="15" spans="1:14" x14ac:dyDescent="0.2">
      <c r="A15" s="300"/>
      <c r="B15" s="307" t="s">
        <v>29</v>
      </c>
      <c r="C15" s="302" t="s">
        <v>119</v>
      </c>
      <c r="D15" s="310">
        <v>120000000000</v>
      </c>
      <c r="E15" s="304">
        <v>97091346106</v>
      </c>
      <c r="F15" s="305">
        <v>80.909455088333331</v>
      </c>
      <c r="G15" s="306"/>
      <c r="H15" s="307"/>
      <c r="I15" s="308">
        <v>66330062606</v>
      </c>
      <c r="J15" s="305">
        <f t="shared" si="4"/>
        <v>68.317172710309109</v>
      </c>
      <c r="K15" s="308">
        <v>30761283500</v>
      </c>
      <c r="L15" s="309">
        <f t="shared" si="5"/>
        <v>31.682827289690891</v>
      </c>
    </row>
    <row r="16" spans="1:14" x14ac:dyDescent="0.2">
      <c r="A16" s="345">
        <v>3</v>
      </c>
      <c r="B16" s="346" t="s">
        <v>31</v>
      </c>
      <c r="C16" s="347" t="s">
        <v>146</v>
      </c>
      <c r="D16" s="348">
        <f>D17+D18+D19</f>
        <v>29630296000</v>
      </c>
      <c r="E16" s="349">
        <f>SUM(E17:E19)</f>
        <v>13223394010</v>
      </c>
      <c r="F16" s="350">
        <v>44.627951101129739</v>
      </c>
      <c r="G16" s="348">
        <f>SUM(G17:G19)</f>
        <v>3233473480</v>
      </c>
      <c r="H16" s="350">
        <f>G16/E16*100</f>
        <v>24.452674385673848</v>
      </c>
      <c r="I16" s="348">
        <f>SUM(I17:I19)</f>
        <v>9473460230</v>
      </c>
      <c r="J16" s="350">
        <f>I16/E16*100</f>
        <v>71.641669474840057</v>
      </c>
      <c r="K16" s="351">
        <f>SUM(K17:K19)</f>
        <v>516460300</v>
      </c>
      <c r="L16" s="352">
        <f>K16/E16*100</f>
        <v>3.9056561394860836</v>
      </c>
      <c r="N16" s="275">
        <f>G16+I16+K16</f>
        <v>13223394010</v>
      </c>
    </row>
    <row r="17" spans="1:14" x14ac:dyDescent="0.2">
      <c r="A17" s="300"/>
      <c r="B17" s="311" t="s">
        <v>33</v>
      </c>
      <c r="C17" s="312" t="s">
        <v>34</v>
      </c>
      <c r="D17" s="313">
        <v>16540496000</v>
      </c>
      <c r="E17" s="304">
        <v>4515371100</v>
      </c>
      <c r="F17" s="305">
        <v>27.298885716607291</v>
      </c>
      <c r="G17" s="308">
        <v>2608374800</v>
      </c>
      <c r="H17" s="305">
        <f t="shared" ref="H17:H19" si="6">G17/E17*100</f>
        <v>57.766565410315884</v>
      </c>
      <c r="I17" s="308">
        <v>1390536000</v>
      </c>
      <c r="J17" s="305">
        <f t="shared" ref="J17:J19" si="7">I17/E17*100</f>
        <v>30.795608360960632</v>
      </c>
      <c r="K17" s="308">
        <v>516460300</v>
      </c>
      <c r="L17" s="309">
        <v>0</v>
      </c>
    </row>
    <row r="18" spans="1:14" x14ac:dyDescent="0.2">
      <c r="A18" s="300"/>
      <c r="B18" s="311" t="s">
        <v>45</v>
      </c>
      <c r="C18" s="312" t="s">
        <v>46</v>
      </c>
      <c r="D18" s="313">
        <v>2039800000</v>
      </c>
      <c r="E18" s="304">
        <v>625098680</v>
      </c>
      <c r="F18" s="305">
        <v>30.645096578095892</v>
      </c>
      <c r="G18" s="308">
        <v>625098680</v>
      </c>
      <c r="H18" s="305">
        <f t="shared" si="6"/>
        <v>100</v>
      </c>
      <c r="I18" s="308">
        <v>0</v>
      </c>
      <c r="J18" s="305">
        <f t="shared" si="7"/>
        <v>0</v>
      </c>
      <c r="K18" s="308">
        <v>0</v>
      </c>
      <c r="L18" s="309">
        <v>0</v>
      </c>
    </row>
    <row r="19" spans="1:14" x14ac:dyDescent="0.2">
      <c r="A19" s="300"/>
      <c r="B19" s="311" t="s">
        <v>51</v>
      </c>
      <c r="C19" s="312" t="s">
        <v>52</v>
      </c>
      <c r="D19" s="313">
        <v>11050000000</v>
      </c>
      <c r="E19" s="304">
        <v>8082924230</v>
      </c>
      <c r="F19" s="305">
        <v>73.14863556561086</v>
      </c>
      <c r="G19" s="308"/>
      <c r="H19" s="305">
        <f t="shared" si="6"/>
        <v>0</v>
      </c>
      <c r="I19" s="308">
        <v>8082924230</v>
      </c>
      <c r="J19" s="305">
        <f t="shared" si="7"/>
        <v>100</v>
      </c>
      <c r="K19" s="308">
        <v>0</v>
      </c>
      <c r="L19" s="309">
        <v>0</v>
      </c>
    </row>
    <row r="20" spans="1:14" x14ac:dyDescent="0.2">
      <c r="A20" s="353">
        <v>4</v>
      </c>
      <c r="B20" s="346" t="s">
        <v>61</v>
      </c>
      <c r="C20" s="347" t="s">
        <v>145</v>
      </c>
      <c r="D20" s="351">
        <f>SUM(D22:D25)</f>
        <v>59742978532</v>
      </c>
      <c r="E20" s="354">
        <f>SUM(E22:E24)</f>
        <v>45248339106.199997</v>
      </c>
      <c r="F20" s="355">
        <v>75.739999999999995</v>
      </c>
      <c r="G20" s="356"/>
      <c r="H20" s="357"/>
      <c r="I20" s="356"/>
      <c r="J20" s="357"/>
      <c r="K20" s="351">
        <f>SUM(K22:K24)</f>
        <v>45248339106.199997</v>
      </c>
      <c r="L20" s="358">
        <f>K20/E20*100</f>
        <v>100</v>
      </c>
      <c r="N20" s="290">
        <f>K20</f>
        <v>45248339106.199997</v>
      </c>
    </row>
    <row r="21" spans="1:14" x14ac:dyDescent="0.2">
      <c r="A21" s="300"/>
      <c r="B21" s="307"/>
      <c r="C21" s="292" t="s">
        <v>63</v>
      </c>
      <c r="D21" s="306"/>
      <c r="E21" s="316"/>
      <c r="F21" s="317"/>
      <c r="G21" s="306"/>
      <c r="H21" s="307"/>
      <c r="I21" s="306"/>
      <c r="J21" s="307"/>
      <c r="K21" s="306"/>
      <c r="L21" s="318"/>
    </row>
    <row r="22" spans="1:14" ht="33.75" x14ac:dyDescent="0.2">
      <c r="A22" s="300"/>
      <c r="B22" s="311" t="s">
        <v>64</v>
      </c>
      <c r="C22" s="319" t="s">
        <v>65</v>
      </c>
      <c r="D22" s="306"/>
      <c r="E22" s="302"/>
      <c r="F22" s="307"/>
      <c r="G22" s="306"/>
      <c r="H22" s="307"/>
      <c r="I22" s="306"/>
      <c r="J22" s="307"/>
      <c r="K22" s="306"/>
      <c r="L22" s="318"/>
      <c r="N22" s="290">
        <f>G19+I19</f>
        <v>8082924230</v>
      </c>
    </row>
    <row r="23" spans="1:14" ht="33.75" x14ac:dyDescent="0.2">
      <c r="A23" s="300"/>
      <c r="B23" s="311" t="s">
        <v>66</v>
      </c>
      <c r="C23" s="320" t="s">
        <v>67</v>
      </c>
      <c r="D23" s="308">
        <v>53949880588</v>
      </c>
      <c r="E23" s="304">
        <v>44960371000.949997</v>
      </c>
      <c r="F23" s="307">
        <v>83.337294746395557</v>
      </c>
      <c r="G23" s="306"/>
      <c r="H23" s="307"/>
      <c r="I23" s="306"/>
      <c r="J23" s="307"/>
      <c r="K23" s="308">
        <v>44960371000.949997</v>
      </c>
      <c r="L23" s="318">
        <f t="shared" ref="L23:L24" si="8">K23/E23*100</f>
        <v>100</v>
      </c>
    </row>
    <row r="24" spans="1:14" ht="33.75" x14ac:dyDescent="0.2">
      <c r="A24" s="300"/>
      <c r="B24" s="311" t="s">
        <v>68</v>
      </c>
      <c r="C24" s="320" t="s">
        <v>69</v>
      </c>
      <c r="D24" s="308">
        <v>289023806</v>
      </c>
      <c r="E24" s="304">
        <v>287968105.25</v>
      </c>
      <c r="F24" s="307">
        <v>99.634735711009213</v>
      </c>
      <c r="G24" s="306"/>
      <c r="H24" s="307"/>
      <c r="I24" s="306"/>
      <c r="J24" s="307"/>
      <c r="K24" s="308">
        <v>287968105.25</v>
      </c>
      <c r="L24" s="318">
        <f t="shared" si="8"/>
        <v>100</v>
      </c>
    </row>
    <row r="25" spans="1:14" ht="33.75" x14ac:dyDescent="0.2">
      <c r="A25" s="300"/>
      <c r="B25" s="311" t="s">
        <v>70</v>
      </c>
      <c r="C25" s="320" t="s">
        <v>71</v>
      </c>
      <c r="D25" s="308">
        <v>5504074138</v>
      </c>
      <c r="E25" s="302"/>
      <c r="F25" s="307">
        <v>0</v>
      </c>
      <c r="G25" s="306"/>
      <c r="H25" s="307"/>
      <c r="I25" s="306"/>
      <c r="J25" s="307"/>
      <c r="K25" s="306"/>
      <c r="L25" s="318"/>
    </row>
    <row r="26" spans="1:14" x14ac:dyDescent="0.2">
      <c r="A26" s="359">
        <v>5</v>
      </c>
      <c r="B26" s="346" t="s">
        <v>73</v>
      </c>
      <c r="C26" s="347" t="s">
        <v>148</v>
      </c>
      <c r="D26" s="349">
        <f>SUM(D29:D34)</f>
        <v>107694973336</v>
      </c>
      <c r="E26" s="349">
        <f>SUM(E28:E37)</f>
        <v>88717917807.699997</v>
      </c>
      <c r="F26" s="355">
        <v>82.38</v>
      </c>
      <c r="G26" s="351">
        <f>SUM(G28:G37)</f>
        <v>10022416178.219999</v>
      </c>
      <c r="H26" s="350">
        <f>G26/E26*100</f>
        <v>11.29694702703013</v>
      </c>
      <c r="I26" s="348">
        <f>SUM(I31:I33)</f>
        <v>66253859359.68</v>
      </c>
      <c r="J26" s="350">
        <f>I26/E26*100</f>
        <v>74.679231655648366</v>
      </c>
      <c r="K26" s="348">
        <f>SUM(K28:K34)</f>
        <v>12441642269.799999</v>
      </c>
      <c r="L26" s="352">
        <f>K26/E26*100</f>
        <v>14.023821317321501</v>
      </c>
      <c r="N26" s="275">
        <f>G26+I26+K26</f>
        <v>88717917807.699997</v>
      </c>
    </row>
    <row r="27" spans="1:14" x14ac:dyDescent="0.2">
      <c r="A27" s="321"/>
      <c r="B27" s="315"/>
      <c r="C27" s="291" t="s">
        <v>75</v>
      </c>
      <c r="D27" s="322"/>
      <c r="E27" s="322"/>
      <c r="F27" s="315"/>
      <c r="G27" s="314"/>
      <c r="H27" s="315"/>
      <c r="I27" s="314"/>
      <c r="J27" s="315"/>
      <c r="K27" s="314"/>
      <c r="L27" s="323"/>
    </row>
    <row r="28" spans="1:14" ht="22.5" x14ac:dyDescent="0.2">
      <c r="A28" s="321"/>
      <c r="B28" s="324" t="s">
        <v>76</v>
      </c>
      <c r="C28" s="320" t="s">
        <v>77</v>
      </c>
      <c r="D28" s="306"/>
      <c r="E28" s="304">
        <v>267422100</v>
      </c>
      <c r="F28" s="307"/>
      <c r="G28" s="306"/>
      <c r="H28" s="307"/>
      <c r="I28" s="306"/>
      <c r="J28" s="307"/>
      <c r="K28" s="308">
        <v>267422100</v>
      </c>
      <c r="L28" s="318">
        <v>100</v>
      </c>
    </row>
    <row r="29" spans="1:14" x14ac:dyDescent="0.2">
      <c r="A29" s="321"/>
      <c r="B29" s="311" t="s">
        <v>78</v>
      </c>
      <c r="C29" s="312" t="s">
        <v>79</v>
      </c>
      <c r="D29" s="308">
        <v>1519973336</v>
      </c>
      <c r="E29" s="304">
        <v>2070772895.5999999</v>
      </c>
      <c r="F29" s="307">
        <v>136.23744881272049</v>
      </c>
      <c r="G29" s="306"/>
      <c r="H29" s="307"/>
      <c r="I29" s="306"/>
      <c r="J29" s="307"/>
      <c r="K29" s="308">
        <v>2070772895.5999999</v>
      </c>
      <c r="L29" s="318">
        <v>100</v>
      </c>
    </row>
    <row r="30" spans="1:14" x14ac:dyDescent="0.2">
      <c r="A30" s="321"/>
      <c r="B30" s="311" t="s">
        <v>80</v>
      </c>
      <c r="C30" s="312" t="s">
        <v>81</v>
      </c>
      <c r="D30" s="308">
        <v>1675000000</v>
      </c>
      <c r="E30" s="304">
        <v>2493750000</v>
      </c>
      <c r="F30" s="307">
        <v>148.88059701492537</v>
      </c>
      <c r="G30" s="306"/>
      <c r="H30" s="307"/>
      <c r="I30" s="306"/>
      <c r="J30" s="307"/>
      <c r="K30" s="308">
        <v>2493750000</v>
      </c>
      <c r="L30" s="325">
        <v>100</v>
      </c>
    </row>
    <row r="31" spans="1:14" x14ac:dyDescent="0.2">
      <c r="A31" s="321"/>
      <c r="B31" s="311" t="s">
        <v>82</v>
      </c>
      <c r="C31" s="312" t="s">
        <v>83</v>
      </c>
      <c r="D31" s="306"/>
      <c r="E31" s="304">
        <v>3715853889.9499998</v>
      </c>
      <c r="F31" s="307"/>
      <c r="G31" s="306"/>
      <c r="H31" s="307"/>
      <c r="I31" s="308">
        <f>JUNI!H49</f>
        <v>3360604155.75</v>
      </c>
      <c r="J31" s="305">
        <f>I31/E31*100</f>
        <v>90.439620482365626</v>
      </c>
      <c r="K31" s="308">
        <v>355249734.19999999</v>
      </c>
      <c r="L31" s="326">
        <v>9.5603795176343773</v>
      </c>
    </row>
    <row r="32" spans="1:14" x14ac:dyDescent="0.2">
      <c r="A32" s="321"/>
      <c r="B32" s="311" t="s">
        <v>100</v>
      </c>
      <c r="C32" s="327" t="s">
        <v>101</v>
      </c>
      <c r="D32" s="306"/>
      <c r="E32" s="304">
        <v>569028921</v>
      </c>
      <c r="F32" s="307"/>
      <c r="G32" s="308">
        <v>395061081</v>
      </c>
      <c r="H32" s="305">
        <v>69.427241115570652</v>
      </c>
      <c r="I32" s="306"/>
      <c r="J32" s="307"/>
      <c r="K32" s="308">
        <v>173967840</v>
      </c>
      <c r="L32" s="326">
        <f>K32/E32*100</f>
        <v>30.572758884429359</v>
      </c>
    </row>
    <row r="33" spans="1:12" x14ac:dyDescent="0.2">
      <c r="A33" s="321"/>
      <c r="B33" s="328" t="s">
        <v>108</v>
      </c>
      <c r="C33" s="329" t="s">
        <v>109</v>
      </c>
      <c r="D33" s="308">
        <v>90000000000</v>
      </c>
      <c r="E33" s="304">
        <v>62893255203.93</v>
      </c>
      <c r="F33" s="307">
        <v>69.881394671033334</v>
      </c>
      <c r="G33" s="306"/>
      <c r="H33" s="307"/>
      <c r="I33" s="308">
        <v>62893255203.93</v>
      </c>
      <c r="J33" s="307">
        <v>100</v>
      </c>
      <c r="K33" s="306"/>
      <c r="L33" s="318"/>
    </row>
    <row r="34" spans="1:12" x14ac:dyDescent="0.2">
      <c r="A34" s="279"/>
      <c r="B34" s="276" t="s">
        <v>112</v>
      </c>
      <c r="C34" s="280" t="s">
        <v>113</v>
      </c>
      <c r="D34" s="274">
        <v>14500000000</v>
      </c>
      <c r="E34" s="271">
        <v>7080479700</v>
      </c>
      <c r="F34" s="273">
        <v>48.830894482758616</v>
      </c>
      <c r="G34" s="272"/>
      <c r="H34" s="273"/>
      <c r="I34" s="272"/>
      <c r="J34" s="273"/>
      <c r="K34" s="274">
        <v>7080479700</v>
      </c>
      <c r="L34" s="277">
        <v>100</v>
      </c>
    </row>
    <row r="35" spans="1:12" ht="22.5" x14ac:dyDescent="0.2">
      <c r="A35" s="279"/>
      <c r="B35" s="276"/>
      <c r="C35" s="278" t="s">
        <v>115</v>
      </c>
      <c r="D35" s="274"/>
      <c r="E35" s="271">
        <v>20970000</v>
      </c>
      <c r="F35" s="273"/>
      <c r="G35" s="281">
        <v>20970000</v>
      </c>
      <c r="H35" s="273">
        <v>100</v>
      </c>
      <c r="I35" s="272"/>
      <c r="J35" s="273"/>
      <c r="K35" s="272"/>
      <c r="L35" s="277"/>
    </row>
    <row r="36" spans="1:12" x14ac:dyDescent="0.2">
      <c r="A36" s="279"/>
      <c r="B36" s="276" t="s">
        <v>147</v>
      </c>
      <c r="C36" s="280" t="s">
        <v>116</v>
      </c>
      <c r="D36" s="272"/>
      <c r="E36" s="271">
        <v>9525985097.2199993</v>
      </c>
      <c r="F36" s="273"/>
      <c r="G36" s="282">
        <v>9525985097.2199993</v>
      </c>
      <c r="H36" s="273">
        <v>100</v>
      </c>
      <c r="I36" s="272"/>
      <c r="J36" s="273"/>
      <c r="K36" s="272"/>
      <c r="L36" s="277"/>
    </row>
    <row r="37" spans="1:12" ht="23.25" thickBot="1" x14ac:dyDescent="0.25">
      <c r="A37" s="283"/>
      <c r="B37" s="284" t="s">
        <v>131</v>
      </c>
      <c r="C37" s="285" t="s">
        <v>132</v>
      </c>
      <c r="D37" s="284"/>
      <c r="E37" s="286">
        <v>80400000</v>
      </c>
      <c r="F37" s="284"/>
      <c r="G37" s="287">
        <v>80400000</v>
      </c>
      <c r="H37" s="284">
        <v>100</v>
      </c>
      <c r="I37" s="288"/>
      <c r="J37" s="284"/>
      <c r="K37" s="288"/>
      <c r="L37" s="289"/>
    </row>
    <row r="39" spans="1:12" x14ac:dyDescent="0.2">
      <c r="C39" s="247" t="s">
        <v>124</v>
      </c>
      <c r="D39" s="247"/>
    </row>
    <row r="41" spans="1:12" x14ac:dyDescent="0.2">
      <c r="E41" s="360"/>
    </row>
    <row r="42" spans="1:12" x14ac:dyDescent="0.2">
      <c r="E42" s="361"/>
    </row>
    <row r="43" spans="1:12" x14ac:dyDescent="0.2">
      <c r="E43" s="272"/>
    </row>
    <row r="44" spans="1:12" x14ac:dyDescent="0.2">
      <c r="E44" s="360"/>
    </row>
    <row r="45" spans="1:12" x14ac:dyDescent="0.2">
      <c r="E45" s="362"/>
    </row>
    <row r="46" spans="1:12" x14ac:dyDescent="0.2">
      <c r="E46" s="272"/>
    </row>
    <row r="47" spans="1:12" x14ac:dyDescent="0.2">
      <c r="E47" s="360"/>
    </row>
    <row r="48" spans="1:12" x14ac:dyDescent="0.2">
      <c r="E48" s="272"/>
    </row>
    <row r="49" spans="5:5" x14ac:dyDescent="0.2">
      <c r="E49" s="360"/>
    </row>
  </sheetData>
  <mergeCells count="11">
    <mergeCell ref="C3:C4"/>
    <mergeCell ref="B3:B4"/>
    <mergeCell ref="A3:A4"/>
    <mergeCell ref="A1:L1"/>
    <mergeCell ref="G3:H3"/>
    <mergeCell ref="I3:J3"/>
    <mergeCell ref="K3:L3"/>
    <mergeCell ref="F3:F4"/>
    <mergeCell ref="E3:E4"/>
    <mergeCell ref="D3:D4"/>
    <mergeCell ref="K2:L2"/>
  </mergeCells>
  <pageMargins left="0.82" right="0.70866141732283472" top="0.74803149606299213" bottom="0.74803149606299213" header="0.31496062992125984" footer="0.31496062992125984"/>
  <pageSetup paperSize="25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5" sqref="B25"/>
    </sheetView>
  </sheetViews>
  <sheetFormatPr defaultRowHeight="15" x14ac:dyDescent="0.25"/>
  <cols>
    <col min="2" max="2" width="34.5703125" customWidth="1"/>
    <col min="3" max="3" width="20" customWidth="1"/>
    <col min="4" max="4" width="19.7109375" customWidth="1"/>
    <col min="5" max="5" width="20" customWidth="1"/>
    <col min="6" max="6" width="28.85546875" customWidth="1"/>
  </cols>
  <sheetData>
    <row r="2" spans="2:6" x14ac:dyDescent="0.25">
      <c r="B2" s="293" t="s">
        <v>151</v>
      </c>
      <c r="C2" s="293" t="s">
        <v>153</v>
      </c>
      <c r="D2" s="293" t="s">
        <v>152</v>
      </c>
      <c r="E2" s="299" t="s">
        <v>6</v>
      </c>
    </row>
    <row r="3" spans="2:6" x14ac:dyDescent="0.25">
      <c r="B3" s="291" t="s">
        <v>143</v>
      </c>
      <c r="C3" s="294">
        <v>460000000000</v>
      </c>
      <c r="D3" s="294">
        <v>231776863411.01001</v>
      </c>
      <c r="E3" s="298">
        <f>D3/C3*100</f>
        <v>50.386274654567401</v>
      </c>
    </row>
    <row r="4" spans="2:6" x14ac:dyDescent="0.25">
      <c r="B4" s="291" t="s">
        <v>146</v>
      </c>
      <c r="C4" s="295">
        <v>29630296000</v>
      </c>
      <c r="D4" s="296">
        <v>13223394010</v>
      </c>
      <c r="E4" s="298">
        <f t="shared" ref="E4:E6" si="0">D4/C4*100</f>
        <v>44.627951101129739</v>
      </c>
    </row>
    <row r="5" spans="2:6" x14ac:dyDescent="0.25">
      <c r="B5" s="291" t="s">
        <v>145</v>
      </c>
      <c r="C5" s="296">
        <v>59742978532</v>
      </c>
      <c r="D5" s="297">
        <v>45248339106.199997</v>
      </c>
      <c r="E5" s="298">
        <f t="shared" si="0"/>
        <v>75.738338157953962</v>
      </c>
    </row>
    <row r="6" spans="2:6" x14ac:dyDescent="0.25">
      <c r="B6" s="291" t="s">
        <v>154</v>
      </c>
      <c r="C6" s="296">
        <v>107694973336</v>
      </c>
      <c r="D6" s="297">
        <v>88717917807.699997</v>
      </c>
      <c r="E6" s="298">
        <f t="shared" si="0"/>
        <v>82.378884603004593</v>
      </c>
    </row>
    <row r="12" spans="2:6" x14ac:dyDescent="0.25">
      <c r="B12" s="293" t="s">
        <v>151</v>
      </c>
      <c r="C12" s="293" t="s">
        <v>152</v>
      </c>
      <c r="D12" s="293" t="s">
        <v>155</v>
      </c>
      <c r="E12" s="293" t="s">
        <v>156</v>
      </c>
      <c r="F12" s="293" t="s">
        <v>157</v>
      </c>
    </row>
    <row r="13" spans="2:6" x14ac:dyDescent="0.25">
      <c r="B13" s="291" t="s">
        <v>143</v>
      </c>
      <c r="C13" s="294">
        <v>231776863411.01001</v>
      </c>
      <c r="D13" s="298"/>
      <c r="E13" s="298">
        <f>'REKAP '!I6</f>
        <v>117975769020.64</v>
      </c>
      <c r="F13" s="298">
        <f>'REKAP '!K6</f>
        <v>113801094390.37</v>
      </c>
    </row>
    <row r="14" spans="2:6" x14ac:dyDescent="0.25">
      <c r="B14" s="291" t="s">
        <v>146</v>
      </c>
      <c r="C14" s="296">
        <v>13223394010</v>
      </c>
      <c r="D14" s="298">
        <f>'REKAP '!G16</f>
        <v>3233473480</v>
      </c>
      <c r="E14" s="298">
        <f>'REKAP '!I16</f>
        <v>9473460230</v>
      </c>
      <c r="F14" s="298">
        <f>'REKAP '!K16</f>
        <v>516460300</v>
      </c>
    </row>
    <row r="15" spans="2:6" x14ac:dyDescent="0.25">
      <c r="B15" s="291" t="s">
        <v>145</v>
      </c>
      <c r="C15" s="297">
        <v>45248339106.199997</v>
      </c>
      <c r="D15" s="298"/>
      <c r="E15" s="298"/>
      <c r="F15" s="298">
        <f>'REKAP '!K20</f>
        <v>45248339106.199997</v>
      </c>
    </row>
    <row r="16" spans="2:6" x14ac:dyDescent="0.25">
      <c r="B16" s="291" t="s">
        <v>154</v>
      </c>
      <c r="C16" s="297">
        <v>88717917807.699997</v>
      </c>
      <c r="D16" s="298">
        <f>'REKAP '!G26</f>
        <v>10022416178.219999</v>
      </c>
      <c r="E16" s="298">
        <f>'REKAP '!I26</f>
        <v>66253859359.68</v>
      </c>
      <c r="F16" s="298">
        <f>'REKAP '!K26</f>
        <v>12441642269.799999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N12" sqref="N12"/>
    </sheetView>
  </sheetViews>
  <sheetFormatPr defaultRowHeight="15" x14ac:dyDescent="0.25"/>
  <cols>
    <col min="3" max="3" width="30.28515625" customWidth="1"/>
    <col min="4" max="4" width="6.7109375" customWidth="1"/>
    <col min="5" max="5" width="17.140625" customWidth="1"/>
    <col min="6" max="6" width="9.42578125" customWidth="1"/>
    <col min="7" max="7" width="6.42578125" customWidth="1"/>
    <col min="8" max="8" width="19.5703125" customWidth="1"/>
    <col min="9" max="9" width="9.28515625" customWidth="1"/>
    <col min="10" max="10" width="7.42578125" customWidth="1"/>
    <col min="11" max="11" width="21" customWidth="1"/>
    <col min="12" max="12" width="9.5703125" customWidth="1"/>
    <col min="14" max="14" width="20.85546875" customWidth="1"/>
    <col min="15" max="15" width="29.85546875" customWidth="1"/>
    <col min="16" max="16" width="22" customWidth="1"/>
  </cols>
  <sheetData>
    <row r="1" spans="1:16" x14ac:dyDescent="0.25">
      <c r="A1" s="430" t="s">
        <v>135</v>
      </c>
      <c r="B1" s="431" t="s">
        <v>136</v>
      </c>
      <c r="C1" s="431" t="s">
        <v>137</v>
      </c>
      <c r="D1" s="432" t="s">
        <v>139</v>
      </c>
      <c r="E1" s="433"/>
      <c r="F1" s="434"/>
      <c r="G1" s="432" t="s">
        <v>140</v>
      </c>
      <c r="H1" s="433"/>
      <c r="I1" s="434"/>
      <c r="J1" s="432" t="s">
        <v>5</v>
      </c>
      <c r="K1" s="433"/>
      <c r="L1" s="435"/>
      <c r="N1" s="436" t="s">
        <v>160</v>
      </c>
    </row>
    <row r="2" spans="1:16" ht="15.75" thickBot="1" x14ac:dyDescent="0.3">
      <c r="A2" s="437"/>
      <c r="B2" s="438"/>
      <c r="C2" s="438"/>
      <c r="D2" s="439"/>
      <c r="E2" s="439" t="s">
        <v>7</v>
      </c>
      <c r="F2" s="440" t="s">
        <v>6</v>
      </c>
      <c r="G2" s="440"/>
      <c r="H2" s="441" t="s">
        <v>141</v>
      </c>
      <c r="I2" s="440" t="s">
        <v>6</v>
      </c>
      <c r="J2" s="440"/>
      <c r="K2" s="441" t="s">
        <v>142</v>
      </c>
      <c r="L2" s="442" t="s">
        <v>6</v>
      </c>
      <c r="N2" s="436"/>
    </row>
    <row r="3" spans="1:16" ht="15.75" thickTop="1" x14ac:dyDescent="0.25">
      <c r="A3" s="443">
        <v>1</v>
      </c>
      <c r="B3" s="444" t="s">
        <v>12</v>
      </c>
      <c r="C3" s="445" t="s">
        <v>143</v>
      </c>
      <c r="D3" s="446"/>
      <c r="E3" s="447"/>
      <c r="F3" s="448"/>
      <c r="G3" s="449"/>
      <c r="H3" s="450"/>
      <c r="I3" s="451">
        <v>0</v>
      </c>
      <c r="J3" s="452"/>
      <c r="K3" s="450"/>
      <c r="L3" s="453">
        <v>0</v>
      </c>
    </row>
    <row r="4" spans="1:16" x14ac:dyDescent="0.25">
      <c r="A4" s="454"/>
      <c r="B4" s="455" t="s">
        <v>14</v>
      </c>
      <c r="C4" s="456" t="s">
        <v>15</v>
      </c>
      <c r="D4" s="456"/>
      <c r="E4" s="457"/>
      <c r="F4" s="458"/>
      <c r="G4" s="459">
        <v>172</v>
      </c>
      <c r="H4" s="460">
        <v>1322184935</v>
      </c>
      <c r="I4" s="461"/>
      <c r="J4" s="462">
        <v>48</v>
      </c>
      <c r="K4" s="460">
        <v>303492020</v>
      </c>
      <c r="L4" s="463"/>
      <c r="N4" s="464">
        <f>H4+K4</f>
        <v>1625676955</v>
      </c>
      <c r="O4" s="464"/>
    </row>
    <row r="5" spans="1:16" x14ac:dyDescent="0.25">
      <c r="A5" s="454"/>
      <c r="B5" s="465" t="s">
        <v>16</v>
      </c>
      <c r="C5" s="456" t="s">
        <v>17</v>
      </c>
      <c r="D5" s="456"/>
      <c r="E5" s="466"/>
      <c r="F5" s="458"/>
      <c r="G5" s="459">
        <v>614</v>
      </c>
      <c r="H5" s="460">
        <v>3581625003</v>
      </c>
      <c r="I5" s="461"/>
      <c r="J5" s="462">
        <v>171</v>
      </c>
      <c r="K5" s="460">
        <v>2303356728</v>
      </c>
      <c r="L5" s="463"/>
      <c r="N5" s="464">
        <f t="shared" ref="N5:N13" si="0">H5+K5</f>
        <v>5884981731</v>
      </c>
      <c r="O5" s="464"/>
      <c r="P5" s="464"/>
    </row>
    <row r="6" spans="1:16" x14ac:dyDescent="0.25">
      <c r="A6" s="454"/>
      <c r="B6" s="465" t="s">
        <v>18</v>
      </c>
      <c r="C6" s="456" t="s">
        <v>19</v>
      </c>
      <c r="D6" s="456"/>
      <c r="E6" s="466"/>
      <c r="F6" s="458"/>
      <c r="G6" s="459">
        <v>39</v>
      </c>
      <c r="H6" s="460">
        <v>78400106</v>
      </c>
      <c r="I6" s="461"/>
      <c r="J6" s="462">
        <v>9</v>
      </c>
      <c r="K6" s="460">
        <v>14489225</v>
      </c>
      <c r="L6" s="463"/>
      <c r="N6" s="464">
        <f t="shared" si="0"/>
        <v>92889331</v>
      </c>
      <c r="O6" s="464"/>
      <c r="P6" s="464"/>
    </row>
    <row r="7" spans="1:16" x14ac:dyDescent="0.25">
      <c r="A7" s="454"/>
      <c r="B7" s="465" t="s">
        <v>20</v>
      </c>
      <c r="C7" s="456" t="s">
        <v>21</v>
      </c>
      <c r="D7" s="456"/>
      <c r="E7" s="466"/>
      <c r="F7" s="458"/>
      <c r="G7" s="459">
        <v>17</v>
      </c>
      <c r="H7" s="460">
        <v>138961097.13</v>
      </c>
      <c r="I7" s="461"/>
      <c r="J7" s="462"/>
      <c r="K7" s="460"/>
      <c r="L7" s="463"/>
      <c r="N7" s="464">
        <f t="shared" si="0"/>
        <v>138961097.13</v>
      </c>
      <c r="O7" s="464"/>
      <c r="P7" s="464"/>
    </row>
    <row r="8" spans="1:16" x14ac:dyDescent="0.25">
      <c r="A8" s="454"/>
      <c r="B8" s="465" t="s">
        <v>22</v>
      </c>
      <c r="C8" s="456" t="s">
        <v>23</v>
      </c>
      <c r="D8" s="456"/>
      <c r="E8" s="466"/>
      <c r="F8" s="458"/>
      <c r="G8" s="459"/>
      <c r="H8" s="460">
        <v>6951585839</v>
      </c>
      <c r="I8" s="461"/>
      <c r="J8" s="462"/>
      <c r="K8" s="460"/>
      <c r="L8" s="463"/>
      <c r="N8" s="464">
        <f t="shared" si="0"/>
        <v>6951585839</v>
      </c>
      <c r="O8" s="464"/>
    </row>
    <row r="9" spans="1:16" x14ac:dyDescent="0.25">
      <c r="A9" s="454"/>
      <c r="B9" s="465" t="s">
        <v>24</v>
      </c>
      <c r="C9" s="456" t="s">
        <v>25</v>
      </c>
      <c r="D9" s="456"/>
      <c r="E9" s="466"/>
      <c r="F9" s="458"/>
      <c r="G9" s="459">
        <v>90</v>
      </c>
      <c r="H9" s="460">
        <v>127165336</v>
      </c>
      <c r="I9" s="461"/>
      <c r="J9" s="462">
        <v>13</v>
      </c>
      <c r="K9" s="460">
        <v>351173900</v>
      </c>
      <c r="L9" s="463"/>
      <c r="N9" s="464">
        <f t="shared" si="0"/>
        <v>478339236</v>
      </c>
      <c r="O9" s="464"/>
      <c r="P9" s="464"/>
    </row>
    <row r="10" spans="1:16" x14ac:dyDescent="0.25">
      <c r="A10" s="454"/>
      <c r="B10" s="465" t="s">
        <v>26</v>
      </c>
      <c r="C10" s="456" t="s">
        <v>27</v>
      </c>
      <c r="D10" s="456"/>
      <c r="E10" s="466"/>
      <c r="F10" s="458"/>
      <c r="G10" s="459">
        <v>539</v>
      </c>
      <c r="H10" s="460">
        <v>255246876</v>
      </c>
      <c r="I10" s="461"/>
      <c r="J10" s="462">
        <v>101</v>
      </c>
      <c r="K10" s="460">
        <v>50035415</v>
      </c>
      <c r="L10" s="463"/>
      <c r="N10" s="464">
        <f t="shared" si="0"/>
        <v>305282291</v>
      </c>
      <c r="O10" s="464"/>
      <c r="P10" s="464"/>
    </row>
    <row r="11" spans="1:16" x14ac:dyDescent="0.25">
      <c r="A11" s="454"/>
      <c r="B11" s="465" t="s">
        <v>28</v>
      </c>
      <c r="C11" s="456" t="s">
        <v>118</v>
      </c>
      <c r="D11" s="456"/>
      <c r="E11" s="466"/>
      <c r="F11" s="458"/>
      <c r="G11" s="459"/>
      <c r="H11" s="460">
        <v>5819851360</v>
      </c>
      <c r="I11" s="461"/>
      <c r="J11" s="462"/>
      <c r="K11" s="460">
        <v>1450346602</v>
      </c>
      <c r="L11" s="463"/>
      <c r="N11" s="464">
        <f t="shared" si="0"/>
        <v>7270197962</v>
      </c>
      <c r="O11" s="464"/>
      <c r="P11" s="464"/>
    </row>
    <row r="12" spans="1:16" x14ac:dyDescent="0.25">
      <c r="A12" s="454"/>
      <c r="B12" s="465" t="s">
        <v>29</v>
      </c>
      <c r="C12" s="456" t="s">
        <v>119</v>
      </c>
      <c r="D12" s="456"/>
      <c r="E12" s="467"/>
      <c r="F12" s="458"/>
      <c r="G12" s="459">
        <v>657</v>
      </c>
      <c r="H12" s="460">
        <v>35776109902</v>
      </c>
      <c r="I12" s="461"/>
      <c r="J12" s="462">
        <v>7</v>
      </c>
      <c r="K12" s="460">
        <v>337336655</v>
      </c>
      <c r="L12" s="463"/>
      <c r="N12" s="464">
        <f t="shared" si="0"/>
        <v>36113446557</v>
      </c>
      <c r="O12" s="464"/>
    </row>
    <row r="13" spans="1:16" x14ac:dyDescent="0.25">
      <c r="A13" s="468"/>
      <c r="B13" s="469"/>
      <c r="C13" s="470" t="s">
        <v>161</v>
      </c>
      <c r="D13" s="471"/>
      <c r="E13" s="472"/>
      <c r="F13" s="451"/>
      <c r="G13" s="451"/>
      <c r="H13" s="472">
        <f>SUM(H4:H12)</f>
        <v>54051130454.130005</v>
      </c>
      <c r="I13" s="451">
        <v>0</v>
      </c>
      <c r="J13" s="451"/>
      <c r="K13" s="473">
        <f>SUM(K4:K12)</f>
        <v>4810230545</v>
      </c>
      <c r="L13" s="474">
        <v>0</v>
      </c>
      <c r="N13" s="464">
        <f t="shared" si="0"/>
        <v>58861360999.130005</v>
      </c>
      <c r="O13" s="464"/>
    </row>
    <row r="16" spans="1:16" x14ac:dyDescent="0.25">
      <c r="H16" s="475">
        <f>H13+K13</f>
        <v>58861360999.130005</v>
      </c>
      <c r="K16" s="476"/>
    </row>
    <row r="17" spans="8:11" x14ac:dyDescent="0.25">
      <c r="H17" s="476"/>
      <c r="K17" s="476"/>
    </row>
    <row r="18" spans="8:11" x14ac:dyDescent="0.25">
      <c r="H18" s="476"/>
      <c r="K18" s="476"/>
    </row>
    <row r="19" spans="8:11" x14ac:dyDescent="0.25">
      <c r="H19" s="477"/>
      <c r="K19" s="477"/>
    </row>
    <row r="20" spans="8:11" x14ac:dyDescent="0.25">
      <c r="H20" s="476"/>
      <c r="K20" s="476"/>
    </row>
    <row r="21" spans="8:11" x14ac:dyDescent="0.25">
      <c r="H21" s="476"/>
      <c r="K21" s="476"/>
    </row>
  </sheetData>
  <mergeCells count="7">
    <mergeCell ref="N1:N2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K5" sqref="K5"/>
    </sheetView>
  </sheetViews>
  <sheetFormatPr defaultRowHeight="15" x14ac:dyDescent="0.25"/>
  <cols>
    <col min="1" max="1" width="29.28515625" style="298" bestFit="1" customWidth="1"/>
    <col min="2" max="2" width="8" style="298" bestFit="1" customWidth="1"/>
    <col min="3" max="3" width="29.28515625" style="298" bestFit="1" customWidth="1"/>
    <col min="4" max="5" width="15.28515625" style="298" bestFit="1" customWidth="1"/>
    <col min="6" max="6" width="18" style="298" bestFit="1" customWidth="1"/>
    <col min="7" max="7" width="9.28515625" style="298" bestFit="1" customWidth="1"/>
    <col min="8" max="8" width="20" style="298" bestFit="1" customWidth="1"/>
    <col min="9" max="9" width="18" style="298" bestFit="1" customWidth="1"/>
    <col min="10" max="10" width="9.140625" style="298"/>
    <col min="11" max="11" width="15.28515625" style="298" bestFit="1" customWidth="1"/>
    <col min="12" max="16384" width="9.140625" style="298"/>
  </cols>
  <sheetData>
    <row r="1" spans="1:11" ht="15.75" thickBot="1" x14ac:dyDescent="0.3">
      <c r="A1" s="482"/>
      <c r="B1" s="483"/>
      <c r="C1" s="483"/>
      <c r="D1" s="483"/>
      <c r="E1" s="483"/>
      <c r="F1" s="483"/>
      <c r="G1" s="483"/>
      <c r="H1" s="483"/>
      <c r="I1" s="484"/>
    </row>
    <row r="2" spans="1:11" x14ac:dyDescent="0.25">
      <c r="A2" s="485" t="s">
        <v>1</v>
      </c>
      <c r="B2" s="486" t="s">
        <v>162</v>
      </c>
      <c r="C2" s="487" t="s">
        <v>163</v>
      </c>
      <c r="D2" s="488"/>
      <c r="E2" s="488"/>
      <c r="F2" s="488"/>
      <c r="G2" s="488"/>
      <c r="H2" s="489"/>
      <c r="I2" s="490" t="s">
        <v>164</v>
      </c>
      <c r="J2" s="481"/>
    </row>
    <row r="3" spans="1:11" ht="15.75" thickBot="1" x14ac:dyDescent="0.3">
      <c r="A3" s="491"/>
      <c r="B3" s="479"/>
      <c r="C3" s="480" t="s">
        <v>165</v>
      </c>
      <c r="D3" s="480" t="s">
        <v>166</v>
      </c>
      <c r="E3" s="480" t="s">
        <v>167</v>
      </c>
      <c r="F3" s="480" t="s">
        <v>168</v>
      </c>
      <c r="G3" s="480" t="s">
        <v>169</v>
      </c>
      <c r="H3" s="480" t="s">
        <v>170</v>
      </c>
      <c r="I3" s="492"/>
      <c r="J3" s="481"/>
    </row>
    <row r="4" spans="1:11" ht="15.75" thickTop="1" x14ac:dyDescent="0.25">
      <c r="A4" s="493" t="s">
        <v>171</v>
      </c>
      <c r="B4" s="478">
        <v>0</v>
      </c>
      <c r="C4" s="478">
        <v>637742</v>
      </c>
      <c r="D4" s="478">
        <v>8671840</v>
      </c>
      <c r="E4" s="478">
        <v>27992748.699999999</v>
      </c>
      <c r="F4" s="478">
        <v>893527286</v>
      </c>
      <c r="G4" s="478">
        <v>0</v>
      </c>
      <c r="H4" s="478">
        <v>0</v>
      </c>
      <c r="I4" s="494">
        <v>930829616.70000005</v>
      </c>
      <c r="J4" s="481"/>
      <c r="K4" s="298">
        <f>C4+D4+E4+F4</f>
        <v>930829616.70000005</v>
      </c>
    </row>
    <row r="5" spans="1:11" x14ac:dyDescent="0.25">
      <c r="A5" s="495" t="s">
        <v>15</v>
      </c>
      <c r="C5" s="298">
        <v>637742</v>
      </c>
      <c r="D5" s="298">
        <v>5157685</v>
      </c>
      <c r="E5" s="298">
        <v>27992748.699999999</v>
      </c>
      <c r="F5" s="298">
        <v>890055886</v>
      </c>
      <c r="I5" s="496">
        <v>923844061.70000005</v>
      </c>
      <c r="J5" s="481"/>
    </row>
    <row r="6" spans="1:11" x14ac:dyDescent="0.25">
      <c r="A6" s="495" t="s">
        <v>172</v>
      </c>
      <c r="F6" s="298">
        <v>500000</v>
      </c>
      <c r="I6" s="496">
        <v>500000</v>
      </c>
      <c r="J6" s="481"/>
    </row>
    <row r="7" spans="1:11" x14ac:dyDescent="0.25">
      <c r="A7" s="495" t="s">
        <v>173</v>
      </c>
      <c r="F7" s="298">
        <v>2971400</v>
      </c>
      <c r="I7" s="496">
        <v>2971400</v>
      </c>
      <c r="J7" s="481"/>
    </row>
    <row r="8" spans="1:11" x14ac:dyDescent="0.25">
      <c r="A8" s="495" t="s">
        <v>172</v>
      </c>
      <c r="I8" s="496">
        <v>0</v>
      </c>
      <c r="J8" s="481"/>
    </row>
    <row r="9" spans="1:11" x14ac:dyDescent="0.25">
      <c r="A9" s="495" t="s">
        <v>174</v>
      </c>
      <c r="D9" s="298">
        <v>3514155</v>
      </c>
      <c r="I9" s="496">
        <v>3514155</v>
      </c>
      <c r="J9" s="481"/>
    </row>
    <row r="10" spans="1:11" x14ac:dyDescent="0.25">
      <c r="A10" s="495" t="s">
        <v>172</v>
      </c>
      <c r="I10" s="496">
        <v>0</v>
      </c>
      <c r="J10" s="481"/>
    </row>
    <row r="11" spans="1:11" x14ac:dyDescent="0.25">
      <c r="A11" s="495"/>
      <c r="I11" s="496"/>
      <c r="J11" s="481"/>
    </row>
    <row r="12" spans="1:11" x14ac:dyDescent="0.25">
      <c r="A12" s="495" t="s">
        <v>175</v>
      </c>
      <c r="B12" s="298">
        <v>0</v>
      </c>
      <c r="C12" s="298">
        <v>121526182</v>
      </c>
      <c r="D12" s="298">
        <v>177513510</v>
      </c>
      <c r="E12" s="298">
        <v>76857960.299999997</v>
      </c>
      <c r="F12" s="298">
        <v>4635775284</v>
      </c>
      <c r="G12" s="298">
        <v>0</v>
      </c>
      <c r="H12" s="298">
        <v>0</v>
      </c>
      <c r="I12" s="496">
        <v>5011672936.3000002</v>
      </c>
      <c r="J12" s="481"/>
    </row>
    <row r="13" spans="1:11" x14ac:dyDescent="0.25">
      <c r="A13" s="495" t="s">
        <v>176</v>
      </c>
      <c r="C13" s="298">
        <v>120923989</v>
      </c>
      <c r="D13" s="298">
        <v>57053953</v>
      </c>
      <c r="E13" s="298">
        <v>76857960.299999997</v>
      </c>
      <c r="F13" s="298">
        <v>3507831546.5999999</v>
      </c>
      <c r="I13" s="496">
        <v>3762667448.9000001</v>
      </c>
      <c r="J13" s="481"/>
    </row>
    <row r="14" spans="1:11" x14ac:dyDescent="0.25">
      <c r="A14" s="495" t="s">
        <v>172</v>
      </c>
      <c r="I14" s="496">
        <v>0</v>
      </c>
      <c r="J14" s="481"/>
    </row>
    <row r="15" spans="1:11" x14ac:dyDescent="0.25">
      <c r="A15" s="495" t="s">
        <v>177</v>
      </c>
      <c r="C15" s="298">
        <v>602193</v>
      </c>
      <c r="D15" s="298">
        <v>120037156</v>
      </c>
      <c r="F15" s="298">
        <v>932625858.39999998</v>
      </c>
      <c r="I15" s="496">
        <v>1053265207.4</v>
      </c>
      <c r="J15" s="481"/>
    </row>
    <row r="16" spans="1:11" x14ac:dyDescent="0.25">
      <c r="A16" s="495" t="s">
        <v>172</v>
      </c>
      <c r="I16" s="496">
        <v>0</v>
      </c>
      <c r="J16" s="481"/>
    </row>
    <row r="17" spans="1:10" x14ac:dyDescent="0.25">
      <c r="A17" s="495" t="s">
        <v>178</v>
      </c>
      <c r="D17" s="298">
        <v>422401</v>
      </c>
      <c r="F17" s="298">
        <v>167148211</v>
      </c>
      <c r="I17" s="496">
        <v>167570612</v>
      </c>
      <c r="J17" s="481"/>
    </row>
    <row r="18" spans="1:10" x14ac:dyDescent="0.25">
      <c r="A18" s="495" t="s">
        <v>172</v>
      </c>
      <c r="F18" s="298">
        <v>3170132</v>
      </c>
      <c r="I18" s="496">
        <v>3170132</v>
      </c>
      <c r="J18" s="481"/>
    </row>
    <row r="19" spans="1:10" x14ac:dyDescent="0.25">
      <c r="A19" s="495" t="s">
        <v>179</v>
      </c>
      <c r="F19" s="298">
        <v>24999536</v>
      </c>
      <c r="I19" s="496">
        <v>24999536</v>
      </c>
      <c r="J19" s="481"/>
    </row>
    <row r="20" spans="1:10" x14ac:dyDescent="0.25">
      <c r="A20" s="495" t="s">
        <v>172</v>
      </c>
      <c r="I20" s="496">
        <v>0</v>
      </c>
      <c r="J20" s="481"/>
    </row>
    <row r="21" spans="1:10" x14ac:dyDescent="0.25">
      <c r="A21" s="495" t="s">
        <v>180</v>
      </c>
      <c r="I21" s="496">
        <v>0</v>
      </c>
      <c r="J21" s="481"/>
    </row>
    <row r="22" spans="1:10" x14ac:dyDescent="0.25">
      <c r="A22" s="495" t="s">
        <v>172</v>
      </c>
      <c r="I22" s="496">
        <v>0</v>
      </c>
      <c r="J22" s="481"/>
    </row>
    <row r="23" spans="1:10" x14ac:dyDescent="0.25">
      <c r="A23" s="495"/>
      <c r="I23" s="496"/>
      <c r="J23" s="481"/>
    </row>
    <row r="24" spans="1:10" x14ac:dyDescent="0.25">
      <c r="A24" s="495" t="s">
        <v>181</v>
      </c>
      <c r="B24" s="298">
        <v>0</v>
      </c>
      <c r="C24" s="298">
        <v>0</v>
      </c>
      <c r="D24" s="298">
        <v>8358400</v>
      </c>
      <c r="E24" s="298">
        <v>110926375</v>
      </c>
      <c r="F24" s="298">
        <v>432023363.39999998</v>
      </c>
      <c r="G24" s="298">
        <v>0</v>
      </c>
      <c r="H24" s="298">
        <v>0</v>
      </c>
      <c r="I24" s="496">
        <v>551308138.39999998</v>
      </c>
      <c r="J24" s="481"/>
    </row>
    <row r="25" spans="1:10" x14ac:dyDescent="0.25">
      <c r="A25" s="495" t="s">
        <v>182</v>
      </c>
      <c r="F25" s="298">
        <v>248494090</v>
      </c>
      <c r="I25" s="496">
        <v>248494090</v>
      </c>
      <c r="J25" s="481"/>
    </row>
    <row r="26" spans="1:10" x14ac:dyDescent="0.25">
      <c r="A26" s="495" t="s">
        <v>172</v>
      </c>
      <c r="I26" s="496">
        <v>0</v>
      </c>
      <c r="J26" s="481"/>
    </row>
    <row r="27" spans="1:10" x14ac:dyDescent="0.25">
      <c r="A27" s="495" t="s">
        <v>183</v>
      </c>
      <c r="I27" s="496">
        <v>0</v>
      </c>
      <c r="J27" s="481"/>
    </row>
    <row r="28" spans="1:10" x14ac:dyDescent="0.25">
      <c r="A28" s="495" t="s">
        <v>172</v>
      </c>
      <c r="I28" s="496">
        <v>0</v>
      </c>
      <c r="J28" s="481"/>
    </row>
    <row r="29" spans="1:10" x14ac:dyDescent="0.25">
      <c r="A29" s="495" t="s">
        <v>184</v>
      </c>
      <c r="E29" s="298">
        <v>107125920</v>
      </c>
      <c r="F29" s="298">
        <v>3237437</v>
      </c>
      <c r="I29" s="496">
        <v>110363357</v>
      </c>
      <c r="J29" s="481"/>
    </row>
    <row r="30" spans="1:10" x14ac:dyDescent="0.25">
      <c r="A30" s="495" t="s">
        <v>172</v>
      </c>
      <c r="I30" s="496">
        <v>0</v>
      </c>
      <c r="J30" s="481"/>
    </row>
    <row r="31" spans="1:10" x14ac:dyDescent="0.25">
      <c r="A31" s="495" t="s">
        <v>185</v>
      </c>
      <c r="I31" s="496">
        <v>0</v>
      </c>
      <c r="J31" s="481"/>
    </row>
    <row r="32" spans="1:10" x14ac:dyDescent="0.25">
      <c r="A32" s="495" t="s">
        <v>172</v>
      </c>
      <c r="I32" s="496">
        <v>0</v>
      </c>
      <c r="J32" s="481"/>
    </row>
    <row r="33" spans="1:10" x14ac:dyDescent="0.25">
      <c r="A33" s="495" t="s">
        <v>186</v>
      </c>
      <c r="F33" s="298">
        <v>97167836</v>
      </c>
      <c r="I33" s="496">
        <v>97167836</v>
      </c>
      <c r="J33" s="481"/>
    </row>
    <row r="34" spans="1:10" x14ac:dyDescent="0.25">
      <c r="A34" s="495" t="s">
        <v>172</v>
      </c>
      <c r="I34" s="496">
        <v>0</v>
      </c>
      <c r="J34" s="481"/>
    </row>
    <row r="35" spans="1:10" x14ac:dyDescent="0.25">
      <c r="A35" s="495" t="s">
        <v>187</v>
      </c>
      <c r="D35" s="298">
        <v>7724400</v>
      </c>
      <c r="E35" s="298">
        <v>3800455</v>
      </c>
      <c r="F35" s="298">
        <v>70568182</v>
      </c>
      <c r="I35" s="496">
        <v>82093037</v>
      </c>
      <c r="J35" s="481"/>
    </row>
    <row r="36" spans="1:10" x14ac:dyDescent="0.25">
      <c r="A36" s="495" t="s">
        <v>172</v>
      </c>
      <c r="I36" s="496">
        <v>0</v>
      </c>
      <c r="J36" s="481"/>
    </row>
    <row r="37" spans="1:10" x14ac:dyDescent="0.25">
      <c r="A37" s="495" t="s">
        <v>188</v>
      </c>
      <c r="D37" s="298">
        <v>634000</v>
      </c>
      <c r="F37" s="298">
        <v>12555818.4</v>
      </c>
      <c r="I37" s="496">
        <v>13189818.4</v>
      </c>
      <c r="J37" s="481"/>
    </row>
    <row r="38" spans="1:10" x14ac:dyDescent="0.25">
      <c r="A38" s="495" t="s">
        <v>172</v>
      </c>
      <c r="I38" s="496">
        <v>0</v>
      </c>
      <c r="J38" s="481"/>
    </row>
    <row r="39" spans="1:10" x14ac:dyDescent="0.25">
      <c r="A39" s="495"/>
      <c r="I39" s="496"/>
      <c r="J39" s="481"/>
    </row>
    <row r="40" spans="1:10" x14ac:dyDescent="0.25">
      <c r="A40" s="495" t="s">
        <v>189</v>
      </c>
      <c r="B40" s="298">
        <v>0</v>
      </c>
      <c r="C40" s="298">
        <v>0</v>
      </c>
      <c r="D40" s="298">
        <v>0</v>
      </c>
      <c r="E40" s="298">
        <v>0</v>
      </c>
      <c r="F40" s="298">
        <v>7178175</v>
      </c>
      <c r="G40" s="298">
        <v>0</v>
      </c>
      <c r="H40" s="298">
        <v>0</v>
      </c>
      <c r="I40" s="496">
        <v>7178175</v>
      </c>
      <c r="J40" s="481"/>
    </row>
    <row r="41" spans="1:10" x14ac:dyDescent="0.25">
      <c r="A41" s="495" t="s">
        <v>21</v>
      </c>
      <c r="F41" s="298">
        <v>7178175</v>
      </c>
      <c r="I41" s="496"/>
      <c r="J41" s="481"/>
    </row>
    <row r="42" spans="1:10" x14ac:dyDescent="0.25">
      <c r="A42" s="495" t="s">
        <v>190</v>
      </c>
      <c r="I42" s="496"/>
      <c r="J42" s="481"/>
    </row>
    <row r="43" spans="1:10" x14ac:dyDescent="0.25">
      <c r="A43" s="495" t="s">
        <v>191</v>
      </c>
      <c r="F43" s="298">
        <v>7585664080</v>
      </c>
      <c r="I43" s="496">
        <v>7585664080</v>
      </c>
      <c r="J43" s="481"/>
    </row>
    <row r="44" spans="1:10" x14ac:dyDescent="0.25">
      <c r="A44" s="495" t="s">
        <v>192</v>
      </c>
      <c r="B44" s="298">
        <v>0</v>
      </c>
      <c r="C44" s="298">
        <v>0</v>
      </c>
      <c r="D44" s="298">
        <v>0</v>
      </c>
      <c r="E44" s="298">
        <v>0</v>
      </c>
      <c r="F44" s="298">
        <v>132858600</v>
      </c>
      <c r="G44" s="298">
        <v>0</v>
      </c>
      <c r="H44" s="298">
        <v>0</v>
      </c>
      <c r="I44" s="496">
        <v>132858600</v>
      </c>
      <c r="J44" s="481"/>
    </row>
    <row r="45" spans="1:10" x14ac:dyDescent="0.25">
      <c r="A45" s="495" t="s">
        <v>25</v>
      </c>
      <c r="F45" s="298">
        <v>132858600</v>
      </c>
      <c r="I45" s="496"/>
      <c r="J45" s="481"/>
    </row>
    <row r="46" spans="1:10" x14ac:dyDescent="0.25">
      <c r="A46" s="495" t="s">
        <v>193</v>
      </c>
      <c r="I46" s="496"/>
      <c r="J46" s="481"/>
    </row>
    <row r="47" spans="1:10" x14ac:dyDescent="0.25">
      <c r="A47" s="495" t="s">
        <v>194</v>
      </c>
      <c r="B47" s="298">
        <v>0</v>
      </c>
      <c r="C47" s="298">
        <v>3447360</v>
      </c>
      <c r="D47" s="298">
        <v>3969632</v>
      </c>
      <c r="E47" s="298">
        <v>6571872</v>
      </c>
      <c r="F47" s="298">
        <v>42550272</v>
      </c>
      <c r="G47" s="298">
        <v>0</v>
      </c>
      <c r="H47" s="298">
        <v>0</v>
      </c>
      <c r="I47" s="496">
        <v>56539136</v>
      </c>
      <c r="J47" s="481"/>
    </row>
    <row r="48" spans="1:10" x14ac:dyDescent="0.25">
      <c r="A48" s="495" t="s">
        <v>27</v>
      </c>
      <c r="C48" s="298">
        <v>3447360</v>
      </c>
      <c r="D48" s="298">
        <v>3969632</v>
      </c>
      <c r="E48" s="298">
        <v>6571872</v>
      </c>
      <c r="F48" s="298">
        <v>42550272</v>
      </c>
      <c r="I48" s="496"/>
      <c r="J48" s="481"/>
    </row>
    <row r="49" spans="1:10" x14ac:dyDescent="0.25">
      <c r="A49" s="495" t="s">
        <v>195</v>
      </c>
      <c r="I49" s="496"/>
      <c r="J49" s="481"/>
    </row>
    <row r="50" spans="1:10" x14ac:dyDescent="0.25">
      <c r="A50" s="495" t="s">
        <v>196</v>
      </c>
      <c r="B50" s="298">
        <v>0</v>
      </c>
      <c r="C50" s="298">
        <v>0</v>
      </c>
      <c r="D50" s="298">
        <v>0</v>
      </c>
      <c r="E50" s="298">
        <v>0</v>
      </c>
      <c r="F50" s="298">
        <v>0</v>
      </c>
      <c r="G50" s="298">
        <v>0</v>
      </c>
      <c r="H50" s="298">
        <v>0</v>
      </c>
      <c r="I50" s="496">
        <v>0</v>
      </c>
      <c r="J50" s="481"/>
    </row>
    <row r="51" spans="1:10" x14ac:dyDescent="0.25">
      <c r="A51" s="495" t="s">
        <v>197</v>
      </c>
      <c r="I51" s="496"/>
      <c r="J51" s="481"/>
    </row>
    <row r="52" spans="1:10" x14ac:dyDescent="0.25">
      <c r="A52" s="495" t="s">
        <v>198</v>
      </c>
      <c r="I52" s="496"/>
      <c r="J52" s="481"/>
    </row>
    <row r="53" spans="1:10" x14ac:dyDescent="0.25">
      <c r="A53" s="495" t="s">
        <v>199</v>
      </c>
      <c r="F53" s="298">
        <v>11682395649</v>
      </c>
      <c r="I53" s="496">
        <v>11682395649</v>
      </c>
      <c r="J53" s="481"/>
    </row>
    <row r="54" spans="1:10" x14ac:dyDescent="0.25">
      <c r="A54" s="495" t="s">
        <v>200</v>
      </c>
      <c r="F54" s="298">
        <v>3060100</v>
      </c>
      <c r="I54" s="496">
        <v>3060100</v>
      </c>
      <c r="J54" s="481"/>
    </row>
    <row r="55" spans="1:10" x14ac:dyDescent="0.25">
      <c r="A55" s="495"/>
      <c r="I55" s="496"/>
      <c r="J55" s="481"/>
    </row>
    <row r="56" spans="1:10" ht="15.75" thickBot="1" x14ac:dyDescent="0.3">
      <c r="A56" s="497" t="s">
        <v>164</v>
      </c>
      <c r="B56" s="498">
        <v>0</v>
      </c>
      <c r="C56" s="498">
        <v>125611284</v>
      </c>
      <c r="D56" s="498">
        <v>198513382</v>
      </c>
      <c r="E56" s="498">
        <v>222348956</v>
      </c>
      <c r="F56" s="498">
        <v>25415032809.400002</v>
      </c>
      <c r="G56" s="498">
        <v>0</v>
      </c>
      <c r="H56" s="498">
        <v>0</v>
      </c>
      <c r="I56" s="499">
        <v>25961506431.400002</v>
      </c>
      <c r="J56" s="481"/>
    </row>
    <row r="57" spans="1:10" x14ac:dyDescent="0.25">
      <c r="A57" s="478"/>
      <c r="B57" s="478"/>
      <c r="C57" s="478"/>
      <c r="D57" s="478"/>
      <c r="E57" s="478"/>
      <c r="F57" s="478"/>
      <c r="G57" s="478"/>
      <c r="H57" s="478"/>
      <c r="I57" s="478"/>
    </row>
  </sheetData>
  <mergeCells count="5">
    <mergeCell ref="A1:I1"/>
    <mergeCell ref="C2:H2"/>
    <mergeCell ref="A2:A3"/>
    <mergeCell ref="B2:B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1" zoomScale="80" zoomScaleNormal="80" workbookViewId="0">
      <selection activeCell="N52" sqref="N52"/>
    </sheetView>
  </sheetViews>
  <sheetFormatPr defaultRowHeight="15" x14ac:dyDescent="0.25"/>
  <cols>
    <col min="1" max="1" width="29.140625" customWidth="1"/>
    <col min="2" max="2" width="12.140625" customWidth="1"/>
    <col min="3" max="3" width="7.5703125" customWidth="1"/>
    <col min="4" max="4" width="18.140625" customWidth="1"/>
    <col min="5" max="5" width="7.85546875" customWidth="1"/>
    <col min="6" max="6" width="20.85546875" customWidth="1"/>
    <col min="7" max="7" width="18.5703125" customWidth="1"/>
    <col min="8" max="8" width="16.5703125" customWidth="1"/>
    <col min="9" max="9" width="20.140625" customWidth="1"/>
    <col min="10" max="10" width="14.85546875" customWidth="1"/>
    <col min="11" max="11" width="18.5703125" customWidth="1"/>
    <col min="12" max="12" width="19.28515625" customWidth="1"/>
    <col min="13" max="13" width="13.85546875" customWidth="1"/>
    <col min="14" max="14" width="20.7109375" customWidth="1"/>
    <col min="257" max="257" width="29.140625" customWidth="1"/>
    <col min="258" max="258" width="12.140625" customWidth="1"/>
    <col min="259" max="259" width="7.5703125" customWidth="1"/>
    <col min="260" max="260" width="18.140625" customWidth="1"/>
    <col min="261" max="261" width="7.85546875" customWidth="1"/>
    <col min="262" max="262" width="20.85546875" customWidth="1"/>
    <col min="263" max="263" width="18.5703125" customWidth="1"/>
    <col min="264" max="264" width="16.5703125" customWidth="1"/>
    <col min="265" max="265" width="20.140625" customWidth="1"/>
    <col min="266" max="266" width="14.85546875" customWidth="1"/>
    <col min="267" max="267" width="18.5703125" customWidth="1"/>
    <col min="268" max="268" width="19.28515625" customWidth="1"/>
    <col min="269" max="269" width="13.85546875" customWidth="1"/>
    <col min="270" max="270" width="20.7109375" customWidth="1"/>
    <col min="513" max="513" width="29.140625" customWidth="1"/>
    <col min="514" max="514" width="12.140625" customWidth="1"/>
    <col min="515" max="515" width="7.5703125" customWidth="1"/>
    <col min="516" max="516" width="18.140625" customWidth="1"/>
    <col min="517" max="517" width="7.85546875" customWidth="1"/>
    <col min="518" max="518" width="20.85546875" customWidth="1"/>
    <col min="519" max="519" width="18.5703125" customWidth="1"/>
    <col min="520" max="520" width="16.5703125" customWidth="1"/>
    <col min="521" max="521" width="20.140625" customWidth="1"/>
    <col min="522" max="522" width="14.85546875" customWidth="1"/>
    <col min="523" max="523" width="18.5703125" customWidth="1"/>
    <col min="524" max="524" width="19.28515625" customWidth="1"/>
    <col min="525" max="525" width="13.85546875" customWidth="1"/>
    <col min="526" max="526" width="20.7109375" customWidth="1"/>
    <col min="769" max="769" width="29.140625" customWidth="1"/>
    <col min="770" max="770" width="12.140625" customWidth="1"/>
    <col min="771" max="771" width="7.5703125" customWidth="1"/>
    <col min="772" max="772" width="18.140625" customWidth="1"/>
    <col min="773" max="773" width="7.85546875" customWidth="1"/>
    <col min="774" max="774" width="20.85546875" customWidth="1"/>
    <col min="775" max="775" width="18.5703125" customWidth="1"/>
    <col min="776" max="776" width="16.5703125" customWidth="1"/>
    <col min="777" max="777" width="20.140625" customWidth="1"/>
    <col min="778" max="778" width="14.85546875" customWidth="1"/>
    <col min="779" max="779" width="18.5703125" customWidth="1"/>
    <col min="780" max="780" width="19.28515625" customWidth="1"/>
    <col min="781" max="781" width="13.85546875" customWidth="1"/>
    <col min="782" max="782" width="20.7109375" customWidth="1"/>
    <col min="1025" max="1025" width="29.140625" customWidth="1"/>
    <col min="1026" max="1026" width="12.140625" customWidth="1"/>
    <col min="1027" max="1027" width="7.5703125" customWidth="1"/>
    <col min="1028" max="1028" width="18.140625" customWidth="1"/>
    <col min="1029" max="1029" width="7.85546875" customWidth="1"/>
    <col min="1030" max="1030" width="20.85546875" customWidth="1"/>
    <col min="1031" max="1031" width="18.5703125" customWidth="1"/>
    <col min="1032" max="1032" width="16.5703125" customWidth="1"/>
    <col min="1033" max="1033" width="20.140625" customWidth="1"/>
    <col min="1034" max="1034" width="14.85546875" customWidth="1"/>
    <col min="1035" max="1035" width="18.5703125" customWidth="1"/>
    <col min="1036" max="1036" width="19.28515625" customWidth="1"/>
    <col min="1037" max="1037" width="13.85546875" customWidth="1"/>
    <col min="1038" max="1038" width="20.7109375" customWidth="1"/>
    <col min="1281" max="1281" width="29.140625" customWidth="1"/>
    <col min="1282" max="1282" width="12.140625" customWidth="1"/>
    <col min="1283" max="1283" width="7.5703125" customWidth="1"/>
    <col min="1284" max="1284" width="18.140625" customWidth="1"/>
    <col min="1285" max="1285" width="7.85546875" customWidth="1"/>
    <col min="1286" max="1286" width="20.85546875" customWidth="1"/>
    <col min="1287" max="1287" width="18.5703125" customWidth="1"/>
    <col min="1288" max="1288" width="16.5703125" customWidth="1"/>
    <col min="1289" max="1289" width="20.140625" customWidth="1"/>
    <col min="1290" max="1290" width="14.85546875" customWidth="1"/>
    <col min="1291" max="1291" width="18.5703125" customWidth="1"/>
    <col min="1292" max="1292" width="19.28515625" customWidth="1"/>
    <col min="1293" max="1293" width="13.85546875" customWidth="1"/>
    <col min="1294" max="1294" width="20.7109375" customWidth="1"/>
    <col min="1537" max="1537" width="29.140625" customWidth="1"/>
    <col min="1538" max="1538" width="12.140625" customWidth="1"/>
    <col min="1539" max="1539" width="7.5703125" customWidth="1"/>
    <col min="1540" max="1540" width="18.140625" customWidth="1"/>
    <col min="1541" max="1541" width="7.85546875" customWidth="1"/>
    <col min="1542" max="1542" width="20.85546875" customWidth="1"/>
    <col min="1543" max="1543" width="18.5703125" customWidth="1"/>
    <col min="1544" max="1544" width="16.5703125" customWidth="1"/>
    <col min="1545" max="1545" width="20.140625" customWidth="1"/>
    <col min="1546" max="1546" width="14.85546875" customWidth="1"/>
    <col min="1547" max="1547" width="18.5703125" customWidth="1"/>
    <col min="1548" max="1548" width="19.28515625" customWidth="1"/>
    <col min="1549" max="1549" width="13.85546875" customWidth="1"/>
    <col min="1550" max="1550" width="20.7109375" customWidth="1"/>
    <col min="1793" max="1793" width="29.140625" customWidth="1"/>
    <col min="1794" max="1794" width="12.140625" customWidth="1"/>
    <col min="1795" max="1795" width="7.5703125" customWidth="1"/>
    <col min="1796" max="1796" width="18.140625" customWidth="1"/>
    <col min="1797" max="1797" width="7.85546875" customWidth="1"/>
    <col min="1798" max="1798" width="20.85546875" customWidth="1"/>
    <col min="1799" max="1799" width="18.5703125" customWidth="1"/>
    <col min="1800" max="1800" width="16.5703125" customWidth="1"/>
    <col min="1801" max="1801" width="20.140625" customWidth="1"/>
    <col min="1802" max="1802" width="14.85546875" customWidth="1"/>
    <col min="1803" max="1803" width="18.5703125" customWidth="1"/>
    <col min="1804" max="1804" width="19.28515625" customWidth="1"/>
    <col min="1805" max="1805" width="13.85546875" customWidth="1"/>
    <col min="1806" max="1806" width="20.7109375" customWidth="1"/>
    <col min="2049" max="2049" width="29.140625" customWidth="1"/>
    <col min="2050" max="2050" width="12.140625" customWidth="1"/>
    <col min="2051" max="2051" width="7.5703125" customWidth="1"/>
    <col min="2052" max="2052" width="18.140625" customWidth="1"/>
    <col min="2053" max="2053" width="7.85546875" customWidth="1"/>
    <col min="2054" max="2054" width="20.85546875" customWidth="1"/>
    <col min="2055" max="2055" width="18.5703125" customWidth="1"/>
    <col min="2056" max="2056" width="16.5703125" customWidth="1"/>
    <col min="2057" max="2057" width="20.140625" customWidth="1"/>
    <col min="2058" max="2058" width="14.85546875" customWidth="1"/>
    <col min="2059" max="2059" width="18.5703125" customWidth="1"/>
    <col min="2060" max="2060" width="19.28515625" customWidth="1"/>
    <col min="2061" max="2061" width="13.85546875" customWidth="1"/>
    <col min="2062" max="2062" width="20.7109375" customWidth="1"/>
    <col min="2305" max="2305" width="29.140625" customWidth="1"/>
    <col min="2306" max="2306" width="12.140625" customWidth="1"/>
    <col min="2307" max="2307" width="7.5703125" customWidth="1"/>
    <col min="2308" max="2308" width="18.140625" customWidth="1"/>
    <col min="2309" max="2309" width="7.85546875" customWidth="1"/>
    <col min="2310" max="2310" width="20.85546875" customWidth="1"/>
    <col min="2311" max="2311" width="18.5703125" customWidth="1"/>
    <col min="2312" max="2312" width="16.5703125" customWidth="1"/>
    <col min="2313" max="2313" width="20.140625" customWidth="1"/>
    <col min="2314" max="2314" width="14.85546875" customWidth="1"/>
    <col min="2315" max="2315" width="18.5703125" customWidth="1"/>
    <col min="2316" max="2316" width="19.28515625" customWidth="1"/>
    <col min="2317" max="2317" width="13.85546875" customWidth="1"/>
    <col min="2318" max="2318" width="20.7109375" customWidth="1"/>
    <col min="2561" max="2561" width="29.140625" customWidth="1"/>
    <col min="2562" max="2562" width="12.140625" customWidth="1"/>
    <col min="2563" max="2563" width="7.5703125" customWidth="1"/>
    <col min="2564" max="2564" width="18.140625" customWidth="1"/>
    <col min="2565" max="2565" width="7.85546875" customWidth="1"/>
    <col min="2566" max="2566" width="20.85546875" customWidth="1"/>
    <col min="2567" max="2567" width="18.5703125" customWidth="1"/>
    <col min="2568" max="2568" width="16.5703125" customWidth="1"/>
    <col min="2569" max="2569" width="20.140625" customWidth="1"/>
    <col min="2570" max="2570" width="14.85546875" customWidth="1"/>
    <col min="2571" max="2571" width="18.5703125" customWidth="1"/>
    <col min="2572" max="2572" width="19.28515625" customWidth="1"/>
    <col min="2573" max="2573" width="13.85546875" customWidth="1"/>
    <col min="2574" max="2574" width="20.7109375" customWidth="1"/>
    <col min="2817" max="2817" width="29.140625" customWidth="1"/>
    <col min="2818" max="2818" width="12.140625" customWidth="1"/>
    <col min="2819" max="2819" width="7.5703125" customWidth="1"/>
    <col min="2820" max="2820" width="18.140625" customWidth="1"/>
    <col min="2821" max="2821" width="7.85546875" customWidth="1"/>
    <col min="2822" max="2822" width="20.85546875" customWidth="1"/>
    <col min="2823" max="2823" width="18.5703125" customWidth="1"/>
    <col min="2824" max="2824" width="16.5703125" customWidth="1"/>
    <col min="2825" max="2825" width="20.140625" customWidth="1"/>
    <col min="2826" max="2826" width="14.85546875" customWidth="1"/>
    <col min="2827" max="2827" width="18.5703125" customWidth="1"/>
    <col min="2828" max="2828" width="19.28515625" customWidth="1"/>
    <col min="2829" max="2829" width="13.85546875" customWidth="1"/>
    <col min="2830" max="2830" width="20.7109375" customWidth="1"/>
    <col min="3073" max="3073" width="29.140625" customWidth="1"/>
    <col min="3074" max="3074" width="12.140625" customWidth="1"/>
    <col min="3075" max="3075" width="7.5703125" customWidth="1"/>
    <col min="3076" max="3076" width="18.140625" customWidth="1"/>
    <col min="3077" max="3077" width="7.85546875" customWidth="1"/>
    <col min="3078" max="3078" width="20.85546875" customWidth="1"/>
    <col min="3079" max="3079" width="18.5703125" customWidth="1"/>
    <col min="3080" max="3080" width="16.5703125" customWidth="1"/>
    <col min="3081" max="3081" width="20.140625" customWidth="1"/>
    <col min="3082" max="3082" width="14.85546875" customWidth="1"/>
    <col min="3083" max="3083" width="18.5703125" customWidth="1"/>
    <col min="3084" max="3084" width="19.28515625" customWidth="1"/>
    <col min="3085" max="3085" width="13.85546875" customWidth="1"/>
    <col min="3086" max="3086" width="20.7109375" customWidth="1"/>
    <col min="3329" max="3329" width="29.140625" customWidth="1"/>
    <col min="3330" max="3330" width="12.140625" customWidth="1"/>
    <col min="3331" max="3331" width="7.5703125" customWidth="1"/>
    <col min="3332" max="3332" width="18.140625" customWidth="1"/>
    <col min="3333" max="3333" width="7.85546875" customWidth="1"/>
    <col min="3334" max="3334" width="20.85546875" customWidth="1"/>
    <col min="3335" max="3335" width="18.5703125" customWidth="1"/>
    <col min="3336" max="3336" width="16.5703125" customWidth="1"/>
    <col min="3337" max="3337" width="20.140625" customWidth="1"/>
    <col min="3338" max="3338" width="14.85546875" customWidth="1"/>
    <col min="3339" max="3339" width="18.5703125" customWidth="1"/>
    <col min="3340" max="3340" width="19.28515625" customWidth="1"/>
    <col min="3341" max="3341" width="13.85546875" customWidth="1"/>
    <col min="3342" max="3342" width="20.7109375" customWidth="1"/>
    <col min="3585" max="3585" width="29.140625" customWidth="1"/>
    <col min="3586" max="3586" width="12.140625" customWidth="1"/>
    <col min="3587" max="3587" width="7.5703125" customWidth="1"/>
    <col min="3588" max="3588" width="18.140625" customWidth="1"/>
    <col min="3589" max="3589" width="7.85546875" customWidth="1"/>
    <col min="3590" max="3590" width="20.85546875" customWidth="1"/>
    <col min="3591" max="3591" width="18.5703125" customWidth="1"/>
    <col min="3592" max="3592" width="16.5703125" customWidth="1"/>
    <col min="3593" max="3593" width="20.140625" customWidth="1"/>
    <col min="3594" max="3594" width="14.85546875" customWidth="1"/>
    <col min="3595" max="3595" width="18.5703125" customWidth="1"/>
    <col min="3596" max="3596" width="19.28515625" customWidth="1"/>
    <col min="3597" max="3597" width="13.85546875" customWidth="1"/>
    <col min="3598" max="3598" width="20.7109375" customWidth="1"/>
    <col min="3841" max="3841" width="29.140625" customWidth="1"/>
    <col min="3842" max="3842" width="12.140625" customWidth="1"/>
    <col min="3843" max="3843" width="7.5703125" customWidth="1"/>
    <col min="3844" max="3844" width="18.140625" customWidth="1"/>
    <col min="3845" max="3845" width="7.85546875" customWidth="1"/>
    <col min="3846" max="3846" width="20.85546875" customWidth="1"/>
    <col min="3847" max="3847" width="18.5703125" customWidth="1"/>
    <col min="3848" max="3848" width="16.5703125" customWidth="1"/>
    <col min="3849" max="3849" width="20.140625" customWidth="1"/>
    <col min="3850" max="3850" width="14.85546875" customWidth="1"/>
    <col min="3851" max="3851" width="18.5703125" customWidth="1"/>
    <col min="3852" max="3852" width="19.28515625" customWidth="1"/>
    <col min="3853" max="3853" width="13.85546875" customWidth="1"/>
    <col min="3854" max="3854" width="20.7109375" customWidth="1"/>
    <col min="4097" max="4097" width="29.140625" customWidth="1"/>
    <col min="4098" max="4098" width="12.140625" customWidth="1"/>
    <col min="4099" max="4099" width="7.5703125" customWidth="1"/>
    <col min="4100" max="4100" width="18.140625" customWidth="1"/>
    <col min="4101" max="4101" width="7.85546875" customWidth="1"/>
    <col min="4102" max="4102" width="20.85546875" customWidth="1"/>
    <col min="4103" max="4103" width="18.5703125" customWidth="1"/>
    <col min="4104" max="4104" width="16.5703125" customWidth="1"/>
    <col min="4105" max="4105" width="20.140625" customWidth="1"/>
    <col min="4106" max="4106" width="14.85546875" customWidth="1"/>
    <col min="4107" max="4107" width="18.5703125" customWidth="1"/>
    <col min="4108" max="4108" width="19.28515625" customWidth="1"/>
    <col min="4109" max="4109" width="13.85546875" customWidth="1"/>
    <col min="4110" max="4110" width="20.7109375" customWidth="1"/>
    <col min="4353" max="4353" width="29.140625" customWidth="1"/>
    <col min="4354" max="4354" width="12.140625" customWidth="1"/>
    <col min="4355" max="4355" width="7.5703125" customWidth="1"/>
    <col min="4356" max="4356" width="18.140625" customWidth="1"/>
    <col min="4357" max="4357" width="7.85546875" customWidth="1"/>
    <col min="4358" max="4358" width="20.85546875" customWidth="1"/>
    <col min="4359" max="4359" width="18.5703125" customWidth="1"/>
    <col min="4360" max="4360" width="16.5703125" customWidth="1"/>
    <col min="4361" max="4361" width="20.140625" customWidth="1"/>
    <col min="4362" max="4362" width="14.85546875" customWidth="1"/>
    <col min="4363" max="4363" width="18.5703125" customWidth="1"/>
    <col min="4364" max="4364" width="19.28515625" customWidth="1"/>
    <col min="4365" max="4365" width="13.85546875" customWidth="1"/>
    <col min="4366" max="4366" width="20.7109375" customWidth="1"/>
    <col min="4609" max="4609" width="29.140625" customWidth="1"/>
    <col min="4610" max="4610" width="12.140625" customWidth="1"/>
    <col min="4611" max="4611" width="7.5703125" customWidth="1"/>
    <col min="4612" max="4612" width="18.140625" customWidth="1"/>
    <col min="4613" max="4613" width="7.85546875" customWidth="1"/>
    <col min="4614" max="4614" width="20.85546875" customWidth="1"/>
    <col min="4615" max="4615" width="18.5703125" customWidth="1"/>
    <col min="4616" max="4616" width="16.5703125" customWidth="1"/>
    <col min="4617" max="4617" width="20.140625" customWidth="1"/>
    <col min="4618" max="4618" width="14.85546875" customWidth="1"/>
    <col min="4619" max="4619" width="18.5703125" customWidth="1"/>
    <col min="4620" max="4620" width="19.28515625" customWidth="1"/>
    <col min="4621" max="4621" width="13.85546875" customWidth="1"/>
    <col min="4622" max="4622" width="20.7109375" customWidth="1"/>
    <col min="4865" max="4865" width="29.140625" customWidth="1"/>
    <col min="4866" max="4866" width="12.140625" customWidth="1"/>
    <col min="4867" max="4867" width="7.5703125" customWidth="1"/>
    <col min="4868" max="4868" width="18.140625" customWidth="1"/>
    <col min="4869" max="4869" width="7.85546875" customWidth="1"/>
    <col min="4870" max="4870" width="20.85546875" customWidth="1"/>
    <col min="4871" max="4871" width="18.5703125" customWidth="1"/>
    <col min="4872" max="4872" width="16.5703125" customWidth="1"/>
    <col min="4873" max="4873" width="20.140625" customWidth="1"/>
    <col min="4874" max="4874" width="14.85546875" customWidth="1"/>
    <col min="4875" max="4875" width="18.5703125" customWidth="1"/>
    <col min="4876" max="4876" width="19.28515625" customWidth="1"/>
    <col min="4877" max="4877" width="13.85546875" customWidth="1"/>
    <col min="4878" max="4878" width="20.7109375" customWidth="1"/>
    <col min="5121" max="5121" width="29.140625" customWidth="1"/>
    <col min="5122" max="5122" width="12.140625" customWidth="1"/>
    <col min="5123" max="5123" width="7.5703125" customWidth="1"/>
    <col min="5124" max="5124" width="18.140625" customWidth="1"/>
    <col min="5125" max="5125" width="7.85546875" customWidth="1"/>
    <col min="5126" max="5126" width="20.85546875" customWidth="1"/>
    <col min="5127" max="5127" width="18.5703125" customWidth="1"/>
    <col min="5128" max="5128" width="16.5703125" customWidth="1"/>
    <col min="5129" max="5129" width="20.140625" customWidth="1"/>
    <col min="5130" max="5130" width="14.85546875" customWidth="1"/>
    <col min="5131" max="5131" width="18.5703125" customWidth="1"/>
    <col min="5132" max="5132" width="19.28515625" customWidth="1"/>
    <col min="5133" max="5133" width="13.85546875" customWidth="1"/>
    <col min="5134" max="5134" width="20.7109375" customWidth="1"/>
    <col min="5377" max="5377" width="29.140625" customWidth="1"/>
    <col min="5378" max="5378" width="12.140625" customWidth="1"/>
    <col min="5379" max="5379" width="7.5703125" customWidth="1"/>
    <col min="5380" max="5380" width="18.140625" customWidth="1"/>
    <col min="5381" max="5381" width="7.85546875" customWidth="1"/>
    <col min="5382" max="5382" width="20.85546875" customWidth="1"/>
    <col min="5383" max="5383" width="18.5703125" customWidth="1"/>
    <col min="5384" max="5384" width="16.5703125" customWidth="1"/>
    <col min="5385" max="5385" width="20.140625" customWidth="1"/>
    <col min="5386" max="5386" width="14.85546875" customWidth="1"/>
    <col min="5387" max="5387" width="18.5703125" customWidth="1"/>
    <col min="5388" max="5388" width="19.28515625" customWidth="1"/>
    <col min="5389" max="5389" width="13.85546875" customWidth="1"/>
    <col min="5390" max="5390" width="20.7109375" customWidth="1"/>
    <col min="5633" max="5633" width="29.140625" customWidth="1"/>
    <col min="5634" max="5634" width="12.140625" customWidth="1"/>
    <col min="5635" max="5635" width="7.5703125" customWidth="1"/>
    <col min="5636" max="5636" width="18.140625" customWidth="1"/>
    <col min="5637" max="5637" width="7.85546875" customWidth="1"/>
    <col min="5638" max="5638" width="20.85546875" customWidth="1"/>
    <col min="5639" max="5639" width="18.5703125" customWidth="1"/>
    <col min="5640" max="5640" width="16.5703125" customWidth="1"/>
    <col min="5641" max="5641" width="20.140625" customWidth="1"/>
    <col min="5642" max="5642" width="14.85546875" customWidth="1"/>
    <col min="5643" max="5643" width="18.5703125" customWidth="1"/>
    <col min="5644" max="5644" width="19.28515625" customWidth="1"/>
    <col min="5645" max="5645" width="13.85546875" customWidth="1"/>
    <col min="5646" max="5646" width="20.7109375" customWidth="1"/>
    <col min="5889" max="5889" width="29.140625" customWidth="1"/>
    <col min="5890" max="5890" width="12.140625" customWidth="1"/>
    <col min="5891" max="5891" width="7.5703125" customWidth="1"/>
    <col min="5892" max="5892" width="18.140625" customWidth="1"/>
    <col min="5893" max="5893" width="7.85546875" customWidth="1"/>
    <col min="5894" max="5894" width="20.85546875" customWidth="1"/>
    <col min="5895" max="5895" width="18.5703125" customWidth="1"/>
    <col min="5896" max="5896" width="16.5703125" customWidth="1"/>
    <col min="5897" max="5897" width="20.140625" customWidth="1"/>
    <col min="5898" max="5898" width="14.85546875" customWidth="1"/>
    <col min="5899" max="5899" width="18.5703125" customWidth="1"/>
    <col min="5900" max="5900" width="19.28515625" customWidth="1"/>
    <col min="5901" max="5901" width="13.85546875" customWidth="1"/>
    <col min="5902" max="5902" width="20.7109375" customWidth="1"/>
    <col min="6145" max="6145" width="29.140625" customWidth="1"/>
    <col min="6146" max="6146" width="12.140625" customWidth="1"/>
    <col min="6147" max="6147" width="7.5703125" customWidth="1"/>
    <col min="6148" max="6148" width="18.140625" customWidth="1"/>
    <col min="6149" max="6149" width="7.85546875" customWidth="1"/>
    <col min="6150" max="6150" width="20.85546875" customWidth="1"/>
    <col min="6151" max="6151" width="18.5703125" customWidth="1"/>
    <col min="6152" max="6152" width="16.5703125" customWidth="1"/>
    <col min="6153" max="6153" width="20.140625" customWidth="1"/>
    <col min="6154" max="6154" width="14.85546875" customWidth="1"/>
    <col min="6155" max="6155" width="18.5703125" customWidth="1"/>
    <col min="6156" max="6156" width="19.28515625" customWidth="1"/>
    <col min="6157" max="6157" width="13.85546875" customWidth="1"/>
    <col min="6158" max="6158" width="20.7109375" customWidth="1"/>
    <col min="6401" max="6401" width="29.140625" customWidth="1"/>
    <col min="6402" max="6402" width="12.140625" customWidth="1"/>
    <col min="6403" max="6403" width="7.5703125" customWidth="1"/>
    <col min="6404" max="6404" width="18.140625" customWidth="1"/>
    <col min="6405" max="6405" width="7.85546875" customWidth="1"/>
    <col min="6406" max="6406" width="20.85546875" customWidth="1"/>
    <col min="6407" max="6407" width="18.5703125" customWidth="1"/>
    <col min="6408" max="6408" width="16.5703125" customWidth="1"/>
    <col min="6409" max="6409" width="20.140625" customWidth="1"/>
    <col min="6410" max="6410" width="14.85546875" customWidth="1"/>
    <col min="6411" max="6411" width="18.5703125" customWidth="1"/>
    <col min="6412" max="6412" width="19.28515625" customWidth="1"/>
    <col min="6413" max="6413" width="13.85546875" customWidth="1"/>
    <col min="6414" max="6414" width="20.7109375" customWidth="1"/>
    <col min="6657" max="6657" width="29.140625" customWidth="1"/>
    <col min="6658" max="6658" width="12.140625" customWidth="1"/>
    <col min="6659" max="6659" width="7.5703125" customWidth="1"/>
    <col min="6660" max="6660" width="18.140625" customWidth="1"/>
    <col min="6661" max="6661" width="7.85546875" customWidth="1"/>
    <col min="6662" max="6662" width="20.85546875" customWidth="1"/>
    <col min="6663" max="6663" width="18.5703125" customWidth="1"/>
    <col min="6664" max="6664" width="16.5703125" customWidth="1"/>
    <col min="6665" max="6665" width="20.140625" customWidth="1"/>
    <col min="6666" max="6666" width="14.85546875" customWidth="1"/>
    <col min="6667" max="6667" width="18.5703125" customWidth="1"/>
    <col min="6668" max="6668" width="19.28515625" customWidth="1"/>
    <col min="6669" max="6669" width="13.85546875" customWidth="1"/>
    <col min="6670" max="6670" width="20.7109375" customWidth="1"/>
    <col min="6913" max="6913" width="29.140625" customWidth="1"/>
    <col min="6914" max="6914" width="12.140625" customWidth="1"/>
    <col min="6915" max="6915" width="7.5703125" customWidth="1"/>
    <col min="6916" max="6916" width="18.140625" customWidth="1"/>
    <col min="6917" max="6917" width="7.85546875" customWidth="1"/>
    <col min="6918" max="6918" width="20.85546875" customWidth="1"/>
    <col min="6919" max="6919" width="18.5703125" customWidth="1"/>
    <col min="6920" max="6920" width="16.5703125" customWidth="1"/>
    <col min="6921" max="6921" width="20.140625" customWidth="1"/>
    <col min="6922" max="6922" width="14.85546875" customWidth="1"/>
    <col min="6923" max="6923" width="18.5703125" customWidth="1"/>
    <col min="6924" max="6924" width="19.28515625" customWidth="1"/>
    <col min="6925" max="6925" width="13.85546875" customWidth="1"/>
    <col min="6926" max="6926" width="20.7109375" customWidth="1"/>
    <col min="7169" max="7169" width="29.140625" customWidth="1"/>
    <col min="7170" max="7170" width="12.140625" customWidth="1"/>
    <col min="7171" max="7171" width="7.5703125" customWidth="1"/>
    <col min="7172" max="7172" width="18.140625" customWidth="1"/>
    <col min="7173" max="7173" width="7.85546875" customWidth="1"/>
    <col min="7174" max="7174" width="20.85546875" customWidth="1"/>
    <col min="7175" max="7175" width="18.5703125" customWidth="1"/>
    <col min="7176" max="7176" width="16.5703125" customWidth="1"/>
    <col min="7177" max="7177" width="20.140625" customWidth="1"/>
    <col min="7178" max="7178" width="14.85546875" customWidth="1"/>
    <col min="7179" max="7179" width="18.5703125" customWidth="1"/>
    <col min="7180" max="7180" width="19.28515625" customWidth="1"/>
    <col min="7181" max="7181" width="13.85546875" customWidth="1"/>
    <col min="7182" max="7182" width="20.7109375" customWidth="1"/>
    <col min="7425" max="7425" width="29.140625" customWidth="1"/>
    <col min="7426" max="7426" width="12.140625" customWidth="1"/>
    <col min="7427" max="7427" width="7.5703125" customWidth="1"/>
    <col min="7428" max="7428" width="18.140625" customWidth="1"/>
    <col min="7429" max="7429" width="7.85546875" customWidth="1"/>
    <col min="7430" max="7430" width="20.85546875" customWidth="1"/>
    <col min="7431" max="7431" width="18.5703125" customWidth="1"/>
    <col min="7432" max="7432" width="16.5703125" customWidth="1"/>
    <col min="7433" max="7433" width="20.140625" customWidth="1"/>
    <col min="7434" max="7434" width="14.85546875" customWidth="1"/>
    <col min="7435" max="7435" width="18.5703125" customWidth="1"/>
    <col min="7436" max="7436" width="19.28515625" customWidth="1"/>
    <col min="7437" max="7437" width="13.85546875" customWidth="1"/>
    <col min="7438" max="7438" width="20.7109375" customWidth="1"/>
    <col min="7681" max="7681" width="29.140625" customWidth="1"/>
    <col min="7682" max="7682" width="12.140625" customWidth="1"/>
    <col min="7683" max="7683" width="7.5703125" customWidth="1"/>
    <col min="7684" max="7684" width="18.140625" customWidth="1"/>
    <col min="7685" max="7685" width="7.85546875" customWidth="1"/>
    <col min="7686" max="7686" width="20.85546875" customWidth="1"/>
    <col min="7687" max="7687" width="18.5703125" customWidth="1"/>
    <col min="7688" max="7688" width="16.5703125" customWidth="1"/>
    <col min="7689" max="7689" width="20.140625" customWidth="1"/>
    <col min="7690" max="7690" width="14.85546875" customWidth="1"/>
    <col min="7691" max="7691" width="18.5703125" customWidth="1"/>
    <col min="7692" max="7692" width="19.28515625" customWidth="1"/>
    <col min="7693" max="7693" width="13.85546875" customWidth="1"/>
    <col min="7694" max="7694" width="20.7109375" customWidth="1"/>
    <col min="7937" max="7937" width="29.140625" customWidth="1"/>
    <col min="7938" max="7938" width="12.140625" customWidth="1"/>
    <col min="7939" max="7939" width="7.5703125" customWidth="1"/>
    <col min="7940" max="7940" width="18.140625" customWidth="1"/>
    <col min="7941" max="7941" width="7.85546875" customWidth="1"/>
    <col min="7942" max="7942" width="20.85546875" customWidth="1"/>
    <col min="7943" max="7943" width="18.5703125" customWidth="1"/>
    <col min="7944" max="7944" width="16.5703125" customWidth="1"/>
    <col min="7945" max="7945" width="20.140625" customWidth="1"/>
    <col min="7946" max="7946" width="14.85546875" customWidth="1"/>
    <col min="7947" max="7947" width="18.5703125" customWidth="1"/>
    <col min="7948" max="7948" width="19.28515625" customWidth="1"/>
    <col min="7949" max="7949" width="13.85546875" customWidth="1"/>
    <col min="7950" max="7950" width="20.7109375" customWidth="1"/>
    <col min="8193" max="8193" width="29.140625" customWidth="1"/>
    <col min="8194" max="8194" width="12.140625" customWidth="1"/>
    <col min="8195" max="8195" width="7.5703125" customWidth="1"/>
    <col min="8196" max="8196" width="18.140625" customWidth="1"/>
    <col min="8197" max="8197" width="7.85546875" customWidth="1"/>
    <col min="8198" max="8198" width="20.85546875" customWidth="1"/>
    <col min="8199" max="8199" width="18.5703125" customWidth="1"/>
    <col min="8200" max="8200" width="16.5703125" customWidth="1"/>
    <col min="8201" max="8201" width="20.140625" customWidth="1"/>
    <col min="8202" max="8202" width="14.85546875" customWidth="1"/>
    <col min="8203" max="8203" width="18.5703125" customWidth="1"/>
    <col min="8204" max="8204" width="19.28515625" customWidth="1"/>
    <col min="8205" max="8205" width="13.85546875" customWidth="1"/>
    <col min="8206" max="8206" width="20.7109375" customWidth="1"/>
    <col min="8449" max="8449" width="29.140625" customWidth="1"/>
    <col min="8450" max="8450" width="12.140625" customWidth="1"/>
    <col min="8451" max="8451" width="7.5703125" customWidth="1"/>
    <col min="8452" max="8452" width="18.140625" customWidth="1"/>
    <col min="8453" max="8453" width="7.85546875" customWidth="1"/>
    <col min="8454" max="8454" width="20.85546875" customWidth="1"/>
    <col min="8455" max="8455" width="18.5703125" customWidth="1"/>
    <col min="8456" max="8456" width="16.5703125" customWidth="1"/>
    <col min="8457" max="8457" width="20.140625" customWidth="1"/>
    <col min="8458" max="8458" width="14.85546875" customWidth="1"/>
    <col min="8459" max="8459" width="18.5703125" customWidth="1"/>
    <col min="8460" max="8460" width="19.28515625" customWidth="1"/>
    <col min="8461" max="8461" width="13.85546875" customWidth="1"/>
    <col min="8462" max="8462" width="20.7109375" customWidth="1"/>
    <col min="8705" max="8705" width="29.140625" customWidth="1"/>
    <col min="8706" max="8706" width="12.140625" customWidth="1"/>
    <col min="8707" max="8707" width="7.5703125" customWidth="1"/>
    <col min="8708" max="8708" width="18.140625" customWidth="1"/>
    <col min="8709" max="8709" width="7.85546875" customWidth="1"/>
    <col min="8710" max="8710" width="20.85546875" customWidth="1"/>
    <col min="8711" max="8711" width="18.5703125" customWidth="1"/>
    <col min="8712" max="8712" width="16.5703125" customWidth="1"/>
    <col min="8713" max="8713" width="20.140625" customWidth="1"/>
    <col min="8714" max="8714" width="14.85546875" customWidth="1"/>
    <col min="8715" max="8715" width="18.5703125" customWidth="1"/>
    <col min="8716" max="8716" width="19.28515625" customWidth="1"/>
    <col min="8717" max="8717" width="13.85546875" customWidth="1"/>
    <col min="8718" max="8718" width="20.7109375" customWidth="1"/>
    <col min="8961" max="8961" width="29.140625" customWidth="1"/>
    <col min="8962" max="8962" width="12.140625" customWidth="1"/>
    <col min="8963" max="8963" width="7.5703125" customWidth="1"/>
    <col min="8964" max="8964" width="18.140625" customWidth="1"/>
    <col min="8965" max="8965" width="7.85546875" customWidth="1"/>
    <col min="8966" max="8966" width="20.85546875" customWidth="1"/>
    <col min="8967" max="8967" width="18.5703125" customWidth="1"/>
    <col min="8968" max="8968" width="16.5703125" customWidth="1"/>
    <col min="8969" max="8969" width="20.140625" customWidth="1"/>
    <col min="8970" max="8970" width="14.85546875" customWidth="1"/>
    <col min="8971" max="8971" width="18.5703125" customWidth="1"/>
    <col min="8972" max="8972" width="19.28515625" customWidth="1"/>
    <col min="8973" max="8973" width="13.85546875" customWidth="1"/>
    <col min="8974" max="8974" width="20.7109375" customWidth="1"/>
    <col min="9217" max="9217" width="29.140625" customWidth="1"/>
    <col min="9218" max="9218" width="12.140625" customWidth="1"/>
    <col min="9219" max="9219" width="7.5703125" customWidth="1"/>
    <col min="9220" max="9220" width="18.140625" customWidth="1"/>
    <col min="9221" max="9221" width="7.85546875" customWidth="1"/>
    <col min="9222" max="9222" width="20.85546875" customWidth="1"/>
    <col min="9223" max="9223" width="18.5703125" customWidth="1"/>
    <col min="9224" max="9224" width="16.5703125" customWidth="1"/>
    <col min="9225" max="9225" width="20.140625" customWidth="1"/>
    <col min="9226" max="9226" width="14.85546875" customWidth="1"/>
    <col min="9227" max="9227" width="18.5703125" customWidth="1"/>
    <col min="9228" max="9228" width="19.28515625" customWidth="1"/>
    <col min="9229" max="9229" width="13.85546875" customWidth="1"/>
    <col min="9230" max="9230" width="20.7109375" customWidth="1"/>
    <col min="9473" max="9473" width="29.140625" customWidth="1"/>
    <col min="9474" max="9474" width="12.140625" customWidth="1"/>
    <col min="9475" max="9475" width="7.5703125" customWidth="1"/>
    <col min="9476" max="9476" width="18.140625" customWidth="1"/>
    <col min="9477" max="9477" width="7.85546875" customWidth="1"/>
    <col min="9478" max="9478" width="20.85546875" customWidth="1"/>
    <col min="9479" max="9479" width="18.5703125" customWidth="1"/>
    <col min="9480" max="9480" width="16.5703125" customWidth="1"/>
    <col min="9481" max="9481" width="20.140625" customWidth="1"/>
    <col min="9482" max="9482" width="14.85546875" customWidth="1"/>
    <col min="9483" max="9483" width="18.5703125" customWidth="1"/>
    <col min="9484" max="9484" width="19.28515625" customWidth="1"/>
    <col min="9485" max="9485" width="13.85546875" customWidth="1"/>
    <col min="9486" max="9486" width="20.7109375" customWidth="1"/>
    <col min="9729" max="9729" width="29.140625" customWidth="1"/>
    <col min="9730" max="9730" width="12.140625" customWidth="1"/>
    <col min="9731" max="9731" width="7.5703125" customWidth="1"/>
    <col min="9732" max="9732" width="18.140625" customWidth="1"/>
    <col min="9733" max="9733" width="7.85546875" customWidth="1"/>
    <col min="9734" max="9734" width="20.85546875" customWidth="1"/>
    <col min="9735" max="9735" width="18.5703125" customWidth="1"/>
    <col min="9736" max="9736" width="16.5703125" customWidth="1"/>
    <col min="9737" max="9737" width="20.140625" customWidth="1"/>
    <col min="9738" max="9738" width="14.85546875" customWidth="1"/>
    <col min="9739" max="9739" width="18.5703125" customWidth="1"/>
    <col min="9740" max="9740" width="19.28515625" customWidth="1"/>
    <col min="9741" max="9741" width="13.85546875" customWidth="1"/>
    <col min="9742" max="9742" width="20.7109375" customWidth="1"/>
    <col min="9985" max="9985" width="29.140625" customWidth="1"/>
    <col min="9986" max="9986" width="12.140625" customWidth="1"/>
    <col min="9987" max="9987" width="7.5703125" customWidth="1"/>
    <col min="9988" max="9988" width="18.140625" customWidth="1"/>
    <col min="9989" max="9989" width="7.85546875" customWidth="1"/>
    <col min="9990" max="9990" width="20.85546875" customWidth="1"/>
    <col min="9991" max="9991" width="18.5703125" customWidth="1"/>
    <col min="9992" max="9992" width="16.5703125" customWidth="1"/>
    <col min="9993" max="9993" width="20.140625" customWidth="1"/>
    <col min="9994" max="9994" width="14.85546875" customWidth="1"/>
    <col min="9995" max="9995" width="18.5703125" customWidth="1"/>
    <col min="9996" max="9996" width="19.28515625" customWidth="1"/>
    <col min="9997" max="9997" width="13.85546875" customWidth="1"/>
    <col min="9998" max="9998" width="20.7109375" customWidth="1"/>
    <col min="10241" max="10241" width="29.140625" customWidth="1"/>
    <col min="10242" max="10242" width="12.140625" customWidth="1"/>
    <col min="10243" max="10243" width="7.5703125" customWidth="1"/>
    <col min="10244" max="10244" width="18.140625" customWidth="1"/>
    <col min="10245" max="10245" width="7.85546875" customWidth="1"/>
    <col min="10246" max="10246" width="20.85546875" customWidth="1"/>
    <col min="10247" max="10247" width="18.5703125" customWidth="1"/>
    <col min="10248" max="10248" width="16.5703125" customWidth="1"/>
    <col min="10249" max="10249" width="20.140625" customWidth="1"/>
    <col min="10250" max="10250" width="14.85546875" customWidth="1"/>
    <col min="10251" max="10251" width="18.5703125" customWidth="1"/>
    <col min="10252" max="10252" width="19.28515625" customWidth="1"/>
    <col min="10253" max="10253" width="13.85546875" customWidth="1"/>
    <col min="10254" max="10254" width="20.7109375" customWidth="1"/>
    <col min="10497" max="10497" width="29.140625" customWidth="1"/>
    <col min="10498" max="10498" width="12.140625" customWidth="1"/>
    <col min="10499" max="10499" width="7.5703125" customWidth="1"/>
    <col min="10500" max="10500" width="18.140625" customWidth="1"/>
    <col min="10501" max="10501" width="7.85546875" customWidth="1"/>
    <col min="10502" max="10502" width="20.85546875" customWidth="1"/>
    <col min="10503" max="10503" width="18.5703125" customWidth="1"/>
    <col min="10504" max="10504" width="16.5703125" customWidth="1"/>
    <col min="10505" max="10505" width="20.140625" customWidth="1"/>
    <col min="10506" max="10506" width="14.85546875" customWidth="1"/>
    <col min="10507" max="10507" width="18.5703125" customWidth="1"/>
    <col min="10508" max="10508" width="19.28515625" customWidth="1"/>
    <col min="10509" max="10509" width="13.85546875" customWidth="1"/>
    <col min="10510" max="10510" width="20.7109375" customWidth="1"/>
    <col min="10753" max="10753" width="29.140625" customWidth="1"/>
    <col min="10754" max="10754" width="12.140625" customWidth="1"/>
    <col min="10755" max="10755" width="7.5703125" customWidth="1"/>
    <col min="10756" max="10756" width="18.140625" customWidth="1"/>
    <col min="10757" max="10757" width="7.85546875" customWidth="1"/>
    <col min="10758" max="10758" width="20.85546875" customWidth="1"/>
    <col min="10759" max="10759" width="18.5703125" customWidth="1"/>
    <col min="10760" max="10760" width="16.5703125" customWidth="1"/>
    <col min="10761" max="10761" width="20.140625" customWidth="1"/>
    <col min="10762" max="10762" width="14.85546875" customWidth="1"/>
    <col min="10763" max="10763" width="18.5703125" customWidth="1"/>
    <col min="10764" max="10764" width="19.28515625" customWidth="1"/>
    <col min="10765" max="10765" width="13.85546875" customWidth="1"/>
    <col min="10766" max="10766" width="20.7109375" customWidth="1"/>
    <col min="11009" max="11009" width="29.140625" customWidth="1"/>
    <col min="11010" max="11010" width="12.140625" customWidth="1"/>
    <col min="11011" max="11011" width="7.5703125" customWidth="1"/>
    <col min="11012" max="11012" width="18.140625" customWidth="1"/>
    <col min="11013" max="11013" width="7.85546875" customWidth="1"/>
    <col min="11014" max="11014" width="20.85546875" customWidth="1"/>
    <col min="11015" max="11015" width="18.5703125" customWidth="1"/>
    <col min="11016" max="11016" width="16.5703125" customWidth="1"/>
    <col min="11017" max="11017" width="20.140625" customWidth="1"/>
    <col min="11018" max="11018" width="14.85546875" customWidth="1"/>
    <col min="11019" max="11019" width="18.5703125" customWidth="1"/>
    <col min="11020" max="11020" width="19.28515625" customWidth="1"/>
    <col min="11021" max="11021" width="13.85546875" customWidth="1"/>
    <col min="11022" max="11022" width="20.7109375" customWidth="1"/>
    <col min="11265" max="11265" width="29.140625" customWidth="1"/>
    <col min="11266" max="11266" width="12.140625" customWidth="1"/>
    <col min="11267" max="11267" width="7.5703125" customWidth="1"/>
    <col min="11268" max="11268" width="18.140625" customWidth="1"/>
    <col min="11269" max="11269" width="7.85546875" customWidth="1"/>
    <col min="11270" max="11270" width="20.85546875" customWidth="1"/>
    <col min="11271" max="11271" width="18.5703125" customWidth="1"/>
    <col min="11272" max="11272" width="16.5703125" customWidth="1"/>
    <col min="11273" max="11273" width="20.140625" customWidth="1"/>
    <col min="11274" max="11274" width="14.85546875" customWidth="1"/>
    <col min="11275" max="11275" width="18.5703125" customWidth="1"/>
    <col min="11276" max="11276" width="19.28515625" customWidth="1"/>
    <col min="11277" max="11277" width="13.85546875" customWidth="1"/>
    <col min="11278" max="11278" width="20.7109375" customWidth="1"/>
    <col min="11521" max="11521" width="29.140625" customWidth="1"/>
    <col min="11522" max="11522" width="12.140625" customWidth="1"/>
    <col min="11523" max="11523" width="7.5703125" customWidth="1"/>
    <col min="11524" max="11524" width="18.140625" customWidth="1"/>
    <col min="11525" max="11525" width="7.85546875" customWidth="1"/>
    <col min="11526" max="11526" width="20.85546875" customWidth="1"/>
    <col min="11527" max="11527" width="18.5703125" customWidth="1"/>
    <col min="11528" max="11528" width="16.5703125" customWidth="1"/>
    <col min="11529" max="11529" width="20.140625" customWidth="1"/>
    <col min="11530" max="11530" width="14.85546875" customWidth="1"/>
    <col min="11531" max="11531" width="18.5703125" customWidth="1"/>
    <col min="11532" max="11532" width="19.28515625" customWidth="1"/>
    <col min="11533" max="11533" width="13.85546875" customWidth="1"/>
    <col min="11534" max="11534" width="20.7109375" customWidth="1"/>
    <col min="11777" max="11777" width="29.140625" customWidth="1"/>
    <col min="11778" max="11778" width="12.140625" customWidth="1"/>
    <col min="11779" max="11779" width="7.5703125" customWidth="1"/>
    <col min="11780" max="11780" width="18.140625" customWidth="1"/>
    <col min="11781" max="11781" width="7.85546875" customWidth="1"/>
    <col min="11782" max="11782" width="20.85546875" customWidth="1"/>
    <col min="11783" max="11783" width="18.5703125" customWidth="1"/>
    <col min="11784" max="11784" width="16.5703125" customWidth="1"/>
    <col min="11785" max="11785" width="20.140625" customWidth="1"/>
    <col min="11786" max="11786" width="14.85546875" customWidth="1"/>
    <col min="11787" max="11787" width="18.5703125" customWidth="1"/>
    <col min="11788" max="11788" width="19.28515625" customWidth="1"/>
    <col min="11789" max="11789" width="13.85546875" customWidth="1"/>
    <col min="11790" max="11790" width="20.7109375" customWidth="1"/>
    <col min="12033" max="12033" width="29.140625" customWidth="1"/>
    <col min="12034" max="12034" width="12.140625" customWidth="1"/>
    <col min="12035" max="12035" width="7.5703125" customWidth="1"/>
    <col min="12036" max="12036" width="18.140625" customWidth="1"/>
    <col min="12037" max="12037" width="7.85546875" customWidth="1"/>
    <col min="12038" max="12038" width="20.85546875" customWidth="1"/>
    <col min="12039" max="12039" width="18.5703125" customWidth="1"/>
    <col min="12040" max="12040" width="16.5703125" customWidth="1"/>
    <col min="12041" max="12041" width="20.140625" customWidth="1"/>
    <col min="12042" max="12042" width="14.85546875" customWidth="1"/>
    <col min="12043" max="12043" width="18.5703125" customWidth="1"/>
    <col min="12044" max="12044" width="19.28515625" customWidth="1"/>
    <col min="12045" max="12045" width="13.85546875" customWidth="1"/>
    <col min="12046" max="12046" width="20.7109375" customWidth="1"/>
    <col min="12289" max="12289" width="29.140625" customWidth="1"/>
    <col min="12290" max="12290" width="12.140625" customWidth="1"/>
    <col min="12291" max="12291" width="7.5703125" customWidth="1"/>
    <col min="12292" max="12292" width="18.140625" customWidth="1"/>
    <col min="12293" max="12293" width="7.85546875" customWidth="1"/>
    <col min="12294" max="12294" width="20.85546875" customWidth="1"/>
    <col min="12295" max="12295" width="18.5703125" customWidth="1"/>
    <col min="12296" max="12296" width="16.5703125" customWidth="1"/>
    <col min="12297" max="12297" width="20.140625" customWidth="1"/>
    <col min="12298" max="12298" width="14.85546875" customWidth="1"/>
    <col min="12299" max="12299" width="18.5703125" customWidth="1"/>
    <col min="12300" max="12300" width="19.28515625" customWidth="1"/>
    <col min="12301" max="12301" width="13.85546875" customWidth="1"/>
    <col min="12302" max="12302" width="20.7109375" customWidth="1"/>
    <col min="12545" max="12545" width="29.140625" customWidth="1"/>
    <col min="12546" max="12546" width="12.140625" customWidth="1"/>
    <col min="12547" max="12547" width="7.5703125" customWidth="1"/>
    <col min="12548" max="12548" width="18.140625" customWidth="1"/>
    <col min="12549" max="12549" width="7.85546875" customWidth="1"/>
    <col min="12550" max="12550" width="20.85546875" customWidth="1"/>
    <col min="12551" max="12551" width="18.5703125" customWidth="1"/>
    <col min="12552" max="12552" width="16.5703125" customWidth="1"/>
    <col min="12553" max="12553" width="20.140625" customWidth="1"/>
    <col min="12554" max="12554" width="14.85546875" customWidth="1"/>
    <col min="12555" max="12555" width="18.5703125" customWidth="1"/>
    <col min="12556" max="12556" width="19.28515625" customWidth="1"/>
    <col min="12557" max="12557" width="13.85546875" customWidth="1"/>
    <col min="12558" max="12558" width="20.7109375" customWidth="1"/>
    <col min="12801" max="12801" width="29.140625" customWidth="1"/>
    <col min="12802" max="12802" width="12.140625" customWidth="1"/>
    <col min="12803" max="12803" width="7.5703125" customWidth="1"/>
    <col min="12804" max="12804" width="18.140625" customWidth="1"/>
    <col min="12805" max="12805" width="7.85546875" customWidth="1"/>
    <col min="12806" max="12806" width="20.85546875" customWidth="1"/>
    <col min="12807" max="12807" width="18.5703125" customWidth="1"/>
    <col min="12808" max="12808" width="16.5703125" customWidth="1"/>
    <col min="12809" max="12809" width="20.140625" customWidth="1"/>
    <col min="12810" max="12810" width="14.85546875" customWidth="1"/>
    <col min="12811" max="12811" width="18.5703125" customWidth="1"/>
    <col min="12812" max="12812" width="19.28515625" customWidth="1"/>
    <col min="12813" max="12813" width="13.85546875" customWidth="1"/>
    <col min="12814" max="12814" width="20.7109375" customWidth="1"/>
    <col min="13057" max="13057" width="29.140625" customWidth="1"/>
    <col min="13058" max="13058" width="12.140625" customWidth="1"/>
    <col min="13059" max="13059" width="7.5703125" customWidth="1"/>
    <col min="13060" max="13060" width="18.140625" customWidth="1"/>
    <col min="13061" max="13061" width="7.85546875" customWidth="1"/>
    <col min="13062" max="13062" width="20.85546875" customWidth="1"/>
    <col min="13063" max="13063" width="18.5703125" customWidth="1"/>
    <col min="13064" max="13064" width="16.5703125" customWidth="1"/>
    <col min="13065" max="13065" width="20.140625" customWidth="1"/>
    <col min="13066" max="13066" width="14.85546875" customWidth="1"/>
    <col min="13067" max="13067" width="18.5703125" customWidth="1"/>
    <col min="13068" max="13068" width="19.28515625" customWidth="1"/>
    <col min="13069" max="13069" width="13.85546875" customWidth="1"/>
    <col min="13070" max="13070" width="20.7109375" customWidth="1"/>
    <col min="13313" max="13313" width="29.140625" customWidth="1"/>
    <col min="13314" max="13314" width="12.140625" customWidth="1"/>
    <col min="13315" max="13315" width="7.5703125" customWidth="1"/>
    <col min="13316" max="13316" width="18.140625" customWidth="1"/>
    <col min="13317" max="13317" width="7.85546875" customWidth="1"/>
    <col min="13318" max="13318" width="20.85546875" customWidth="1"/>
    <col min="13319" max="13319" width="18.5703125" customWidth="1"/>
    <col min="13320" max="13320" width="16.5703125" customWidth="1"/>
    <col min="13321" max="13321" width="20.140625" customWidth="1"/>
    <col min="13322" max="13322" width="14.85546875" customWidth="1"/>
    <col min="13323" max="13323" width="18.5703125" customWidth="1"/>
    <col min="13324" max="13324" width="19.28515625" customWidth="1"/>
    <col min="13325" max="13325" width="13.85546875" customWidth="1"/>
    <col min="13326" max="13326" width="20.7109375" customWidth="1"/>
    <col min="13569" max="13569" width="29.140625" customWidth="1"/>
    <col min="13570" max="13570" width="12.140625" customWidth="1"/>
    <col min="13571" max="13571" width="7.5703125" customWidth="1"/>
    <col min="13572" max="13572" width="18.140625" customWidth="1"/>
    <col min="13573" max="13573" width="7.85546875" customWidth="1"/>
    <col min="13574" max="13574" width="20.85546875" customWidth="1"/>
    <col min="13575" max="13575" width="18.5703125" customWidth="1"/>
    <col min="13576" max="13576" width="16.5703125" customWidth="1"/>
    <col min="13577" max="13577" width="20.140625" customWidth="1"/>
    <col min="13578" max="13578" width="14.85546875" customWidth="1"/>
    <col min="13579" max="13579" width="18.5703125" customWidth="1"/>
    <col min="13580" max="13580" width="19.28515625" customWidth="1"/>
    <col min="13581" max="13581" width="13.85546875" customWidth="1"/>
    <col min="13582" max="13582" width="20.7109375" customWidth="1"/>
    <col min="13825" max="13825" width="29.140625" customWidth="1"/>
    <col min="13826" max="13826" width="12.140625" customWidth="1"/>
    <col min="13827" max="13827" width="7.5703125" customWidth="1"/>
    <col min="13828" max="13828" width="18.140625" customWidth="1"/>
    <col min="13829" max="13829" width="7.85546875" customWidth="1"/>
    <col min="13830" max="13830" width="20.85546875" customWidth="1"/>
    <col min="13831" max="13831" width="18.5703125" customWidth="1"/>
    <col min="13832" max="13832" width="16.5703125" customWidth="1"/>
    <col min="13833" max="13833" width="20.140625" customWidth="1"/>
    <col min="13834" max="13834" width="14.85546875" customWidth="1"/>
    <col min="13835" max="13835" width="18.5703125" customWidth="1"/>
    <col min="13836" max="13836" width="19.28515625" customWidth="1"/>
    <col min="13837" max="13837" width="13.85546875" customWidth="1"/>
    <col min="13838" max="13838" width="20.7109375" customWidth="1"/>
    <col min="14081" max="14081" width="29.140625" customWidth="1"/>
    <col min="14082" max="14082" width="12.140625" customWidth="1"/>
    <col min="14083" max="14083" width="7.5703125" customWidth="1"/>
    <col min="14084" max="14084" width="18.140625" customWidth="1"/>
    <col min="14085" max="14085" width="7.85546875" customWidth="1"/>
    <col min="14086" max="14086" width="20.85546875" customWidth="1"/>
    <col min="14087" max="14087" width="18.5703125" customWidth="1"/>
    <col min="14088" max="14088" width="16.5703125" customWidth="1"/>
    <col min="14089" max="14089" width="20.140625" customWidth="1"/>
    <col min="14090" max="14090" width="14.85546875" customWidth="1"/>
    <col min="14091" max="14091" width="18.5703125" customWidth="1"/>
    <col min="14092" max="14092" width="19.28515625" customWidth="1"/>
    <col min="14093" max="14093" width="13.85546875" customWidth="1"/>
    <col min="14094" max="14094" width="20.7109375" customWidth="1"/>
    <col min="14337" max="14337" width="29.140625" customWidth="1"/>
    <col min="14338" max="14338" width="12.140625" customWidth="1"/>
    <col min="14339" max="14339" width="7.5703125" customWidth="1"/>
    <col min="14340" max="14340" width="18.140625" customWidth="1"/>
    <col min="14341" max="14341" width="7.85546875" customWidth="1"/>
    <col min="14342" max="14342" width="20.85546875" customWidth="1"/>
    <col min="14343" max="14343" width="18.5703125" customWidth="1"/>
    <col min="14344" max="14344" width="16.5703125" customWidth="1"/>
    <col min="14345" max="14345" width="20.140625" customWidth="1"/>
    <col min="14346" max="14346" width="14.85546875" customWidth="1"/>
    <col min="14347" max="14347" width="18.5703125" customWidth="1"/>
    <col min="14348" max="14348" width="19.28515625" customWidth="1"/>
    <col min="14349" max="14349" width="13.85546875" customWidth="1"/>
    <col min="14350" max="14350" width="20.7109375" customWidth="1"/>
    <col min="14593" max="14593" width="29.140625" customWidth="1"/>
    <col min="14594" max="14594" width="12.140625" customWidth="1"/>
    <col min="14595" max="14595" width="7.5703125" customWidth="1"/>
    <col min="14596" max="14596" width="18.140625" customWidth="1"/>
    <col min="14597" max="14597" width="7.85546875" customWidth="1"/>
    <col min="14598" max="14598" width="20.85546875" customWidth="1"/>
    <col min="14599" max="14599" width="18.5703125" customWidth="1"/>
    <col min="14600" max="14600" width="16.5703125" customWidth="1"/>
    <col min="14601" max="14601" width="20.140625" customWidth="1"/>
    <col min="14602" max="14602" width="14.85546875" customWidth="1"/>
    <col min="14603" max="14603" width="18.5703125" customWidth="1"/>
    <col min="14604" max="14604" width="19.28515625" customWidth="1"/>
    <col min="14605" max="14605" width="13.85546875" customWidth="1"/>
    <col min="14606" max="14606" width="20.7109375" customWidth="1"/>
    <col min="14849" max="14849" width="29.140625" customWidth="1"/>
    <col min="14850" max="14850" width="12.140625" customWidth="1"/>
    <col min="14851" max="14851" width="7.5703125" customWidth="1"/>
    <col min="14852" max="14852" width="18.140625" customWidth="1"/>
    <col min="14853" max="14853" width="7.85546875" customWidth="1"/>
    <col min="14854" max="14854" width="20.85546875" customWidth="1"/>
    <col min="14855" max="14855" width="18.5703125" customWidth="1"/>
    <col min="14856" max="14856" width="16.5703125" customWidth="1"/>
    <col min="14857" max="14857" width="20.140625" customWidth="1"/>
    <col min="14858" max="14858" width="14.85546875" customWidth="1"/>
    <col min="14859" max="14859" width="18.5703125" customWidth="1"/>
    <col min="14860" max="14860" width="19.28515625" customWidth="1"/>
    <col min="14861" max="14861" width="13.85546875" customWidth="1"/>
    <col min="14862" max="14862" width="20.7109375" customWidth="1"/>
    <col min="15105" max="15105" width="29.140625" customWidth="1"/>
    <col min="15106" max="15106" width="12.140625" customWidth="1"/>
    <col min="15107" max="15107" width="7.5703125" customWidth="1"/>
    <col min="15108" max="15108" width="18.140625" customWidth="1"/>
    <col min="15109" max="15109" width="7.85546875" customWidth="1"/>
    <col min="15110" max="15110" width="20.85546875" customWidth="1"/>
    <col min="15111" max="15111" width="18.5703125" customWidth="1"/>
    <col min="15112" max="15112" width="16.5703125" customWidth="1"/>
    <col min="15113" max="15113" width="20.140625" customWidth="1"/>
    <col min="15114" max="15114" width="14.85546875" customWidth="1"/>
    <col min="15115" max="15115" width="18.5703125" customWidth="1"/>
    <col min="15116" max="15116" width="19.28515625" customWidth="1"/>
    <col min="15117" max="15117" width="13.85546875" customWidth="1"/>
    <col min="15118" max="15118" width="20.7109375" customWidth="1"/>
    <col min="15361" max="15361" width="29.140625" customWidth="1"/>
    <col min="15362" max="15362" width="12.140625" customWidth="1"/>
    <col min="15363" max="15363" width="7.5703125" customWidth="1"/>
    <col min="15364" max="15364" width="18.140625" customWidth="1"/>
    <col min="15365" max="15365" width="7.85546875" customWidth="1"/>
    <col min="15366" max="15366" width="20.85546875" customWidth="1"/>
    <col min="15367" max="15367" width="18.5703125" customWidth="1"/>
    <col min="15368" max="15368" width="16.5703125" customWidth="1"/>
    <col min="15369" max="15369" width="20.140625" customWidth="1"/>
    <col min="15370" max="15370" width="14.85546875" customWidth="1"/>
    <col min="15371" max="15371" width="18.5703125" customWidth="1"/>
    <col min="15372" max="15372" width="19.28515625" customWidth="1"/>
    <col min="15373" max="15373" width="13.85546875" customWidth="1"/>
    <col min="15374" max="15374" width="20.7109375" customWidth="1"/>
    <col min="15617" max="15617" width="29.140625" customWidth="1"/>
    <col min="15618" max="15618" width="12.140625" customWidth="1"/>
    <col min="15619" max="15619" width="7.5703125" customWidth="1"/>
    <col min="15620" max="15620" width="18.140625" customWidth="1"/>
    <col min="15621" max="15621" width="7.85546875" customWidth="1"/>
    <col min="15622" max="15622" width="20.85546875" customWidth="1"/>
    <col min="15623" max="15623" width="18.5703125" customWidth="1"/>
    <col min="15624" max="15624" width="16.5703125" customWidth="1"/>
    <col min="15625" max="15625" width="20.140625" customWidth="1"/>
    <col min="15626" max="15626" width="14.85546875" customWidth="1"/>
    <col min="15627" max="15627" width="18.5703125" customWidth="1"/>
    <col min="15628" max="15628" width="19.28515625" customWidth="1"/>
    <col min="15629" max="15629" width="13.85546875" customWidth="1"/>
    <col min="15630" max="15630" width="20.7109375" customWidth="1"/>
    <col min="15873" max="15873" width="29.140625" customWidth="1"/>
    <col min="15874" max="15874" width="12.140625" customWidth="1"/>
    <col min="15875" max="15875" width="7.5703125" customWidth="1"/>
    <col min="15876" max="15876" width="18.140625" customWidth="1"/>
    <col min="15877" max="15877" width="7.85546875" customWidth="1"/>
    <col min="15878" max="15878" width="20.85546875" customWidth="1"/>
    <col min="15879" max="15879" width="18.5703125" customWidth="1"/>
    <col min="15880" max="15880" width="16.5703125" customWidth="1"/>
    <col min="15881" max="15881" width="20.140625" customWidth="1"/>
    <col min="15882" max="15882" width="14.85546875" customWidth="1"/>
    <col min="15883" max="15883" width="18.5703125" customWidth="1"/>
    <col min="15884" max="15884" width="19.28515625" customWidth="1"/>
    <col min="15885" max="15885" width="13.85546875" customWidth="1"/>
    <col min="15886" max="15886" width="20.7109375" customWidth="1"/>
    <col min="16129" max="16129" width="29.140625" customWidth="1"/>
    <col min="16130" max="16130" width="12.140625" customWidth="1"/>
    <col min="16131" max="16131" width="7.5703125" customWidth="1"/>
    <col min="16132" max="16132" width="18.140625" customWidth="1"/>
    <col min="16133" max="16133" width="7.85546875" customWidth="1"/>
    <col min="16134" max="16134" width="20.85546875" customWidth="1"/>
    <col min="16135" max="16135" width="18.5703125" customWidth="1"/>
    <col min="16136" max="16136" width="16.5703125" customWidth="1"/>
    <col min="16137" max="16137" width="20.140625" customWidth="1"/>
    <col min="16138" max="16138" width="14.85546875" customWidth="1"/>
    <col min="16139" max="16139" width="18.5703125" customWidth="1"/>
    <col min="16140" max="16140" width="19.28515625" customWidth="1"/>
    <col min="16141" max="16141" width="13.85546875" customWidth="1"/>
    <col min="16142" max="16142" width="20.7109375" customWidth="1"/>
  </cols>
  <sheetData>
    <row r="1" spans="1:14" ht="16.5" thickTop="1" thickBot="1" x14ac:dyDescent="0.3">
      <c r="A1" s="500" t="s">
        <v>1</v>
      </c>
      <c r="B1" s="501" t="s">
        <v>155</v>
      </c>
      <c r="C1" s="502"/>
      <c r="D1" s="501" t="s">
        <v>201</v>
      </c>
      <c r="E1" s="502"/>
      <c r="F1" s="501" t="s">
        <v>202</v>
      </c>
      <c r="G1" s="503"/>
      <c r="H1" s="503"/>
      <c r="I1" s="503"/>
      <c r="J1" s="503"/>
      <c r="K1" s="503"/>
      <c r="L1" s="504"/>
      <c r="M1" s="502"/>
      <c r="N1" s="500" t="s">
        <v>164</v>
      </c>
    </row>
    <row r="2" spans="1:14" ht="16.5" thickTop="1" thickBot="1" x14ac:dyDescent="0.3">
      <c r="A2" s="500"/>
      <c r="B2" s="505" t="s">
        <v>162</v>
      </c>
      <c r="C2" s="505" t="s">
        <v>6</v>
      </c>
      <c r="D2" s="506" t="s">
        <v>141</v>
      </c>
      <c r="E2" s="506" t="s">
        <v>6</v>
      </c>
      <c r="F2" s="505" t="s">
        <v>165</v>
      </c>
      <c r="G2" s="505" t="s">
        <v>166</v>
      </c>
      <c r="H2" s="505" t="s">
        <v>167</v>
      </c>
      <c r="I2" s="505" t="s">
        <v>203</v>
      </c>
      <c r="J2" s="505" t="s">
        <v>169</v>
      </c>
      <c r="K2" s="505" t="s">
        <v>170</v>
      </c>
      <c r="L2" s="505" t="s">
        <v>204</v>
      </c>
      <c r="M2" s="505" t="s">
        <v>6</v>
      </c>
      <c r="N2" s="500"/>
    </row>
    <row r="3" spans="1:14" ht="15.75" thickTop="1" x14ac:dyDescent="0.25">
      <c r="A3" s="507" t="s">
        <v>171</v>
      </c>
      <c r="B3" s="508">
        <v>0</v>
      </c>
      <c r="C3" s="509"/>
      <c r="D3" s="464">
        <f>SUM(D4:D9)</f>
        <v>789795269.29999995</v>
      </c>
      <c r="E3" s="464"/>
      <c r="F3" s="510">
        <f t="shared" ref="F3:K3" si="0">SUM(F4:F9)</f>
        <v>620860</v>
      </c>
      <c r="G3" s="510">
        <f t="shared" si="0"/>
        <v>26540145</v>
      </c>
      <c r="H3" s="510">
        <f t="shared" si="0"/>
        <v>0</v>
      </c>
      <c r="I3" s="510">
        <f t="shared" si="0"/>
        <v>0</v>
      </c>
      <c r="J3" s="510">
        <f t="shared" si="0"/>
        <v>0</v>
      </c>
      <c r="K3" s="510">
        <f t="shared" si="0"/>
        <v>0</v>
      </c>
      <c r="L3" s="511">
        <f>SUM(F3:K3)</f>
        <v>27161005</v>
      </c>
      <c r="M3" s="511"/>
      <c r="N3" s="512">
        <f>+B3+D3+L3</f>
        <v>816956274.29999995</v>
      </c>
    </row>
    <row r="4" spans="1:14" x14ac:dyDescent="0.25">
      <c r="A4" s="513" t="s">
        <v>15</v>
      </c>
      <c r="B4" s="514"/>
      <c r="C4" s="514"/>
      <c r="D4" s="514">
        <f>2785706+60000+230000+236700+8341528+106323+2248728+261372475.3+17849667+5956468+11317018+49679503+15862347+336315831+186500+52500+562500+5743877+1000000+15070334+160000</f>
        <v>735138005.29999995</v>
      </c>
      <c r="E4" s="514"/>
      <c r="F4" s="515">
        <v>620860</v>
      </c>
      <c r="G4" s="515">
        <f>840000+6010000+4686043+7965920</f>
        <v>19501963</v>
      </c>
      <c r="H4" s="515"/>
      <c r="I4" s="515"/>
      <c r="J4" s="515"/>
      <c r="K4" s="515"/>
      <c r="L4" s="511">
        <f t="shared" ref="L4:L9" si="1">SUM(F4:K4)</f>
        <v>20122823</v>
      </c>
      <c r="M4" s="516"/>
      <c r="N4" s="512">
        <f t="shared" ref="N4:N9" si="2">+B4+D4+L4</f>
        <v>755260828.29999995</v>
      </c>
    </row>
    <row r="5" spans="1:14" x14ac:dyDescent="0.25">
      <c r="A5" s="513" t="s">
        <v>172</v>
      </c>
      <c r="B5" s="514"/>
      <c r="C5" s="514"/>
      <c r="D5" s="514">
        <f>88560+4000+132500+3730+7875+9450+13125+10850+37860+157750+3200+40000</f>
        <v>508900</v>
      </c>
      <c r="E5" s="514"/>
      <c r="F5" s="515"/>
      <c r="G5" s="515"/>
      <c r="H5" s="515"/>
      <c r="I5" s="515"/>
      <c r="J5" s="515"/>
      <c r="K5" s="515"/>
      <c r="L5" s="511">
        <f t="shared" si="1"/>
        <v>0</v>
      </c>
      <c r="M5" s="516"/>
      <c r="N5" s="512">
        <f t="shared" si="2"/>
        <v>508900</v>
      </c>
    </row>
    <row r="6" spans="1:14" x14ac:dyDescent="0.25">
      <c r="A6" s="513" t="s">
        <v>173</v>
      </c>
      <c r="B6" s="514"/>
      <c r="C6" s="514"/>
      <c r="D6" s="514">
        <f>2210000+125000+5779135+1428705+2614244+10220237+321552</f>
        <v>22698873</v>
      </c>
      <c r="E6" s="514"/>
      <c r="F6" s="515"/>
      <c r="G6" s="515">
        <v>4468182</v>
      </c>
      <c r="H6" s="515"/>
      <c r="I6" s="515"/>
      <c r="J6" s="515"/>
      <c r="K6" s="515"/>
      <c r="L6" s="511">
        <f t="shared" si="1"/>
        <v>4468182</v>
      </c>
      <c r="M6" s="516"/>
      <c r="N6" s="512">
        <f t="shared" si="2"/>
        <v>27167055</v>
      </c>
    </row>
    <row r="7" spans="1:14" x14ac:dyDescent="0.25">
      <c r="A7" s="513" t="s">
        <v>172</v>
      </c>
      <c r="B7" s="514"/>
      <c r="C7" s="514"/>
      <c r="D7" s="514">
        <f>3200+40000+30000+54000</f>
        <v>127200</v>
      </c>
      <c r="E7" s="514"/>
      <c r="F7" s="515"/>
      <c r="G7" s="515"/>
      <c r="H7" s="515"/>
      <c r="I7" s="515"/>
      <c r="J7" s="515"/>
      <c r="K7" s="515"/>
      <c r="L7" s="511">
        <f t="shared" si="1"/>
        <v>0</v>
      </c>
      <c r="M7" s="516"/>
      <c r="N7" s="512">
        <f t="shared" si="2"/>
        <v>127200</v>
      </c>
    </row>
    <row r="8" spans="1:14" x14ac:dyDescent="0.25">
      <c r="A8" s="513" t="s">
        <v>174</v>
      </c>
      <c r="B8" s="514"/>
      <c r="C8" s="514"/>
      <c r="D8" s="514">
        <f>1060000+1765300+1250000+2402500+3276228+1254546+100000+2733007+2436315+2845281+555500+6731730+3152084+100000+440000+220000+360000</f>
        <v>30682491</v>
      </c>
      <c r="E8" s="514"/>
      <c r="F8" s="515"/>
      <c r="G8" s="515">
        <f>270000+1000000+600000+700000</f>
        <v>2570000</v>
      </c>
      <c r="H8" s="515"/>
      <c r="I8" s="515"/>
      <c r="J8" s="515"/>
      <c r="K8" s="515"/>
      <c r="L8" s="511">
        <f t="shared" si="1"/>
        <v>2570000</v>
      </c>
      <c r="M8" s="516"/>
      <c r="N8" s="512">
        <f t="shared" si="2"/>
        <v>33252491</v>
      </c>
    </row>
    <row r="9" spans="1:14" x14ac:dyDescent="0.25">
      <c r="A9" s="513" t="s">
        <v>172</v>
      </c>
      <c r="B9" s="514"/>
      <c r="C9" s="514"/>
      <c r="D9" s="514">
        <f>27000+259200+45800+105000+2000+22000+110000+61600+7200</f>
        <v>639800</v>
      </c>
      <c r="E9" s="514"/>
      <c r="F9" s="515"/>
      <c r="G9" s="515"/>
      <c r="H9" s="515"/>
      <c r="I9" s="515"/>
      <c r="J9" s="515"/>
      <c r="K9" s="515"/>
      <c r="L9" s="511">
        <f t="shared" si="1"/>
        <v>0</v>
      </c>
      <c r="M9" s="516"/>
      <c r="N9" s="512">
        <f t="shared" si="2"/>
        <v>639800</v>
      </c>
    </row>
    <row r="10" spans="1:14" x14ac:dyDescent="0.25">
      <c r="A10" s="513"/>
      <c r="B10" s="514"/>
      <c r="C10" s="514"/>
      <c r="D10" s="514"/>
      <c r="E10" s="514"/>
      <c r="F10" s="515"/>
      <c r="G10" s="515"/>
      <c r="H10" s="515"/>
      <c r="I10" s="515"/>
      <c r="J10" s="515"/>
      <c r="K10" s="515"/>
      <c r="L10" s="517"/>
      <c r="M10" s="517"/>
      <c r="N10" s="518"/>
    </row>
    <row r="11" spans="1:14" x14ac:dyDescent="0.25">
      <c r="A11" s="519" t="s">
        <v>175</v>
      </c>
      <c r="B11" s="520">
        <f>SUM(B12:B21)</f>
        <v>0</v>
      </c>
      <c r="C11" s="520"/>
      <c r="D11" s="520">
        <f>SUM(D12:D21)</f>
        <v>4787366901.8800001</v>
      </c>
      <c r="E11" s="520"/>
      <c r="F11" s="521">
        <f t="shared" ref="F11:K11" si="3">SUM(F12:F21)</f>
        <v>41946426.799999997</v>
      </c>
      <c r="G11" s="521">
        <f t="shared" si="3"/>
        <v>83828915</v>
      </c>
      <c r="H11" s="521">
        <f t="shared" si="3"/>
        <v>0</v>
      </c>
      <c r="I11" s="521">
        <f t="shared" si="3"/>
        <v>0</v>
      </c>
      <c r="J11" s="521">
        <f t="shared" si="3"/>
        <v>0</v>
      </c>
      <c r="K11" s="521">
        <f t="shared" si="3"/>
        <v>0</v>
      </c>
      <c r="L11" s="522">
        <f>SUM(F11:K11)</f>
        <v>125775341.8</v>
      </c>
      <c r="M11" s="522"/>
      <c r="N11" s="512">
        <f>+B11+D11+L11</f>
        <v>4913142243.6800003</v>
      </c>
    </row>
    <row r="12" spans="1:14" x14ac:dyDescent="0.25">
      <c r="A12" s="513" t="s">
        <v>176</v>
      </c>
      <c r="B12" s="514"/>
      <c r="C12" s="514"/>
      <c r="D12" s="514">
        <f>74200+3247014+36821328+572324778+1035278792.7+7828793+122002404+445292048+126516393+1321100+168969984+40415251+2137842+273937602+10856414+1068880+9464455+670455+29456873+8000000</f>
        <v>2895684606.6999998</v>
      </c>
      <c r="E12" s="514"/>
      <c r="F12" s="515">
        <f>18660498+22830158.8</f>
        <v>41490656.799999997</v>
      </c>
      <c r="G12" s="515">
        <f>3136870+683478+7824517+38042835</f>
        <v>49687700</v>
      </c>
      <c r="H12" s="515"/>
      <c r="I12" s="515"/>
      <c r="J12" s="515"/>
      <c r="K12" s="515"/>
      <c r="L12" s="522">
        <f t="shared" ref="L12:L21" si="4">SUM(F12:K12)</f>
        <v>91178356.799999997</v>
      </c>
      <c r="M12" s="517"/>
      <c r="N12" s="512">
        <f>B12+D12+L12</f>
        <v>2986862963.5</v>
      </c>
    </row>
    <row r="13" spans="1:14" x14ac:dyDescent="0.25">
      <c r="A13" s="513" t="s">
        <v>172</v>
      </c>
      <c r="B13" s="514"/>
      <c r="C13" s="514"/>
      <c r="D13" s="514">
        <f>360591+1019837+428670+58302+21378+267220+251248</f>
        <v>2407246</v>
      </c>
      <c r="E13" s="514"/>
      <c r="F13" s="515"/>
      <c r="G13" s="515"/>
      <c r="H13" s="515"/>
      <c r="I13" s="515"/>
      <c r="J13" s="515"/>
      <c r="K13" s="515"/>
      <c r="L13" s="522">
        <f t="shared" si="4"/>
        <v>0</v>
      </c>
      <c r="M13" s="517"/>
      <c r="N13" s="512">
        <f t="shared" ref="N13:N21" si="5">B13+D13+L13</f>
        <v>2407246</v>
      </c>
    </row>
    <row r="14" spans="1:14" x14ac:dyDescent="0.25">
      <c r="A14" s="513" t="s">
        <v>177</v>
      </c>
      <c r="B14" s="514"/>
      <c r="C14" s="514"/>
      <c r="D14" s="514">
        <f>1132200+1380000+2942307.3+12667701+49838413+270671927+110545466+1917300+254728990+49308586+1348900+2124570+89272871+80707342+76960143+222870956+1736450+7782201+24587252+4449655+2362495+576500+385741.5+2519490</f>
        <v>1272817456.8</v>
      </c>
      <c r="E14" s="514"/>
      <c r="F14" s="515">
        <f>401850+53920</f>
        <v>455770</v>
      </c>
      <c r="G14" s="515">
        <f>4123071+5947600+31818+5287560+150000+4090201+12849582+1578183</f>
        <v>34058015</v>
      </c>
      <c r="H14" s="515"/>
      <c r="I14" s="515"/>
      <c r="J14" s="515"/>
      <c r="K14" s="515"/>
      <c r="L14" s="522">
        <f t="shared" si="4"/>
        <v>34513785</v>
      </c>
      <c r="M14" s="517"/>
      <c r="N14" s="512">
        <f t="shared" si="5"/>
        <v>1307331241.8</v>
      </c>
    </row>
    <row r="15" spans="1:14" x14ac:dyDescent="0.25">
      <c r="A15" s="513" t="s">
        <v>172</v>
      </c>
      <c r="B15" s="514"/>
      <c r="C15" s="514"/>
      <c r="D15" s="514">
        <f>12418+155225+14236+46000+28750+184136+786510+424684+276226+637076+32085+18875+65674+341500+84305+130625+50529.55+320431.83+469490+25384+193875+303000+21118+129875+114261+45149+738800</f>
        <v>5650238.3799999999</v>
      </c>
      <c r="E15" s="514"/>
      <c r="F15" s="515"/>
      <c r="G15" s="515"/>
      <c r="H15" s="515"/>
      <c r="I15" s="515"/>
      <c r="J15" s="515"/>
      <c r="K15" s="515"/>
      <c r="L15" s="522">
        <f>SUM(F15:K15)</f>
        <v>0</v>
      </c>
      <c r="M15" s="517"/>
      <c r="N15" s="512">
        <f t="shared" si="5"/>
        <v>5650238.3799999999</v>
      </c>
    </row>
    <row r="16" spans="1:14" x14ac:dyDescent="0.25">
      <c r="A16" s="513" t="s">
        <v>178</v>
      </c>
      <c r="B16" s="514"/>
      <c r="C16" s="514"/>
      <c r="D16" s="514">
        <f>3150000+4727080+4324567+900000+96824416+32659495+1114500+25972080+15175558+7447874+4734000+5238524+243000+5503930+600000</f>
        <v>208615024</v>
      </c>
      <c r="E16" s="514"/>
      <c r="F16" s="515"/>
      <c r="G16" s="515">
        <v>83200</v>
      </c>
      <c r="H16" s="515"/>
      <c r="I16" s="515"/>
      <c r="J16" s="515"/>
      <c r="K16" s="515"/>
      <c r="L16" s="522">
        <f t="shared" si="4"/>
        <v>83200</v>
      </c>
      <c r="M16" s="517"/>
      <c r="N16" s="512">
        <f t="shared" si="5"/>
        <v>208698224</v>
      </c>
    </row>
    <row r="17" spans="1:14" x14ac:dyDescent="0.25">
      <c r="A17" s="513" t="s">
        <v>172</v>
      </c>
      <c r="B17" s="514"/>
      <c r="C17" s="514"/>
      <c r="D17" s="514">
        <f>466597+13290+76180+1191483</f>
        <v>1747550</v>
      </c>
      <c r="E17" s="514"/>
      <c r="F17" s="515"/>
      <c r="G17" s="515"/>
      <c r="H17" s="515"/>
      <c r="I17" s="515"/>
      <c r="J17" s="515"/>
      <c r="K17" s="515"/>
      <c r="L17" s="522">
        <f t="shared" si="4"/>
        <v>0</v>
      </c>
      <c r="M17" s="517"/>
      <c r="N17" s="512">
        <f t="shared" si="5"/>
        <v>1747550</v>
      </c>
    </row>
    <row r="18" spans="1:14" x14ac:dyDescent="0.25">
      <c r="A18" s="513" t="s">
        <v>179</v>
      </c>
      <c r="B18" s="514"/>
      <c r="C18" s="514"/>
      <c r="D18" s="514">
        <f>50000+7481427+24356206+640098+6000</f>
        <v>32533731</v>
      </c>
      <c r="E18" s="514"/>
      <c r="F18" s="515"/>
      <c r="G18" s="515"/>
      <c r="H18" s="515"/>
      <c r="I18" s="515"/>
      <c r="J18" s="515"/>
      <c r="K18" s="515"/>
      <c r="L18" s="522">
        <f t="shared" si="4"/>
        <v>0</v>
      </c>
      <c r="M18" s="517"/>
      <c r="N18" s="512">
        <f t="shared" si="5"/>
        <v>32533731</v>
      </c>
    </row>
    <row r="19" spans="1:14" x14ac:dyDescent="0.25">
      <c r="A19" s="513" t="s">
        <v>172</v>
      </c>
      <c r="B19" s="514"/>
      <c r="C19" s="514"/>
      <c r="D19" s="514"/>
      <c r="E19" s="514"/>
      <c r="F19" s="515"/>
      <c r="G19" s="515"/>
      <c r="H19" s="515"/>
      <c r="I19" s="515"/>
      <c r="J19" s="515"/>
      <c r="K19" s="515"/>
      <c r="L19" s="522">
        <f t="shared" si="4"/>
        <v>0</v>
      </c>
      <c r="M19" s="517"/>
      <c r="N19" s="512">
        <f t="shared" si="5"/>
        <v>0</v>
      </c>
    </row>
    <row r="20" spans="1:14" x14ac:dyDescent="0.25">
      <c r="A20" s="513" t="s">
        <v>180</v>
      </c>
      <c r="B20" s="514"/>
      <c r="C20" s="514"/>
      <c r="D20" s="514">
        <f>1410000+2015114+5928500+7727500+2634500+5617500+2904500+5662500+5800500+13970000+19456954+19868727+18600000+52226500+42708500+5847636+61030500+15391700+40695318+38382200</f>
        <v>367878649</v>
      </c>
      <c r="E20" s="514"/>
      <c r="F20" s="515"/>
      <c r="G20" s="515"/>
      <c r="H20" s="515"/>
      <c r="I20" s="515"/>
      <c r="J20" s="515"/>
      <c r="K20" s="515"/>
      <c r="L20" s="522">
        <f t="shared" si="4"/>
        <v>0</v>
      </c>
      <c r="M20" s="517"/>
      <c r="N20" s="512">
        <f t="shared" si="5"/>
        <v>367878649</v>
      </c>
    </row>
    <row r="21" spans="1:14" x14ac:dyDescent="0.25">
      <c r="A21" s="513" t="s">
        <v>172</v>
      </c>
      <c r="B21" s="514"/>
      <c r="C21" s="514"/>
      <c r="D21" s="514">
        <f>2400+30000</f>
        <v>32400</v>
      </c>
      <c r="E21" s="514"/>
      <c r="F21" s="515"/>
      <c r="G21" s="515"/>
      <c r="H21" s="515"/>
      <c r="I21" s="515"/>
      <c r="J21" s="515"/>
      <c r="K21" s="515"/>
      <c r="L21" s="522">
        <f t="shared" si="4"/>
        <v>0</v>
      </c>
      <c r="M21" s="517"/>
      <c r="N21" s="512">
        <f t="shared" si="5"/>
        <v>32400</v>
      </c>
    </row>
    <row r="22" spans="1:14" x14ac:dyDescent="0.25">
      <c r="A22" s="513"/>
      <c r="B22" s="514"/>
      <c r="C22" s="514"/>
      <c r="D22" s="514"/>
      <c r="E22" s="514"/>
      <c r="F22" s="515"/>
      <c r="G22" s="515"/>
      <c r="H22" s="515"/>
      <c r="I22" s="515"/>
      <c r="J22" s="515"/>
      <c r="K22" s="515"/>
      <c r="L22" s="517"/>
      <c r="M22" s="517"/>
      <c r="N22" s="518"/>
    </row>
    <row r="23" spans="1:14" x14ac:dyDescent="0.25">
      <c r="A23" s="519" t="s">
        <v>181</v>
      </c>
      <c r="B23" s="520">
        <f>SUM(B24:B37)</f>
        <v>0</v>
      </c>
      <c r="C23" s="520"/>
      <c r="D23" s="520">
        <f>SUM(D24:D37)</f>
        <v>85544912.099999994</v>
      </c>
      <c r="E23" s="520"/>
      <c r="F23" s="521">
        <f t="shared" ref="F23:K23" si="6">SUM(F24:F37)</f>
        <v>0</v>
      </c>
      <c r="G23" s="521">
        <f t="shared" si="6"/>
        <v>32685465</v>
      </c>
      <c r="H23" s="521">
        <f t="shared" si="6"/>
        <v>0</v>
      </c>
      <c r="I23" s="521">
        <f t="shared" si="6"/>
        <v>0</v>
      </c>
      <c r="J23" s="521">
        <f t="shared" si="6"/>
        <v>0</v>
      </c>
      <c r="K23" s="521">
        <f t="shared" si="6"/>
        <v>0</v>
      </c>
      <c r="L23" s="522">
        <f>SUM(F23:K23)</f>
        <v>32685465</v>
      </c>
      <c r="M23" s="522"/>
      <c r="N23" s="523">
        <f>SUM(N24:N37)</f>
        <v>118230377.09999999</v>
      </c>
    </row>
    <row r="24" spans="1:14" x14ac:dyDescent="0.25">
      <c r="A24" s="513" t="s">
        <v>182</v>
      </c>
      <c r="B24" s="514"/>
      <c r="C24" s="514"/>
      <c r="D24" s="514">
        <f>4609545+1523636+750000+8660128</f>
        <v>15543309</v>
      </c>
      <c r="E24" s="514"/>
      <c r="F24" s="515"/>
      <c r="G24" s="515"/>
      <c r="H24" s="515"/>
      <c r="I24" s="515"/>
      <c r="J24" s="515"/>
      <c r="K24" s="515"/>
      <c r="L24" s="517">
        <f>SUM(G24:K24)</f>
        <v>0</v>
      </c>
      <c r="M24" s="517"/>
      <c r="N24" s="524">
        <f>+B24+D24+L24</f>
        <v>15543309</v>
      </c>
    </row>
    <row r="25" spans="1:14" x14ac:dyDescent="0.25">
      <c r="A25" s="513" t="s">
        <v>172</v>
      </c>
      <c r="B25" s="514"/>
      <c r="C25" s="514"/>
      <c r="D25" s="514"/>
      <c r="E25" s="514"/>
      <c r="F25" s="515"/>
      <c r="G25" s="515"/>
      <c r="H25" s="515"/>
      <c r="I25" s="515"/>
      <c r="J25" s="515"/>
      <c r="K25" s="515"/>
      <c r="L25" s="517">
        <f t="shared" ref="L25:L37" si="7">SUM(G25:K25)</f>
        <v>0</v>
      </c>
      <c r="M25" s="517"/>
      <c r="N25" s="524">
        <f t="shared" ref="N25:N37" si="8">+B25+D25+L25</f>
        <v>0</v>
      </c>
    </row>
    <row r="26" spans="1:14" x14ac:dyDescent="0.25">
      <c r="A26" s="513" t="s">
        <v>183</v>
      </c>
      <c r="B26" s="514"/>
      <c r="C26" s="514"/>
      <c r="D26" s="514"/>
      <c r="E26" s="514"/>
      <c r="F26" s="515"/>
      <c r="G26" s="515"/>
      <c r="H26" s="515"/>
      <c r="I26" s="515"/>
      <c r="J26" s="515"/>
      <c r="K26" s="515"/>
      <c r="L26" s="517">
        <f t="shared" si="7"/>
        <v>0</v>
      </c>
      <c r="M26" s="517"/>
      <c r="N26" s="524">
        <f t="shared" si="8"/>
        <v>0</v>
      </c>
    </row>
    <row r="27" spans="1:14" x14ac:dyDescent="0.25">
      <c r="A27" s="513" t="s">
        <v>172</v>
      </c>
      <c r="B27" s="514"/>
      <c r="C27" s="514"/>
      <c r="D27" s="514"/>
      <c r="E27" s="514"/>
      <c r="F27" s="515"/>
      <c r="G27" s="515"/>
      <c r="H27" s="515"/>
      <c r="I27" s="515"/>
      <c r="J27" s="515"/>
      <c r="K27" s="515"/>
      <c r="L27" s="517">
        <f t="shared" si="7"/>
        <v>0</v>
      </c>
      <c r="M27" s="517"/>
      <c r="N27" s="524">
        <f t="shared" si="8"/>
        <v>0</v>
      </c>
    </row>
    <row r="28" spans="1:14" x14ac:dyDescent="0.25">
      <c r="A28" s="513" t="s">
        <v>184</v>
      </c>
      <c r="B28" s="514"/>
      <c r="C28" s="514"/>
      <c r="D28" s="514">
        <f>575599+106000+7251773+515100</f>
        <v>8448472</v>
      </c>
      <c r="E28" s="514"/>
      <c r="F28" s="515"/>
      <c r="G28" s="515">
        <v>30145068</v>
      </c>
      <c r="H28" s="515"/>
      <c r="I28" s="515"/>
      <c r="J28" s="515"/>
      <c r="K28" s="515"/>
      <c r="L28" s="517">
        <f t="shared" si="7"/>
        <v>30145068</v>
      </c>
      <c r="M28" s="517"/>
      <c r="N28" s="524">
        <f t="shared" si="8"/>
        <v>38593540</v>
      </c>
    </row>
    <row r="29" spans="1:14" x14ac:dyDescent="0.25">
      <c r="A29" s="513" t="s">
        <v>172</v>
      </c>
      <c r="B29" s="514"/>
      <c r="C29" s="514"/>
      <c r="D29" s="514"/>
      <c r="E29" s="514"/>
      <c r="F29" s="515"/>
      <c r="G29" s="515">
        <v>602901</v>
      </c>
      <c r="H29" s="515"/>
      <c r="I29" s="515"/>
      <c r="J29" s="515"/>
      <c r="K29" s="515"/>
      <c r="L29" s="517">
        <f t="shared" si="7"/>
        <v>602901</v>
      </c>
      <c r="M29" s="517"/>
      <c r="N29" s="524">
        <f t="shared" si="8"/>
        <v>602901</v>
      </c>
    </row>
    <row r="30" spans="1:14" x14ac:dyDescent="0.25">
      <c r="A30" s="513" t="s">
        <v>185</v>
      </c>
      <c r="B30" s="514"/>
      <c r="C30" s="514"/>
      <c r="D30" s="514">
        <f>72000+264000</f>
        <v>336000</v>
      </c>
      <c r="E30" s="514"/>
      <c r="F30" s="515"/>
      <c r="G30" s="515"/>
      <c r="H30" s="515"/>
      <c r="I30" s="515"/>
      <c r="J30" s="515"/>
      <c r="K30" s="515"/>
      <c r="L30" s="517">
        <f t="shared" si="7"/>
        <v>0</v>
      </c>
      <c r="M30" s="517"/>
      <c r="N30" s="524">
        <f t="shared" si="8"/>
        <v>336000</v>
      </c>
    </row>
    <row r="31" spans="1:14" x14ac:dyDescent="0.25">
      <c r="A31" s="513" t="s">
        <v>172</v>
      </c>
      <c r="B31" s="514"/>
      <c r="C31" s="514"/>
      <c r="D31" s="514">
        <v>5280</v>
      </c>
      <c r="E31" s="514"/>
      <c r="F31" s="515"/>
      <c r="G31" s="515"/>
      <c r="H31" s="515"/>
      <c r="I31" s="515"/>
      <c r="J31" s="515"/>
      <c r="K31" s="515"/>
      <c r="L31" s="517">
        <f t="shared" si="7"/>
        <v>0</v>
      </c>
      <c r="M31" s="517"/>
      <c r="N31" s="524">
        <f t="shared" si="8"/>
        <v>5280</v>
      </c>
    </row>
    <row r="32" spans="1:14" x14ac:dyDescent="0.25">
      <c r="A32" s="513" t="s">
        <v>186</v>
      </c>
      <c r="B32" s="514"/>
      <c r="C32" s="514"/>
      <c r="D32" s="514">
        <f>3069000+18816425+136400+132275</f>
        <v>22154100</v>
      </c>
      <c r="E32" s="514"/>
      <c r="F32" s="515"/>
      <c r="G32" s="515"/>
      <c r="H32" s="515"/>
      <c r="I32" s="515"/>
      <c r="J32" s="515"/>
      <c r="K32" s="515"/>
      <c r="L32" s="517">
        <f t="shared" si="7"/>
        <v>0</v>
      </c>
      <c r="M32" s="517"/>
      <c r="N32" s="524">
        <f t="shared" si="8"/>
        <v>22154100</v>
      </c>
    </row>
    <row r="33" spans="1:14" x14ac:dyDescent="0.25">
      <c r="A33" s="513" t="s">
        <v>172</v>
      </c>
      <c r="B33" s="514"/>
      <c r="C33" s="514"/>
      <c r="D33" s="514"/>
      <c r="E33" s="514"/>
      <c r="F33" s="515"/>
      <c r="G33" s="515"/>
      <c r="H33" s="515"/>
      <c r="I33" s="515"/>
      <c r="J33" s="515"/>
      <c r="K33" s="515"/>
      <c r="L33" s="517">
        <f t="shared" si="7"/>
        <v>0</v>
      </c>
      <c r="M33" s="517"/>
      <c r="N33" s="524">
        <f t="shared" si="8"/>
        <v>0</v>
      </c>
    </row>
    <row r="34" spans="1:14" x14ac:dyDescent="0.25">
      <c r="A34" s="513" t="s">
        <v>187</v>
      </c>
      <c r="B34" s="514"/>
      <c r="C34" s="514"/>
      <c r="D34" s="514">
        <f>238100+100000+172500+10259776+1645600+2337136+165000+12907047</f>
        <v>27825159</v>
      </c>
      <c r="E34" s="514"/>
      <c r="F34" s="515"/>
      <c r="G34" s="515">
        <v>1403496</v>
      </c>
      <c r="H34" s="515"/>
      <c r="I34" s="515"/>
      <c r="J34" s="515"/>
      <c r="K34" s="515"/>
      <c r="L34" s="517">
        <f t="shared" si="7"/>
        <v>1403496</v>
      </c>
      <c r="M34" s="517"/>
      <c r="N34" s="524">
        <f t="shared" si="8"/>
        <v>29228655</v>
      </c>
    </row>
    <row r="35" spans="1:14" x14ac:dyDescent="0.25">
      <c r="A35" s="513" t="s">
        <v>172</v>
      </c>
      <c r="B35" s="514"/>
      <c r="C35" s="514"/>
      <c r="D35" s="514"/>
      <c r="E35" s="514"/>
      <c r="F35" s="515"/>
      <c r="G35" s="515"/>
      <c r="H35" s="515"/>
      <c r="I35" s="515"/>
      <c r="J35" s="515"/>
      <c r="K35" s="515"/>
      <c r="L35" s="517">
        <f t="shared" si="7"/>
        <v>0</v>
      </c>
      <c r="M35" s="517"/>
      <c r="N35" s="524">
        <f t="shared" si="8"/>
        <v>0</v>
      </c>
    </row>
    <row r="36" spans="1:14" x14ac:dyDescent="0.25">
      <c r="A36" s="513" t="s">
        <v>188</v>
      </c>
      <c r="B36" s="514"/>
      <c r="C36" s="514"/>
      <c r="D36" s="514">
        <f>84000+78500+6822727.1+640455+216300+968910+1368500+398000+560000</f>
        <v>11137392.1</v>
      </c>
      <c r="E36" s="514"/>
      <c r="F36" s="515"/>
      <c r="G36" s="515">
        <v>534000</v>
      </c>
      <c r="H36" s="515"/>
      <c r="I36" s="515"/>
      <c r="J36" s="515"/>
      <c r="K36" s="515"/>
      <c r="L36" s="517">
        <f t="shared" si="7"/>
        <v>534000</v>
      </c>
      <c r="M36" s="517"/>
      <c r="N36" s="524">
        <f t="shared" si="8"/>
        <v>11671392.1</v>
      </c>
    </row>
    <row r="37" spans="1:14" x14ac:dyDescent="0.25">
      <c r="A37" s="513" t="s">
        <v>172</v>
      </c>
      <c r="B37" s="514"/>
      <c r="C37" s="514"/>
      <c r="D37" s="514">
        <f>84000+11200</f>
        <v>95200</v>
      </c>
      <c r="E37" s="514"/>
      <c r="F37" s="515"/>
      <c r="G37" s="515"/>
      <c r="H37" s="515"/>
      <c r="I37" s="515"/>
      <c r="J37" s="515"/>
      <c r="K37" s="515"/>
      <c r="L37" s="517">
        <f t="shared" si="7"/>
        <v>0</v>
      </c>
      <c r="M37" s="517"/>
      <c r="N37" s="524">
        <f t="shared" si="8"/>
        <v>95200</v>
      </c>
    </row>
    <row r="38" spans="1:14" x14ac:dyDescent="0.25">
      <c r="A38" s="513"/>
      <c r="B38" s="514"/>
      <c r="C38" s="514"/>
      <c r="D38" s="514"/>
      <c r="E38" s="514"/>
      <c r="F38" s="515"/>
      <c r="G38" s="515"/>
      <c r="H38" s="515"/>
      <c r="I38" s="515"/>
      <c r="J38" s="515"/>
      <c r="K38" s="515"/>
      <c r="L38" s="517"/>
      <c r="M38" s="517"/>
      <c r="N38" s="518"/>
    </row>
    <row r="39" spans="1:14" x14ac:dyDescent="0.25">
      <c r="A39" s="519" t="s">
        <v>189</v>
      </c>
      <c r="B39" s="520">
        <f>SUM(B40:B41)</f>
        <v>0</v>
      </c>
      <c r="C39" s="520"/>
      <c r="D39" s="520">
        <f>SUM(D40:D41)</f>
        <v>115073114.75</v>
      </c>
      <c r="E39" s="520"/>
      <c r="F39" s="521">
        <f t="shared" ref="F39:K39" si="9">SUM(F40:F41)</f>
        <v>0</v>
      </c>
      <c r="G39" s="521">
        <f t="shared" si="9"/>
        <v>0</v>
      </c>
      <c r="H39" s="521">
        <f t="shared" si="9"/>
        <v>0</v>
      </c>
      <c r="I39" s="521">
        <f t="shared" si="9"/>
        <v>0</v>
      </c>
      <c r="J39" s="521">
        <f t="shared" si="9"/>
        <v>0</v>
      </c>
      <c r="K39" s="521">
        <f t="shared" si="9"/>
        <v>0</v>
      </c>
      <c r="L39" s="522">
        <f>SUM(F39:K39)</f>
        <v>0</v>
      </c>
      <c r="M39" s="522"/>
      <c r="N39" s="523">
        <f>SUM(N40:N41)</f>
        <v>115073114.75</v>
      </c>
    </row>
    <row r="40" spans="1:14" x14ac:dyDescent="0.25">
      <c r="A40" s="513" t="s">
        <v>21</v>
      </c>
      <c r="B40" s="514"/>
      <c r="C40" s="514"/>
      <c r="D40" s="514">
        <f>6862500+11639596.75+27080000+12902176+15518562+14062300+582798+6519375+1647000+16258807+2000000</f>
        <v>115073114.75</v>
      </c>
      <c r="E40" s="514"/>
      <c r="F40" s="515"/>
      <c r="G40" s="515"/>
      <c r="H40" s="515"/>
      <c r="I40" s="515"/>
      <c r="J40" s="515"/>
      <c r="K40" s="515"/>
      <c r="L40" s="517"/>
      <c r="M40" s="517"/>
      <c r="N40" s="518">
        <f>+B40+D40+L40</f>
        <v>115073114.75</v>
      </c>
    </row>
    <row r="41" spans="1:14" x14ac:dyDescent="0.25">
      <c r="A41" s="513" t="s">
        <v>190</v>
      </c>
      <c r="B41" s="514"/>
      <c r="C41" s="514"/>
      <c r="D41" s="514"/>
      <c r="E41" s="514"/>
      <c r="F41" s="515"/>
      <c r="G41" s="515"/>
      <c r="H41" s="515"/>
      <c r="I41" s="515"/>
      <c r="J41" s="515"/>
      <c r="K41" s="515"/>
      <c r="L41" s="517"/>
      <c r="M41" s="517"/>
      <c r="N41" s="518">
        <f>+B41+D41+L41</f>
        <v>0</v>
      </c>
    </row>
    <row r="42" spans="1:14" x14ac:dyDescent="0.25">
      <c r="A42" s="519" t="s">
        <v>191</v>
      </c>
      <c r="B42" s="520"/>
      <c r="C42" s="520"/>
      <c r="D42" s="520">
        <v>7299961768</v>
      </c>
      <c r="E42" s="520"/>
      <c r="F42" s="521"/>
      <c r="G42" s="521"/>
      <c r="H42" s="521"/>
      <c r="I42" s="521"/>
      <c r="J42" s="521"/>
      <c r="K42" s="521"/>
      <c r="L42" s="522"/>
      <c r="M42" s="522"/>
      <c r="N42" s="523">
        <f>+B42+D42+L42</f>
        <v>7299961768</v>
      </c>
    </row>
    <row r="43" spans="1:14" x14ac:dyDescent="0.25">
      <c r="A43" s="519" t="s">
        <v>192</v>
      </c>
      <c r="B43" s="520">
        <f>SUM(B44:B45)</f>
        <v>0</v>
      </c>
      <c r="C43" s="520"/>
      <c r="D43" s="520">
        <f>SUM(D44:D45)</f>
        <v>407796331</v>
      </c>
      <c r="E43" s="520"/>
      <c r="F43" s="521">
        <f t="shared" ref="F43:K43" si="10">SUM(F44:F45)</f>
        <v>0</v>
      </c>
      <c r="G43" s="521">
        <f t="shared" si="10"/>
        <v>0</v>
      </c>
      <c r="H43" s="521">
        <f t="shared" si="10"/>
        <v>0</v>
      </c>
      <c r="I43" s="521">
        <f t="shared" si="10"/>
        <v>0</v>
      </c>
      <c r="J43" s="521">
        <f t="shared" si="10"/>
        <v>0</v>
      </c>
      <c r="K43" s="521">
        <f t="shared" si="10"/>
        <v>0</v>
      </c>
      <c r="L43" s="521">
        <f>SUM(F43:K43)</f>
        <v>0</v>
      </c>
      <c r="M43" s="521"/>
      <c r="N43" s="521">
        <f>SUM(N44:N45)</f>
        <v>407796331</v>
      </c>
    </row>
    <row r="44" spans="1:14" x14ac:dyDescent="0.25">
      <c r="A44" s="513" t="s">
        <v>25</v>
      </c>
      <c r="B44" s="514"/>
      <c r="C44" s="514"/>
      <c r="D44" s="514">
        <f>490000+60000+1500000+6823600+7989600+1300000+21978200+124917600+73601600+12687000+20738901+113051992+8202200+560000+6291800+7297202+70000-143082</f>
        <v>407416613</v>
      </c>
      <c r="E44" s="514"/>
      <c r="F44" s="515"/>
      <c r="G44" s="515"/>
      <c r="H44" s="515"/>
      <c r="I44" s="515"/>
      <c r="J44" s="515"/>
      <c r="K44" s="515"/>
      <c r="L44" s="517"/>
      <c r="M44" s="517"/>
      <c r="N44" s="518">
        <f>+B44+D44+L44</f>
        <v>407416613</v>
      </c>
    </row>
    <row r="45" spans="1:14" x14ac:dyDescent="0.25">
      <c r="A45" s="513" t="s">
        <v>193</v>
      </c>
      <c r="B45" s="514"/>
      <c r="C45" s="514"/>
      <c r="D45" s="514">
        <f>5000+16200+67500+3200+125836+1400+17500+143082</f>
        <v>379718</v>
      </c>
      <c r="E45" s="514"/>
      <c r="F45" s="515"/>
      <c r="G45" s="515"/>
      <c r="H45" s="515"/>
      <c r="I45" s="515"/>
      <c r="J45" s="515"/>
      <c r="K45" s="515"/>
      <c r="L45" s="517"/>
      <c r="M45" s="517"/>
      <c r="N45" s="518">
        <f>+B45+D45+L45</f>
        <v>379718</v>
      </c>
    </row>
    <row r="46" spans="1:14" x14ac:dyDescent="0.25">
      <c r="A46" s="519" t="s">
        <v>194</v>
      </c>
      <c r="B46" s="520">
        <f>SUM(B47:B48)</f>
        <v>0</v>
      </c>
      <c r="C46" s="520"/>
      <c r="D46" s="520">
        <f>SUM(D47:D48)</f>
        <v>353037252</v>
      </c>
      <c r="E46" s="520"/>
      <c r="F46" s="521">
        <f t="shared" ref="F46:K46" si="11">SUM(F47:F48)</f>
        <v>3755312</v>
      </c>
      <c r="G46" s="521">
        <f t="shared" si="11"/>
        <v>521834</v>
      </c>
      <c r="H46" s="521">
        <f t="shared" si="11"/>
        <v>0</v>
      </c>
      <c r="I46" s="521">
        <f t="shared" si="11"/>
        <v>11412752</v>
      </c>
      <c r="J46" s="521">
        <f t="shared" si="11"/>
        <v>0</v>
      </c>
      <c r="K46" s="521">
        <f t="shared" si="11"/>
        <v>0</v>
      </c>
      <c r="L46" s="522">
        <f t="shared" ref="L46:L53" si="12">SUM(F46:K46)</f>
        <v>15689898</v>
      </c>
      <c r="M46" s="522"/>
      <c r="N46" s="523">
        <f>SUM(N47:N48)</f>
        <v>368727150</v>
      </c>
    </row>
    <row r="47" spans="1:14" x14ac:dyDescent="0.25">
      <c r="A47" s="513" t="s">
        <v>27</v>
      </c>
      <c r="B47" s="514"/>
      <c r="C47" s="514"/>
      <c r="D47" s="514">
        <f>1289872+702240+33469184+51072+2154296+686128+1386848+12941432+806208+14196342+158992+144364000+52237550+29785158+100016+2786768+36480+9941408+2608320+2099728+1948240+3508768+11477216+925072+7532512+1374860</f>
        <v>338568710</v>
      </c>
      <c r="E47" s="514"/>
      <c r="F47" s="515">
        <f>1059744+2530496+165072</f>
        <v>3755312</v>
      </c>
      <c r="G47" s="515">
        <f>269952+62016+13376+171456</f>
        <v>516800</v>
      </c>
      <c r="H47" s="515"/>
      <c r="I47" s="515">
        <f>129504+1059744+10223504</f>
        <v>11412752</v>
      </c>
      <c r="J47" s="515"/>
      <c r="K47" s="515"/>
      <c r="L47" s="517">
        <f t="shared" si="12"/>
        <v>15684864</v>
      </c>
      <c r="M47" s="517"/>
      <c r="N47" s="518">
        <f>+B47+D47+L47</f>
        <v>354253574</v>
      </c>
    </row>
    <row r="48" spans="1:14" x14ac:dyDescent="0.25">
      <c r="A48" s="513" t="s">
        <v>195</v>
      </c>
      <c r="B48" s="514"/>
      <c r="C48" s="514"/>
      <c r="D48" s="514">
        <f>7021670+3376+7021077+6041+2006+39056+22507+64358+912+7088+3209+946+1606+342351-67661</f>
        <v>14468542</v>
      </c>
      <c r="E48" s="514"/>
      <c r="F48" s="515"/>
      <c r="G48" s="515">
        <v>5034</v>
      </c>
      <c r="H48" s="515"/>
      <c r="I48" s="515"/>
      <c r="J48" s="515"/>
      <c r="K48" s="515"/>
      <c r="L48" s="517">
        <f t="shared" si="12"/>
        <v>5034</v>
      </c>
      <c r="M48" s="517"/>
      <c r="N48" s="518">
        <f>+B48+D48+L48</f>
        <v>14473576</v>
      </c>
    </row>
    <row r="49" spans="1:14" x14ac:dyDescent="0.25">
      <c r="A49" s="519" t="s">
        <v>196</v>
      </c>
      <c r="B49" s="520">
        <f>SUM(B50:B51)</f>
        <v>0</v>
      </c>
      <c r="C49" s="520"/>
      <c r="D49" s="520">
        <f>SUM(D50:D51)</f>
        <v>32358452716</v>
      </c>
      <c r="E49" s="520"/>
      <c r="F49" s="521">
        <f t="shared" ref="F49:K49" si="13">SUM(F50:F51)</f>
        <v>1212766948</v>
      </c>
      <c r="G49" s="521">
        <f t="shared" si="13"/>
        <v>0</v>
      </c>
      <c r="H49" s="521">
        <f t="shared" si="13"/>
        <v>0</v>
      </c>
      <c r="I49" s="521">
        <f t="shared" si="13"/>
        <v>3974899390</v>
      </c>
      <c r="J49" s="521">
        <f t="shared" si="13"/>
        <v>15075</v>
      </c>
      <c r="K49" s="521">
        <f t="shared" si="13"/>
        <v>192064473</v>
      </c>
      <c r="L49" s="522">
        <f t="shared" si="12"/>
        <v>5379745886</v>
      </c>
      <c r="M49" s="522"/>
      <c r="N49" s="523">
        <f>SUM(N50:N51)</f>
        <v>37738198602</v>
      </c>
    </row>
    <row r="50" spans="1:14" x14ac:dyDescent="0.25">
      <c r="A50" s="513" t="s">
        <v>197</v>
      </c>
      <c r="B50" s="514"/>
      <c r="C50" s="514"/>
      <c r="D50" s="514">
        <f>31474602069+130829558</f>
        <v>31605431627</v>
      </c>
      <c r="E50" s="514"/>
      <c r="F50" s="515">
        <v>1189655255</v>
      </c>
      <c r="G50" s="515"/>
      <c r="H50" s="515"/>
      <c r="I50" s="515">
        <v>3912785224</v>
      </c>
      <c r="J50" s="515">
        <v>15075</v>
      </c>
      <c r="K50" s="515">
        <v>188018625</v>
      </c>
      <c r="L50" s="517">
        <f t="shared" si="12"/>
        <v>5290474179</v>
      </c>
      <c r="M50" s="517"/>
      <c r="N50" s="518">
        <f>+B50+D50+L50</f>
        <v>36895905806</v>
      </c>
    </row>
    <row r="51" spans="1:14" x14ac:dyDescent="0.25">
      <c r="A51" s="513" t="s">
        <v>198</v>
      </c>
      <c r="B51" s="514"/>
      <c r="C51" s="514"/>
      <c r="D51" s="514">
        <f>753021089</f>
        <v>753021089</v>
      </c>
      <c r="E51" s="514"/>
      <c r="F51" s="515">
        <v>23111693</v>
      </c>
      <c r="G51" s="515"/>
      <c r="H51" s="515"/>
      <c r="I51" s="515">
        <v>62114166</v>
      </c>
      <c r="J51" s="515"/>
      <c r="K51" s="515">
        <v>4045848</v>
      </c>
      <c r="L51" s="517">
        <f t="shared" si="12"/>
        <v>89271707</v>
      </c>
      <c r="M51" s="517"/>
      <c r="N51" s="518">
        <f>+B51+D51+L51</f>
        <v>842292796</v>
      </c>
    </row>
    <row r="52" spans="1:14" x14ac:dyDescent="0.25">
      <c r="A52" s="519" t="s">
        <v>199</v>
      </c>
      <c r="B52" s="520"/>
      <c r="C52" s="520"/>
      <c r="D52" s="520">
        <f>147000000+12814575097</f>
        <v>12961575097</v>
      </c>
      <c r="E52" s="520"/>
      <c r="F52" s="521"/>
      <c r="G52" s="521">
        <f>26750000+17000000+17000000</f>
        <v>60750000</v>
      </c>
      <c r="H52" s="521"/>
      <c r="I52" s="521"/>
      <c r="J52" s="521"/>
      <c r="K52" s="521"/>
      <c r="L52" s="522">
        <f t="shared" si="12"/>
        <v>60750000</v>
      </c>
      <c r="M52" s="522"/>
      <c r="N52" s="523">
        <f>+B52+D52+L52</f>
        <v>13022325097</v>
      </c>
    </row>
    <row r="53" spans="1:14" x14ac:dyDescent="0.25">
      <c r="A53" s="519" t="s">
        <v>200</v>
      </c>
      <c r="B53" s="520"/>
      <c r="C53" s="520"/>
      <c r="D53" s="520">
        <v>101759399</v>
      </c>
      <c r="E53" s="520"/>
      <c r="F53" s="521"/>
      <c r="G53" s="521"/>
      <c r="H53" s="521"/>
      <c r="I53" s="521"/>
      <c r="J53" s="521"/>
      <c r="K53" s="521"/>
      <c r="L53" s="522">
        <f t="shared" si="12"/>
        <v>0</v>
      </c>
      <c r="M53" s="522"/>
      <c r="N53" s="523">
        <f>+B53+D53+L53</f>
        <v>101759399</v>
      </c>
    </row>
    <row r="54" spans="1:14" x14ac:dyDescent="0.25">
      <c r="A54" s="525"/>
      <c r="B54" s="526"/>
      <c r="C54" s="526"/>
      <c r="D54" s="526"/>
      <c r="E54" s="526"/>
      <c r="F54" s="515"/>
      <c r="G54" s="515"/>
      <c r="H54" s="515"/>
      <c r="I54" s="515"/>
      <c r="J54" s="515"/>
      <c r="K54" s="515"/>
      <c r="L54" s="517"/>
      <c r="M54" s="517"/>
      <c r="N54" s="518"/>
    </row>
    <row r="55" spans="1:14" ht="15.75" thickBot="1" x14ac:dyDescent="0.3">
      <c r="A55" s="527" t="s">
        <v>164</v>
      </c>
      <c r="B55" s="528"/>
      <c r="C55" s="528"/>
      <c r="D55" s="528"/>
      <c r="E55" s="528"/>
      <c r="F55" s="529">
        <f t="shared" ref="F55:K55" si="14">+F3+F11+F23+F39+F42+F43+F46+F49+F52+F53</f>
        <v>1259089546.8</v>
      </c>
      <c r="G55" s="529">
        <f t="shared" si="14"/>
        <v>204326359</v>
      </c>
      <c r="H55" s="529">
        <f t="shared" si="14"/>
        <v>0</v>
      </c>
      <c r="I55" s="529">
        <f t="shared" si="14"/>
        <v>3986312142</v>
      </c>
      <c r="J55" s="529">
        <f t="shared" si="14"/>
        <v>15075</v>
      </c>
      <c r="K55" s="529">
        <f t="shared" si="14"/>
        <v>192064473</v>
      </c>
      <c r="L55" s="530"/>
      <c r="M55" s="530"/>
      <c r="N55" s="531">
        <f>+N3+N11+N23+N39+N43+N42+N46+N49+N52+N53</f>
        <v>64902170356.830002</v>
      </c>
    </row>
  </sheetData>
  <mergeCells count="5">
    <mergeCell ref="A1:A2"/>
    <mergeCell ref="B1:C1"/>
    <mergeCell ref="D1:E1"/>
    <mergeCell ref="F1:M1"/>
    <mergeCell ref="N1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1" workbookViewId="0">
      <selection activeCell="I11" sqref="I11"/>
    </sheetView>
  </sheetViews>
  <sheetFormatPr defaultRowHeight="11.25" x14ac:dyDescent="0.2"/>
  <cols>
    <col min="1" max="1" width="4.85546875" style="533" customWidth="1"/>
    <col min="2" max="2" width="9" style="533" customWidth="1"/>
    <col min="3" max="3" width="33.85546875" style="533" customWidth="1"/>
    <col min="4" max="4" width="16.42578125" style="533" customWidth="1"/>
    <col min="5" max="5" width="15.7109375" style="533" customWidth="1"/>
    <col min="6" max="6" width="8.42578125" style="533" customWidth="1"/>
    <col min="7" max="7" width="16.28515625" style="533" customWidth="1"/>
    <col min="8" max="8" width="6.7109375" style="533" customWidth="1"/>
    <col min="9" max="9" width="19.5703125" style="533" customWidth="1"/>
    <col min="10" max="10" width="6.7109375" style="533" customWidth="1"/>
    <col min="11" max="11" width="18.42578125" style="533" customWidth="1"/>
    <col min="12" max="12" width="6.7109375" style="533" customWidth="1"/>
    <col min="13" max="13" width="9.140625" style="533"/>
    <col min="14" max="14" width="16" style="533" bestFit="1" customWidth="1"/>
    <col min="15" max="16384" width="9.140625" style="533"/>
  </cols>
  <sheetData>
    <row r="1" spans="1:14" x14ac:dyDescent="0.2">
      <c r="A1" s="532" t="s">
        <v>205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</row>
    <row r="2" spans="1:14" ht="12" thickBot="1" x14ac:dyDescent="0.25">
      <c r="K2" s="534" t="s">
        <v>158</v>
      </c>
      <c r="L2" s="534"/>
    </row>
    <row r="3" spans="1:14" x14ac:dyDescent="0.2">
      <c r="A3" s="535" t="s">
        <v>135</v>
      </c>
      <c r="B3" s="536" t="s">
        <v>136</v>
      </c>
      <c r="C3" s="536" t="s">
        <v>137</v>
      </c>
      <c r="D3" s="536" t="s">
        <v>138</v>
      </c>
      <c r="E3" s="536" t="s">
        <v>144</v>
      </c>
      <c r="F3" s="537" t="s">
        <v>6</v>
      </c>
      <c r="G3" s="536" t="s">
        <v>139</v>
      </c>
      <c r="H3" s="536"/>
      <c r="I3" s="536" t="s">
        <v>140</v>
      </c>
      <c r="J3" s="536"/>
      <c r="K3" s="536" t="s">
        <v>5</v>
      </c>
      <c r="L3" s="538"/>
    </row>
    <row r="4" spans="1:14" ht="12" thickBot="1" x14ac:dyDescent="0.25">
      <c r="A4" s="539"/>
      <c r="B4" s="540"/>
      <c r="C4" s="540"/>
      <c r="D4" s="540"/>
      <c r="E4" s="540"/>
      <c r="F4" s="542"/>
      <c r="G4" s="541" t="s">
        <v>7</v>
      </c>
      <c r="H4" s="541" t="s">
        <v>6</v>
      </c>
      <c r="I4" s="541" t="s">
        <v>141</v>
      </c>
      <c r="J4" s="541" t="s">
        <v>6</v>
      </c>
      <c r="K4" s="541" t="s">
        <v>142</v>
      </c>
      <c r="L4" s="543" t="s">
        <v>6</v>
      </c>
    </row>
    <row r="5" spans="1:14" ht="12" thickBot="1" x14ac:dyDescent="0.25">
      <c r="A5" s="544">
        <v>1</v>
      </c>
      <c r="B5" s="545">
        <v>4.0999999999999996</v>
      </c>
      <c r="C5" s="546" t="s">
        <v>150</v>
      </c>
      <c r="D5" s="547">
        <f>D6+D16+D20+D26</f>
        <v>657068247868</v>
      </c>
      <c r="E5" s="547">
        <f t="shared" ref="E5" si="0">E6+E16+E20+E26</f>
        <v>538649782238.27002</v>
      </c>
      <c r="F5" s="547">
        <f>E5/D5*100</f>
        <v>81.977752537279912</v>
      </c>
      <c r="G5" s="547">
        <f t="shared" ref="G5" si="1">G6+G16+G20+G26</f>
        <v>13255889658.219999</v>
      </c>
      <c r="H5" s="547">
        <f>G5/E5*100</f>
        <v>2.4609477429169924</v>
      </c>
      <c r="I5" s="547">
        <f t="shared" ref="I5" si="2">I6+I16+I20+I26</f>
        <v>193703088610.32001</v>
      </c>
      <c r="J5" s="547">
        <f>I5/E5*100</f>
        <v>35.960858984369928</v>
      </c>
      <c r="K5" s="547">
        <f t="shared" ref="K5" si="3">K6+K16+K20+K26</f>
        <v>172007536066.37</v>
      </c>
      <c r="L5" s="547">
        <f>K5/E5*100</f>
        <v>31.93309302969012</v>
      </c>
      <c r="N5" s="548">
        <f>N6+N16+N20+N26</f>
        <v>378966514334.91003</v>
      </c>
    </row>
    <row r="6" spans="1:14" ht="12" thickBot="1" x14ac:dyDescent="0.25">
      <c r="A6" s="549">
        <v>2</v>
      </c>
      <c r="B6" s="550" t="s">
        <v>12</v>
      </c>
      <c r="C6" s="551" t="s">
        <v>143</v>
      </c>
      <c r="D6" s="552">
        <v>460000000000</v>
      </c>
      <c r="E6" s="553">
        <v>391460131314.37</v>
      </c>
      <c r="F6" s="547">
        <f>E6/D6*100</f>
        <v>85.100028546602175</v>
      </c>
      <c r="G6" s="555"/>
      <c r="H6" s="554"/>
      <c r="I6" s="552">
        <v>117975769020.64</v>
      </c>
      <c r="J6" s="556">
        <f>I6/E6*100</f>
        <v>30.137365106511233</v>
      </c>
      <c r="K6" s="552">
        <v>113801094390.37</v>
      </c>
      <c r="L6" s="557">
        <f>K6/E6*100</f>
        <v>29.070928374818255</v>
      </c>
      <c r="N6" s="558">
        <f>I6+K6</f>
        <v>231776863411.01001</v>
      </c>
    </row>
    <row r="7" spans="1:14" x14ac:dyDescent="0.2">
      <c r="A7" s="300"/>
      <c r="B7" s="301" t="s">
        <v>14</v>
      </c>
      <c r="C7" s="302" t="s">
        <v>15</v>
      </c>
      <c r="D7" s="303">
        <v>53000000000</v>
      </c>
      <c r="E7" s="304">
        <v>8792565570.7900009</v>
      </c>
      <c r="F7" s="583">
        <f>E7/D7*100</f>
        <v>16.589746359981135</v>
      </c>
      <c r="G7" s="306"/>
      <c r="H7" s="307"/>
      <c r="I7" s="308">
        <v>2923199389.3999996</v>
      </c>
      <c r="J7" s="305">
        <f>I7/E7*100</f>
        <v>33.246262036546334</v>
      </c>
      <c r="K7" s="308">
        <v>2495903335.3900003</v>
      </c>
      <c r="L7" s="309">
        <f>K7/E7*100</f>
        <v>28.386519444127917</v>
      </c>
    </row>
    <row r="8" spans="1:14" x14ac:dyDescent="0.2">
      <c r="A8" s="300"/>
      <c r="B8" s="307" t="s">
        <v>16</v>
      </c>
      <c r="C8" s="302" t="s">
        <v>17</v>
      </c>
      <c r="D8" s="304">
        <v>85500000000</v>
      </c>
      <c r="E8" s="304">
        <v>57342875483.830002</v>
      </c>
      <c r="F8" s="583">
        <f t="shared" ref="F8:F15" si="4">E8/D8*100</f>
        <v>67.067690624362569</v>
      </c>
      <c r="G8" s="306"/>
      <c r="H8" s="307"/>
      <c r="I8" s="308">
        <v>11500983288.389996</v>
      </c>
      <c r="J8" s="305">
        <f>I8/E8*100</f>
        <v>20.05651650941909</v>
      </c>
      <c r="K8" s="308">
        <v>30032095284.460003</v>
      </c>
      <c r="L8" s="309">
        <f>K8/E8*100</f>
        <v>52.372844980417298</v>
      </c>
    </row>
    <row r="9" spans="1:14" x14ac:dyDescent="0.2">
      <c r="A9" s="300"/>
      <c r="B9" s="307" t="s">
        <v>18</v>
      </c>
      <c r="C9" s="302" t="s">
        <v>19</v>
      </c>
      <c r="D9" s="304">
        <v>9000000000</v>
      </c>
      <c r="E9" s="304">
        <v>3777962037.46</v>
      </c>
      <c r="F9" s="583">
        <f t="shared" si="4"/>
        <v>41.977355971777783</v>
      </c>
      <c r="G9" s="306"/>
      <c r="H9" s="307"/>
      <c r="I9" s="308">
        <v>1458549535.76</v>
      </c>
      <c r="J9" s="305">
        <f>I9/E9*100</f>
        <v>38.606781150734172</v>
      </c>
      <c r="K9" s="308">
        <v>1556984655.2</v>
      </c>
      <c r="L9" s="309">
        <f>K9/E9*100</f>
        <v>41.212289582634135</v>
      </c>
    </row>
    <row r="10" spans="1:14" x14ac:dyDescent="0.2">
      <c r="A10" s="300"/>
      <c r="B10" s="307" t="s">
        <v>20</v>
      </c>
      <c r="C10" s="302" t="s">
        <v>21</v>
      </c>
      <c r="D10" s="304">
        <v>1000000000</v>
      </c>
      <c r="E10" s="304">
        <v>770454253.28999996</v>
      </c>
      <c r="F10" s="583">
        <f t="shared" si="4"/>
        <v>77.045425328999997</v>
      </c>
      <c r="G10" s="306"/>
      <c r="H10" s="307"/>
      <c r="I10" s="308">
        <v>420852591.08999997</v>
      </c>
      <c r="J10" s="305">
        <f>I10/E10*100</f>
        <v>54.62395584070979</v>
      </c>
      <c r="K10" s="308">
        <v>88389275.319999993</v>
      </c>
      <c r="L10" s="309">
        <f>K10/E10*100</f>
        <v>11.472358669260297</v>
      </c>
    </row>
    <row r="11" spans="1:14" x14ac:dyDescent="0.2">
      <c r="A11" s="300"/>
      <c r="B11" s="307" t="s">
        <v>22</v>
      </c>
      <c r="C11" s="302" t="s">
        <v>23</v>
      </c>
      <c r="D11" s="304">
        <v>97000000000</v>
      </c>
      <c r="E11" s="304">
        <v>65666255186</v>
      </c>
      <c r="F11" s="583">
        <f t="shared" si="4"/>
        <v>67.697170294845364</v>
      </c>
      <c r="G11" s="306"/>
      <c r="H11" s="307"/>
      <c r="I11" s="308">
        <v>0</v>
      </c>
      <c r="J11" s="305">
        <f>I11/E11*100</f>
        <v>0</v>
      </c>
      <c r="K11" s="308">
        <v>43829043499</v>
      </c>
      <c r="L11" s="309">
        <f>K11/E11*100</f>
        <v>66.745154531584021</v>
      </c>
    </row>
    <row r="12" spans="1:14" x14ac:dyDescent="0.2">
      <c r="A12" s="300"/>
      <c r="B12" s="307" t="s">
        <v>24</v>
      </c>
      <c r="C12" s="302" t="s">
        <v>25</v>
      </c>
      <c r="D12" s="304">
        <v>5500000000</v>
      </c>
      <c r="E12" s="304">
        <v>4023490863</v>
      </c>
      <c r="F12" s="583">
        <f t="shared" si="4"/>
        <v>73.154379327272721</v>
      </c>
      <c r="G12" s="306"/>
      <c r="H12" s="307"/>
      <c r="I12" s="308">
        <v>1969379646</v>
      </c>
      <c r="J12" s="305">
        <f>I12/E12*100</f>
        <v>48.947039102546611</v>
      </c>
      <c r="K12" s="308">
        <v>1035117050</v>
      </c>
      <c r="L12" s="309">
        <f>K12/E12*100</f>
        <v>25.726839832517847</v>
      </c>
    </row>
    <row r="13" spans="1:14" x14ac:dyDescent="0.2">
      <c r="A13" s="300"/>
      <c r="B13" s="307" t="s">
        <v>26</v>
      </c>
      <c r="C13" s="302" t="s">
        <v>27</v>
      </c>
      <c r="D13" s="304">
        <v>7000000000</v>
      </c>
      <c r="E13" s="304">
        <v>2800169651</v>
      </c>
      <c r="F13" s="583">
        <f t="shared" si="4"/>
        <v>40.002423585714283</v>
      </c>
      <c r="G13" s="306"/>
      <c r="H13" s="307"/>
      <c r="I13" s="308">
        <v>1691887514</v>
      </c>
      <c r="J13" s="305">
        <f>I13/E13*100</f>
        <v>60.420893191089007</v>
      </c>
      <c r="K13" s="308">
        <v>377733560</v>
      </c>
      <c r="L13" s="309">
        <f>K13/E13*100</f>
        <v>13.489666951611426</v>
      </c>
    </row>
    <row r="14" spans="1:14" x14ac:dyDescent="0.2">
      <c r="A14" s="300"/>
      <c r="B14" s="307" t="s">
        <v>28</v>
      </c>
      <c r="C14" s="302" t="s">
        <v>118</v>
      </c>
      <c r="D14" s="304">
        <v>82000000000</v>
      </c>
      <c r="E14" s="304">
        <v>90376844860</v>
      </c>
      <c r="F14" s="583">
        <f t="shared" si="4"/>
        <v>110.21566446341464</v>
      </c>
      <c r="G14" s="306"/>
      <c r="H14" s="307"/>
      <c r="I14" s="308">
        <v>31680854450</v>
      </c>
      <c r="J14" s="305">
        <f>I14/E14*100</f>
        <v>35.054171783796875</v>
      </c>
      <c r="K14" s="308">
        <v>3624544231</v>
      </c>
      <c r="L14" s="309">
        <f>K14/E14*100</f>
        <v>4.0104788307388581</v>
      </c>
    </row>
    <row r="15" spans="1:14" x14ac:dyDescent="0.2">
      <c r="A15" s="300"/>
      <c r="B15" s="307" t="s">
        <v>29</v>
      </c>
      <c r="C15" s="302" t="s">
        <v>119</v>
      </c>
      <c r="D15" s="310">
        <v>120000000000</v>
      </c>
      <c r="E15" s="304">
        <v>157909513409</v>
      </c>
      <c r="F15" s="583">
        <f t="shared" si="4"/>
        <v>131.59126117416668</v>
      </c>
      <c r="G15" s="306"/>
      <c r="H15" s="307"/>
      <c r="I15" s="308">
        <v>66330062606</v>
      </c>
      <c r="J15" s="305">
        <f>I15/E15*100</f>
        <v>42.005108605584205</v>
      </c>
      <c r="K15" s="308">
        <v>30761283500</v>
      </c>
      <c r="L15" s="309">
        <f>K15/E15*100</f>
        <v>19.480323152111474</v>
      </c>
    </row>
    <row r="16" spans="1:14" x14ac:dyDescent="0.2">
      <c r="A16" s="559">
        <v>3</v>
      </c>
      <c r="B16" s="346" t="s">
        <v>31</v>
      </c>
      <c r="C16" s="347" t="s">
        <v>146</v>
      </c>
      <c r="D16" s="560">
        <f>D17+D18+D19</f>
        <v>29630296000</v>
      </c>
      <c r="E16" s="561">
        <f>SUM(E17:E19)</f>
        <v>13223394010</v>
      </c>
      <c r="F16" s="294">
        <v>44.627951101129739</v>
      </c>
      <c r="G16" s="560">
        <f>SUM(G17:G19)</f>
        <v>3233473480</v>
      </c>
      <c r="H16" s="294">
        <f>G16/E16*100</f>
        <v>24.452674385673848</v>
      </c>
      <c r="I16" s="560">
        <f>SUM(I17:I19)</f>
        <v>9473460230</v>
      </c>
      <c r="J16" s="294">
        <f>I16/E16*100</f>
        <v>71.641669474840057</v>
      </c>
      <c r="K16" s="562">
        <f>SUM(K17:K19)</f>
        <v>516460300</v>
      </c>
      <c r="L16" s="563">
        <f>K16/E16*100</f>
        <v>3.9056561394860836</v>
      </c>
      <c r="N16" s="548">
        <f>G16+I16+K16</f>
        <v>13223394010</v>
      </c>
    </row>
    <row r="17" spans="1:14" x14ac:dyDescent="0.2">
      <c r="A17" s="300"/>
      <c r="B17" s="311" t="s">
        <v>33</v>
      </c>
      <c r="C17" s="312" t="s">
        <v>34</v>
      </c>
      <c r="D17" s="313">
        <v>16540496000</v>
      </c>
      <c r="E17" s="304">
        <v>4515371100</v>
      </c>
      <c r="F17" s="305">
        <v>27.298885716607291</v>
      </c>
      <c r="G17" s="308">
        <v>2608374800</v>
      </c>
      <c r="H17" s="305">
        <f>G17/E17*100</f>
        <v>57.766565410315884</v>
      </c>
      <c r="I17" s="308">
        <v>1390536000</v>
      </c>
      <c r="J17" s="305">
        <f>I17/E17*100</f>
        <v>30.795608360960632</v>
      </c>
      <c r="K17" s="308">
        <v>516460300</v>
      </c>
      <c r="L17" s="309">
        <v>0</v>
      </c>
    </row>
    <row r="18" spans="1:14" x14ac:dyDescent="0.2">
      <c r="A18" s="300"/>
      <c r="B18" s="311" t="s">
        <v>45</v>
      </c>
      <c r="C18" s="312" t="s">
        <v>46</v>
      </c>
      <c r="D18" s="313">
        <v>2039800000</v>
      </c>
      <c r="E18" s="304">
        <v>625098680</v>
      </c>
      <c r="F18" s="305">
        <v>30.645096578095892</v>
      </c>
      <c r="G18" s="308">
        <v>625098680</v>
      </c>
      <c r="H18" s="305">
        <f>G18/E18*100</f>
        <v>100</v>
      </c>
      <c r="I18" s="308">
        <v>0</v>
      </c>
      <c r="J18" s="305">
        <f>I18/E18*100</f>
        <v>0</v>
      </c>
      <c r="K18" s="308">
        <v>0</v>
      </c>
      <c r="L18" s="309">
        <v>0</v>
      </c>
    </row>
    <row r="19" spans="1:14" x14ac:dyDescent="0.2">
      <c r="A19" s="300"/>
      <c r="B19" s="311" t="s">
        <v>51</v>
      </c>
      <c r="C19" s="312" t="s">
        <v>52</v>
      </c>
      <c r="D19" s="313">
        <v>11050000000</v>
      </c>
      <c r="E19" s="304">
        <v>8082924230</v>
      </c>
      <c r="F19" s="305">
        <v>73.14863556561086</v>
      </c>
      <c r="G19" s="308"/>
      <c r="H19" s="305">
        <f>G19/E19*100</f>
        <v>0</v>
      </c>
      <c r="I19" s="308">
        <v>8082924230</v>
      </c>
      <c r="J19" s="305">
        <f>I19/E19*100</f>
        <v>100</v>
      </c>
      <c r="K19" s="308">
        <v>0</v>
      </c>
      <c r="L19" s="309">
        <v>0</v>
      </c>
    </row>
    <row r="20" spans="1:14" x14ac:dyDescent="0.2">
      <c r="A20" s="564">
        <v>4</v>
      </c>
      <c r="B20" s="346" t="s">
        <v>61</v>
      </c>
      <c r="C20" s="347" t="s">
        <v>145</v>
      </c>
      <c r="D20" s="562">
        <f>SUM(D22:D25)</f>
        <v>59742978532</v>
      </c>
      <c r="E20" s="565">
        <f>SUM(E22:E24)</f>
        <v>45248339106.199997</v>
      </c>
      <c r="F20" s="566">
        <v>75.739999999999995</v>
      </c>
      <c r="G20" s="314"/>
      <c r="H20" s="315"/>
      <c r="I20" s="314"/>
      <c r="J20" s="315"/>
      <c r="K20" s="562">
        <f>SUM(K22:K24)</f>
        <v>45248339106.199997</v>
      </c>
      <c r="L20" s="567">
        <f>K20/E20*100</f>
        <v>100</v>
      </c>
      <c r="N20" s="558">
        <f>K20</f>
        <v>45248339106.199997</v>
      </c>
    </row>
    <row r="21" spans="1:14" x14ac:dyDescent="0.2">
      <c r="A21" s="300"/>
      <c r="B21" s="307"/>
      <c r="C21" s="292" t="s">
        <v>63</v>
      </c>
      <c r="D21" s="306"/>
      <c r="E21" s="316"/>
      <c r="F21" s="317"/>
      <c r="G21" s="306"/>
      <c r="H21" s="307"/>
      <c r="I21" s="306"/>
      <c r="J21" s="307"/>
      <c r="K21" s="306"/>
      <c r="L21" s="318"/>
    </row>
    <row r="22" spans="1:14" ht="33.75" x14ac:dyDescent="0.2">
      <c r="A22" s="300"/>
      <c r="B22" s="311" t="s">
        <v>64</v>
      </c>
      <c r="C22" s="319" t="s">
        <v>65</v>
      </c>
      <c r="D22" s="306"/>
      <c r="E22" s="302"/>
      <c r="F22" s="307"/>
      <c r="G22" s="306"/>
      <c r="H22" s="307"/>
      <c r="I22" s="306"/>
      <c r="J22" s="307"/>
      <c r="K22" s="306"/>
      <c r="L22" s="318"/>
      <c r="N22" s="558">
        <f>G19+I19</f>
        <v>8082924230</v>
      </c>
    </row>
    <row r="23" spans="1:14" ht="33.75" x14ac:dyDescent="0.2">
      <c r="A23" s="300"/>
      <c r="B23" s="311" t="s">
        <v>66</v>
      </c>
      <c r="C23" s="320" t="s">
        <v>67</v>
      </c>
      <c r="D23" s="308">
        <v>53949880588</v>
      </c>
      <c r="E23" s="304">
        <v>44960371000.949997</v>
      </c>
      <c r="F23" s="307">
        <v>83.337294746395557</v>
      </c>
      <c r="G23" s="306"/>
      <c r="H23" s="307"/>
      <c r="I23" s="306"/>
      <c r="J23" s="307"/>
      <c r="K23" s="308">
        <v>44960371000.949997</v>
      </c>
      <c r="L23" s="318">
        <f>K23/E23*100</f>
        <v>100</v>
      </c>
    </row>
    <row r="24" spans="1:14" ht="33.75" x14ac:dyDescent="0.2">
      <c r="A24" s="300"/>
      <c r="B24" s="311" t="s">
        <v>68</v>
      </c>
      <c r="C24" s="320" t="s">
        <v>69</v>
      </c>
      <c r="D24" s="308">
        <v>289023806</v>
      </c>
      <c r="E24" s="304">
        <v>287968105.25</v>
      </c>
      <c r="F24" s="307">
        <v>99.634735711009213</v>
      </c>
      <c r="G24" s="306"/>
      <c r="H24" s="307"/>
      <c r="I24" s="306"/>
      <c r="J24" s="307"/>
      <c r="K24" s="308">
        <v>287968105.25</v>
      </c>
      <c r="L24" s="318">
        <f>K24/E24*100</f>
        <v>100</v>
      </c>
    </row>
    <row r="25" spans="1:14" ht="33.75" x14ac:dyDescent="0.2">
      <c r="A25" s="300"/>
      <c r="B25" s="311" t="s">
        <v>70</v>
      </c>
      <c r="C25" s="320" t="s">
        <v>71</v>
      </c>
      <c r="D25" s="308">
        <v>5504074138</v>
      </c>
      <c r="E25" s="302"/>
      <c r="F25" s="307">
        <v>0</v>
      </c>
      <c r="G25" s="306"/>
      <c r="H25" s="307"/>
      <c r="I25" s="306"/>
      <c r="J25" s="307"/>
      <c r="K25" s="306"/>
      <c r="L25" s="318"/>
    </row>
    <row r="26" spans="1:14" x14ac:dyDescent="0.2">
      <c r="A26" s="568">
        <v>5</v>
      </c>
      <c r="B26" s="346" t="s">
        <v>73</v>
      </c>
      <c r="C26" s="347" t="s">
        <v>148</v>
      </c>
      <c r="D26" s="561">
        <f>SUM(D29:D34)</f>
        <v>107694973336</v>
      </c>
      <c r="E26" s="561">
        <f>SUM(E28:E37)</f>
        <v>88717917807.699997</v>
      </c>
      <c r="F26" s="566">
        <v>82.38</v>
      </c>
      <c r="G26" s="562">
        <f>SUM(G28:G37)</f>
        <v>10022416178.219999</v>
      </c>
      <c r="H26" s="294">
        <f>G26/E26*100</f>
        <v>11.29694702703013</v>
      </c>
      <c r="I26" s="560">
        <f>SUM(I31:I33)</f>
        <v>66253859359.68</v>
      </c>
      <c r="J26" s="294">
        <f>I26/E26*100</f>
        <v>74.679231655648366</v>
      </c>
      <c r="K26" s="560">
        <f>SUM(K28:K34)</f>
        <v>12441642269.799999</v>
      </c>
      <c r="L26" s="563">
        <f>K26/E26*100</f>
        <v>14.023821317321501</v>
      </c>
      <c r="N26" s="548">
        <f>G26+I26+K26</f>
        <v>88717917807.699997</v>
      </c>
    </row>
    <row r="27" spans="1:14" x14ac:dyDescent="0.2">
      <c r="A27" s="321"/>
      <c r="B27" s="357"/>
      <c r="C27" s="347" t="s">
        <v>75</v>
      </c>
      <c r="D27" s="322"/>
      <c r="E27" s="322"/>
      <c r="F27" s="315"/>
      <c r="G27" s="314"/>
      <c r="H27" s="315"/>
      <c r="I27" s="314"/>
      <c r="J27" s="315"/>
      <c r="K27" s="314"/>
      <c r="L27" s="323"/>
    </row>
    <row r="28" spans="1:14" ht="22.5" x14ac:dyDescent="0.2">
      <c r="A28" s="321"/>
      <c r="B28" s="324" t="s">
        <v>76</v>
      </c>
      <c r="C28" s="320" t="s">
        <v>77</v>
      </c>
      <c r="D28" s="306"/>
      <c r="E28" s="304">
        <v>267422100</v>
      </c>
      <c r="F28" s="307"/>
      <c r="G28" s="306"/>
      <c r="H28" s="307"/>
      <c r="I28" s="306"/>
      <c r="J28" s="307"/>
      <c r="K28" s="308">
        <v>267422100</v>
      </c>
      <c r="L28" s="318">
        <v>100</v>
      </c>
    </row>
    <row r="29" spans="1:14" x14ac:dyDescent="0.2">
      <c r="A29" s="321"/>
      <c r="B29" s="311" t="s">
        <v>78</v>
      </c>
      <c r="C29" s="312" t="s">
        <v>79</v>
      </c>
      <c r="D29" s="308">
        <v>1519973336</v>
      </c>
      <c r="E29" s="304">
        <v>2070772895.5999999</v>
      </c>
      <c r="F29" s="307">
        <v>136.23744881272049</v>
      </c>
      <c r="G29" s="306"/>
      <c r="H29" s="307"/>
      <c r="I29" s="306"/>
      <c r="J29" s="307"/>
      <c r="K29" s="308">
        <v>2070772895.5999999</v>
      </c>
      <c r="L29" s="318">
        <v>100</v>
      </c>
    </row>
    <row r="30" spans="1:14" x14ac:dyDescent="0.2">
      <c r="A30" s="321"/>
      <c r="B30" s="311" t="s">
        <v>80</v>
      </c>
      <c r="C30" s="312" t="s">
        <v>81</v>
      </c>
      <c r="D30" s="308">
        <v>1675000000</v>
      </c>
      <c r="E30" s="304">
        <v>2493750000</v>
      </c>
      <c r="F30" s="307">
        <v>148.88059701492537</v>
      </c>
      <c r="G30" s="306"/>
      <c r="H30" s="307"/>
      <c r="I30" s="306"/>
      <c r="J30" s="307"/>
      <c r="K30" s="308">
        <v>2493750000</v>
      </c>
      <c r="L30" s="325">
        <v>100</v>
      </c>
    </row>
    <row r="31" spans="1:14" x14ac:dyDescent="0.2">
      <c r="A31" s="321"/>
      <c r="B31" s="311" t="s">
        <v>82</v>
      </c>
      <c r="C31" s="312" t="s">
        <v>83</v>
      </c>
      <c r="D31" s="306"/>
      <c r="E31" s="304">
        <v>3715853889.9499998</v>
      </c>
      <c r="F31" s="307"/>
      <c r="G31" s="306"/>
      <c r="H31" s="307"/>
      <c r="I31" s="308">
        <f>JUNI!H49</f>
        <v>3360604155.75</v>
      </c>
      <c r="J31" s="305">
        <f>I31/E31*100</f>
        <v>90.439620482365626</v>
      </c>
      <c r="K31" s="308">
        <v>355249734.19999999</v>
      </c>
      <c r="L31" s="326">
        <v>9.5603795176343773</v>
      </c>
    </row>
    <row r="32" spans="1:14" x14ac:dyDescent="0.2">
      <c r="A32" s="321"/>
      <c r="B32" s="311" t="s">
        <v>100</v>
      </c>
      <c r="C32" s="327" t="s">
        <v>101</v>
      </c>
      <c r="D32" s="306"/>
      <c r="E32" s="304">
        <v>569028921</v>
      </c>
      <c r="F32" s="307"/>
      <c r="G32" s="308">
        <v>395061081</v>
      </c>
      <c r="H32" s="305">
        <v>69.427241115570652</v>
      </c>
      <c r="I32" s="306"/>
      <c r="J32" s="307"/>
      <c r="K32" s="308">
        <v>173967840</v>
      </c>
      <c r="L32" s="326">
        <f>K32/E32*100</f>
        <v>30.572758884429359</v>
      </c>
    </row>
    <row r="33" spans="1:12" x14ac:dyDescent="0.2">
      <c r="A33" s="321"/>
      <c r="B33" s="328" t="s">
        <v>108</v>
      </c>
      <c r="C33" s="329" t="s">
        <v>109</v>
      </c>
      <c r="D33" s="308">
        <v>90000000000</v>
      </c>
      <c r="E33" s="304">
        <v>62893255203.93</v>
      </c>
      <c r="F33" s="307">
        <v>69.881394671033334</v>
      </c>
      <c r="G33" s="306"/>
      <c r="H33" s="307"/>
      <c r="I33" s="308">
        <v>62893255203.93</v>
      </c>
      <c r="J33" s="307">
        <v>100</v>
      </c>
      <c r="K33" s="306"/>
      <c r="L33" s="318"/>
    </row>
    <row r="34" spans="1:12" x14ac:dyDescent="0.2">
      <c r="A34" s="321"/>
      <c r="B34" s="311" t="s">
        <v>112</v>
      </c>
      <c r="C34" s="569" t="s">
        <v>113</v>
      </c>
      <c r="D34" s="308">
        <v>14500000000</v>
      </c>
      <c r="E34" s="304">
        <v>7080479700</v>
      </c>
      <c r="F34" s="307">
        <v>48.830894482758616</v>
      </c>
      <c r="G34" s="306"/>
      <c r="H34" s="307"/>
      <c r="I34" s="306"/>
      <c r="J34" s="307"/>
      <c r="K34" s="308">
        <v>7080479700</v>
      </c>
      <c r="L34" s="318">
        <v>100</v>
      </c>
    </row>
    <row r="35" spans="1:12" ht="22.5" x14ac:dyDescent="0.2">
      <c r="A35" s="321"/>
      <c r="B35" s="311"/>
      <c r="C35" s="320" t="s">
        <v>115</v>
      </c>
      <c r="D35" s="308"/>
      <c r="E35" s="304">
        <v>20970000</v>
      </c>
      <c r="F35" s="307"/>
      <c r="G35" s="570">
        <v>20970000</v>
      </c>
      <c r="H35" s="307">
        <v>100</v>
      </c>
      <c r="I35" s="306"/>
      <c r="J35" s="307"/>
      <c r="K35" s="306"/>
      <c r="L35" s="318"/>
    </row>
    <row r="36" spans="1:12" x14ac:dyDescent="0.2">
      <c r="A36" s="321"/>
      <c r="B36" s="311" t="s">
        <v>147</v>
      </c>
      <c r="C36" s="569" t="s">
        <v>116</v>
      </c>
      <c r="D36" s="306"/>
      <c r="E36" s="304">
        <v>9525985097.2199993</v>
      </c>
      <c r="F36" s="307"/>
      <c r="G36" s="571">
        <v>9525985097.2199993</v>
      </c>
      <c r="H36" s="307">
        <v>100</v>
      </c>
      <c r="I36" s="306"/>
      <c r="J36" s="307"/>
      <c r="K36" s="306"/>
      <c r="L36" s="318"/>
    </row>
    <row r="37" spans="1:12" ht="23.25" thickBot="1" x14ac:dyDescent="0.25">
      <c r="A37" s="572"/>
      <c r="B37" s="573" t="s">
        <v>131</v>
      </c>
      <c r="C37" s="574" t="s">
        <v>132</v>
      </c>
      <c r="D37" s="573"/>
      <c r="E37" s="575">
        <v>80400000</v>
      </c>
      <c r="F37" s="573"/>
      <c r="G37" s="576">
        <v>80400000</v>
      </c>
      <c r="H37" s="573">
        <v>100</v>
      </c>
      <c r="I37" s="577"/>
      <c r="J37" s="573"/>
      <c r="K37" s="577"/>
      <c r="L37" s="578"/>
    </row>
    <row r="39" spans="1:12" x14ac:dyDescent="0.2">
      <c r="C39" s="579" t="s">
        <v>124</v>
      </c>
      <c r="D39" s="579"/>
    </row>
    <row r="41" spans="1:12" x14ac:dyDescent="0.2">
      <c r="E41" s="580"/>
    </row>
    <row r="42" spans="1:12" x14ac:dyDescent="0.2">
      <c r="E42" s="581"/>
    </row>
    <row r="43" spans="1:12" x14ac:dyDescent="0.2">
      <c r="E43" s="306"/>
    </row>
    <row r="44" spans="1:12" x14ac:dyDescent="0.2">
      <c r="E44" s="580"/>
    </row>
    <row r="45" spans="1:12" x14ac:dyDescent="0.2">
      <c r="E45" s="582"/>
    </row>
    <row r="46" spans="1:12" x14ac:dyDescent="0.2">
      <c r="E46" s="306"/>
    </row>
    <row r="47" spans="1:12" x14ac:dyDescent="0.2">
      <c r="E47" s="580"/>
    </row>
    <row r="48" spans="1:12" x14ac:dyDescent="0.2">
      <c r="E48" s="306"/>
    </row>
    <row r="49" spans="5:5" x14ac:dyDescent="0.2">
      <c r="E49" s="580"/>
    </row>
  </sheetData>
  <mergeCells count="11">
    <mergeCell ref="K3:L3"/>
    <mergeCell ref="A1:L1"/>
    <mergeCell ref="K2:L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APRIL</vt:lpstr>
      <vt:lpstr>JUNI</vt:lpstr>
      <vt:lpstr>REKAP </vt:lpstr>
      <vt:lpstr>Sheet1</vt:lpstr>
      <vt:lpstr>sept</vt:lpstr>
      <vt:lpstr>juli</vt:lpstr>
      <vt:lpstr>agustus</vt:lpstr>
      <vt:lpstr>Sheet5</vt:lpstr>
      <vt:lpstr>APRIL!Print_Titles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2021-07-22T00:17:02Z</cp:lastPrinted>
  <dcterms:created xsi:type="dcterms:W3CDTF">2021-05-17T01:03:22Z</dcterms:created>
  <dcterms:modified xsi:type="dcterms:W3CDTF">2021-10-08T05:10:38Z</dcterms:modified>
</cp:coreProperties>
</file>