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dbrickza-my.sharepoint.com/personal/ezekiel_mokaedi_rbconsult_co_za/Documents/"/>
    </mc:Choice>
  </mc:AlternateContent>
  <xr:revisionPtr revIDLastSave="69" documentId="8_{397845D5-7D5E-44ED-BEA3-9292ED887155}" xr6:coauthVersionLast="47" xr6:coauthVersionMax="47" xr10:uidLastSave="{882A49D1-94E5-4E59-BCD6-2A82FC39189D}"/>
  <bookViews>
    <workbookView xWindow="28680" yWindow="-120" windowWidth="19440" windowHeight="15000" xr2:uid="{A38C0819-823B-4194-AA2B-5033FF66305C}"/>
  </bookViews>
  <sheets>
    <sheet name="Sheet 1" sheetId="1" r:id="rId1"/>
    <sheet name="Packages" sheetId="4" r:id="rId2"/>
    <sheet name="RBCPriceGenerator" sheetId="2" r:id="rId3"/>
  </sheets>
  <definedNames>
    <definedName name="_xlnm._FilterDatabase" localSheetId="1" hidden="1">Packages!$A$1:$G$57</definedName>
    <definedName name="_xlnm._FilterDatabase" localSheetId="0" hidden="1">'Sheet 1'!$A$1:$G$31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6" i="1" l="1"/>
  <c r="F32" i="4" l="1"/>
  <c r="F33" i="4"/>
  <c r="F34" i="4"/>
  <c r="F35" i="4"/>
  <c r="F65" i="4" s="1"/>
  <c r="F36" i="4"/>
  <c r="F37" i="4"/>
  <c r="F38" i="4"/>
  <c r="F39" i="4"/>
  <c r="F40" i="4"/>
  <c r="F41" i="4"/>
  <c r="F42" i="4"/>
  <c r="F43" i="4"/>
  <c r="F44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9" i="4"/>
  <c r="F30" i="4"/>
  <c r="F31" i="4"/>
  <c r="F45" i="4"/>
  <c r="F46" i="4"/>
  <c r="F47" i="4"/>
  <c r="F48" i="4"/>
  <c r="F49" i="4"/>
  <c r="F50" i="4"/>
  <c r="F84" i="4" s="1"/>
  <c r="F51" i="4"/>
  <c r="F52" i="4"/>
  <c r="F53" i="4"/>
  <c r="F54" i="4"/>
  <c r="F55" i="4"/>
  <c r="F56" i="4"/>
  <c r="F57" i="4"/>
  <c r="A60" i="4"/>
  <c r="B60" i="4"/>
  <c r="C60" i="4"/>
  <c r="D60" i="4"/>
  <c r="E60" i="4"/>
  <c r="A61" i="4"/>
  <c r="B61" i="4"/>
  <c r="C61" i="4"/>
  <c r="D61" i="4"/>
  <c r="E61" i="4"/>
  <c r="F61" i="4"/>
  <c r="A62" i="4"/>
  <c r="B62" i="4"/>
  <c r="C62" i="4"/>
  <c r="D62" i="4"/>
  <c r="E62" i="4"/>
  <c r="F62" i="4"/>
  <c r="A65" i="4"/>
  <c r="B65" i="4"/>
  <c r="C65" i="4"/>
  <c r="D65" i="4"/>
  <c r="E65" i="4"/>
  <c r="A66" i="4"/>
  <c r="B66" i="4"/>
  <c r="C66" i="4"/>
  <c r="D66" i="4"/>
  <c r="E66" i="4"/>
  <c r="F66" i="4"/>
  <c r="A67" i="4"/>
  <c r="B67" i="4"/>
  <c r="C67" i="4"/>
  <c r="D67" i="4"/>
  <c r="E67" i="4"/>
  <c r="F67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H85" i="4"/>
  <c r="I85" i="4"/>
  <c r="J85" i="4"/>
  <c r="H86" i="4"/>
  <c r="I86" i="4"/>
  <c r="J86" i="4"/>
  <c r="H87" i="4"/>
  <c r="I87" i="4"/>
  <c r="J87" i="4"/>
  <c r="A89" i="4"/>
  <c r="B89" i="4"/>
  <c r="C89" i="4"/>
  <c r="D89" i="4"/>
  <c r="E89" i="4"/>
  <c r="F89" i="4"/>
  <c r="A90" i="4"/>
  <c r="B90" i="4"/>
  <c r="C90" i="4"/>
  <c r="D90" i="4"/>
  <c r="E90" i="4"/>
  <c r="F90" i="4"/>
  <c r="H90" i="4"/>
  <c r="I90" i="4"/>
  <c r="J90" i="4"/>
  <c r="A91" i="4"/>
  <c r="B91" i="4"/>
  <c r="C91" i="4"/>
  <c r="D91" i="4"/>
  <c r="E91" i="4"/>
  <c r="F91" i="4"/>
  <c r="H91" i="4"/>
  <c r="I91" i="4"/>
  <c r="J91" i="4"/>
  <c r="H92" i="4"/>
  <c r="I92" i="4"/>
  <c r="J92" i="4"/>
  <c r="H95" i="4"/>
  <c r="I95" i="4"/>
  <c r="J95" i="4"/>
  <c r="A96" i="4"/>
  <c r="B96" i="4"/>
  <c r="C96" i="4"/>
  <c r="D96" i="4"/>
  <c r="E96" i="4"/>
  <c r="F96" i="4"/>
  <c r="H96" i="4"/>
  <c r="I96" i="4"/>
  <c r="J96" i="4"/>
  <c r="A97" i="4"/>
  <c r="B97" i="4"/>
  <c r="C97" i="4"/>
  <c r="D97" i="4"/>
  <c r="E97" i="4"/>
  <c r="F97" i="4"/>
  <c r="H97" i="4"/>
  <c r="I97" i="4"/>
  <c r="J97" i="4"/>
  <c r="A98" i="4"/>
  <c r="B98" i="4"/>
  <c r="C98" i="4"/>
  <c r="D98" i="4"/>
  <c r="E98" i="4"/>
  <c r="F98" i="4"/>
  <c r="H101" i="4"/>
  <c r="I101" i="4"/>
  <c r="J101" i="4"/>
  <c r="H102" i="4"/>
  <c r="I102" i="4"/>
  <c r="J102" i="4"/>
  <c r="H103" i="4"/>
  <c r="I103" i="4"/>
  <c r="J103" i="4"/>
  <c r="H107" i="4"/>
  <c r="I107" i="4"/>
  <c r="J107" i="4"/>
  <c r="H108" i="4"/>
  <c r="I108" i="4"/>
  <c r="J108" i="4"/>
  <c r="H109" i="4"/>
  <c r="I109" i="4"/>
  <c r="J109" i="4"/>
  <c r="H114" i="4"/>
  <c r="I114" i="4"/>
  <c r="J114" i="4"/>
  <c r="H115" i="4"/>
  <c r="I115" i="4"/>
  <c r="J115" i="4"/>
  <c r="H116" i="4"/>
  <c r="I116" i="4"/>
  <c r="J116" i="4"/>
  <c r="H121" i="4"/>
  <c r="I121" i="4"/>
  <c r="J121" i="4"/>
  <c r="H122" i="4"/>
  <c r="I122" i="4"/>
  <c r="J122" i="4"/>
  <c r="H123" i="4"/>
  <c r="I123" i="4"/>
  <c r="J123" i="4"/>
  <c r="M123" i="4"/>
  <c r="L123" i="4"/>
  <c r="K123" i="4"/>
  <c r="M122" i="4"/>
  <c r="L122" i="4"/>
  <c r="K122" i="4"/>
  <c r="M121" i="4"/>
  <c r="L121" i="4"/>
  <c r="K121" i="4"/>
  <c r="M116" i="4"/>
  <c r="L116" i="4"/>
  <c r="K116" i="4"/>
  <c r="M115" i="4"/>
  <c r="L115" i="4"/>
  <c r="K115" i="4"/>
  <c r="M114" i="4"/>
  <c r="L114" i="4"/>
  <c r="K114" i="4"/>
  <c r="M109" i="4"/>
  <c r="L109" i="4"/>
  <c r="K109" i="4"/>
  <c r="M108" i="4"/>
  <c r="L108" i="4"/>
  <c r="K108" i="4"/>
  <c r="M107" i="4"/>
  <c r="L107" i="4"/>
  <c r="K107" i="4"/>
  <c r="M103" i="4"/>
  <c r="L103" i="4"/>
  <c r="K103" i="4"/>
  <c r="M102" i="4"/>
  <c r="L102" i="4"/>
  <c r="K102" i="4"/>
  <c r="M101" i="4"/>
  <c r="L101" i="4"/>
  <c r="K101" i="4"/>
  <c r="M97" i="4"/>
  <c r="L97" i="4"/>
  <c r="K97" i="4"/>
  <c r="M96" i="4"/>
  <c r="L96" i="4"/>
  <c r="K96" i="4"/>
  <c r="M95" i="4"/>
  <c r="L95" i="4"/>
  <c r="K95" i="4"/>
  <c r="M92" i="4"/>
  <c r="L92" i="4"/>
  <c r="K92" i="4"/>
  <c r="M91" i="4"/>
  <c r="L91" i="4"/>
  <c r="K91" i="4"/>
  <c r="M90" i="4"/>
  <c r="L90" i="4"/>
  <c r="K90" i="4"/>
  <c r="M87" i="4"/>
  <c r="L87" i="4"/>
  <c r="K87" i="4"/>
  <c r="M86" i="4"/>
  <c r="L86" i="4"/>
  <c r="K86" i="4"/>
  <c r="M85" i="4"/>
  <c r="L85" i="4"/>
  <c r="K85" i="4"/>
  <c r="F11" i="1"/>
  <c r="F92" i="4" l="1"/>
  <c r="F68" i="4"/>
  <c r="F99" i="4"/>
  <c r="F60" i="4"/>
  <c r="F63" i="4" s="1"/>
  <c r="F85" i="4"/>
  <c r="M117" i="4"/>
  <c r="F72" i="4"/>
  <c r="F73" i="4" s="1"/>
  <c r="F78" i="4"/>
  <c r="F79" i="4" s="1"/>
  <c r="M98" i="4"/>
  <c r="M124" i="4"/>
  <c r="M104" i="4"/>
  <c r="M88" i="4"/>
  <c r="M110" i="4"/>
  <c r="M93" i="4"/>
  <c r="A60" i="2"/>
  <c r="A2" i="2" l="1"/>
  <c r="F22" i="1"/>
  <c r="F5" i="1"/>
  <c r="F4" i="1"/>
  <c r="F3" i="1"/>
  <c r="F2" i="1"/>
  <c r="F7" i="1"/>
  <c r="F6" i="1"/>
  <c r="F10" i="1"/>
  <c r="F9" i="1"/>
  <c r="F8" i="1"/>
  <c r="F31" i="1"/>
  <c r="F25" i="1"/>
  <c r="F20" i="1"/>
  <c r="F14" i="1"/>
  <c r="F30" i="1"/>
  <c r="F28" i="1"/>
  <c r="F18" i="1"/>
  <c r="F16" i="1"/>
  <c r="F24" i="1"/>
  <c r="F17" i="1"/>
  <c r="F27" i="1"/>
  <c r="F23" i="1"/>
  <c r="F29" i="1"/>
  <c r="F21" i="1"/>
  <c r="F19" i="1"/>
  <c r="F13" i="1"/>
  <c r="F12" i="1"/>
  <c r="B2" i="2"/>
  <c r="A19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F28" i="4" s="1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8" i="2"/>
  <c r="A37" i="2"/>
  <c r="A36" i="2"/>
  <c r="A35" i="2"/>
  <c r="A34" i="2"/>
  <c r="A33" i="2"/>
  <c r="A32" i="2"/>
  <c r="A31" i="2"/>
  <c r="A27" i="2"/>
  <c r="A26" i="2"/>
  <c r="A25" i="2"/>
  <c r="A24" i="2"/>
  <c r="A23" i="2"/>
  <c r="A22" i="2"/>
  <c r="A21" i="2"/>
  <c r="A20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F15" i="1" l="1"/>
</calcChain>
</file>

<file path=xl/sharedStrings.xml><?xml version="1.0" encoding="utf-8"?>
<sst xmlns="http://schemas.openxmlformats.org/spreadsheetml/2006/main" count="595" uniqueCount="180">
  <si>
    <t>ItemName</t>
  </si>
  <si>
    <t>PackageGroup</t>
  </si>
  <si>
    <t>Brand</t>
  </si>
  <si>
    <t>TypeGroup</t>
  </si>
  <si>
    <t>SizeGroup</t>
  </si>
  <si>
    <t>ItemPrice</t>
  </si>
  <si>
    <t>Extras</t>
  </si>
  <si>
    <t>img_url</t>
  </si>
  <si>
    <t>Product Description</t>
  </si>
  <si>
    <t>Battery</t>
  </si>
  <si>
    <t>Batteries</t>
  </si>
  <si>
    <t>PylonTech</t>
  </si>
  <si>
    <t>Lithium-ion</t>
  </si>
  <si>
    <t>Voltage-V:48, Energy-kWh:4.8</t>
  </si>
  <si>
    <t>SizeGroup:2,TypeGroup:1, Brand:1, PackageGroup:1</t>
  </si>
  <si>
    <t>https://i.ibb.co/d4qY5Xw/pylontech-up5000-48kwh-li-ion-solar-battery-48v.jpg</t>
  </si>
  <si>
    <t>https://i.ibb.co/w0xBfmN/Des-Pylon4-8-R26k.png</t>
  </si>
  <si>
    <t>Dyness</t>
  </si>
  <si>
    <t>Voltage-V:48, Energy-kWh:3.6</t>
  </si>
  <si>
    <t>https://i.ibb.co/7khSK4T/dyness3-6-PIC.jpg</t>
  </si>
  <si>
    <t>https://i.ibb.co/T4qGcHB/Des-Dyness3-6-R21-7k.png</t>
  </si>
  <si>
    <t>Voltage-V:48, Energy-kWh:3.5</t>
  </si>
  <si>
    <t>https://i.ibb.co/qJ5TSwq/pylontech-us3000c-35kwh-48v-lithium-li-ion-solar-battery-excl-brackets.jpg</t>
  </si>
  <si>
    <t xml:space="preserve">https://i.ibb.co/SJvBzmH/Pylon3-5-R20-8k.png </t>
  </si>
  <si>
    <t>Voltage-V:48, Energy-kWh:2.4</t>
  </si>
  <si>
    <t>https://i.ibb.co/rbySsp5/pylontech-us2000c-24kwh-li-ion-solar-battery-excl-brackets.jpg</t>
  </si>
  <si>
    <t>https://i.ibb.co/JsbPyfw/Des-Pylon2-4-R13-5k.png</t>
  </si>
  <si>
    <t>Solar</t>
  </si>
  <si>
    <t>Renewsys</t>
  </si>
  <si>
    <t>Polycrystalline</t>
  </si>
  <si>
    <t>Voltage-V:37.9, Power-W:335, MaxPowerCurrent-A:8.85, OpenCircuitVoltage-V:46.27</t>
  </si>
  <si>
    <t>SizeGroup:4,TypeGroup:1, Brand:1, PackageGroup:1</t>
  </si>
  <si>
    <t>https://i.ibb.co/WzLC5hG/Renews335-W.png</t>
  </si>
  <si>
    <t>https://i.ibb.co/nj9Kyt4/Des-ORSpec-Renew335-W.png</t>
  </si>
  <si>
    <t>CNBM</t>
  </si>
  <si>
    <t>Voltage-V:37.5, Power-W:330, MaxPowerCurrent-A:8.89, OpenCircuitVoltage-V:47</t>
  </si>
  <si>
    <t>https://i.ibb.co/1T0J9SH/CNBM330W.png</t>
  </si>
  <si>
    <t>https://i.ibb.co/DYHHyxB/Des-CNBM330-W.png</t>
  </si>
  <si>
    <t>Canadian Solar</t>
  </si>
  <si>
    <t>Monocrystalline</t>
  </si>
  <si>
    <t>Voltage-V:34.09, Power-W:375, MaxPowerCurrent-A:10.94, OpenCircuitVoltage-V:41</t>
  </si>
  <si>
    <t xml:space="preserve">https://i.ibb.co/3c8F2rL/Canadian375-W.png </t>
  </si>
  <si>
    <t>https://i.ibb.co/H2nDJ1J/Des-ORSpec-Canadian375-W.png</t>
  </si>
  <si>
    <t>Axitec</t>
  </si>
  <si>
    <t>Voltage-V:34.09, Power-W:370, MaxPowerCurrent-A:10.86, OpenCircuitVoltage-V:41.32</t>
  </si>
  <si>
    <t xml:space="preserve">https://i.ibb.co/9sXfd3v/Axitec370-W.png </t>
  </si>
  <si>
    <t>s</t>
  </si>
  <si>
    <t>JA Solar</t>
  </si>
  <si>
    <t>Voltage-V:33.96, Power-W:365, MaxPowerCurrent-A:10.75, OpenCircuitVoltage-V:41.13</t>
  </si>
  <si>
    <t xml:space="preserve">https://i.ibb.co/Xz8F2nW/JA365W.png </t>
  </si>
  <si>
    <t>https://i.ibb.co/18Qsj9V/Des-JA365-W.png</t>
  </si>
  <si>
    <t>Voltage-V:33.9, Power-W:365, MaxPowerCurrent-A:10.78, OpenCircuitVoltage-V:40.6</t>
  </si>
  <si>
    <t>https://i.ibb.co/WkDkWzm/Canadian365-W.png</t>
  </si>
  <si>
    <t>https://i.ibb.co/dMZ7ZNj/Des-ORSpec-Canadian365-W.png</t>
  </si>
  <si>
    <t>Rentech</t>
  </si>
  <si>
    <t>Voltage-V:25.6, Energy-kWh:2.56, RechargeVoltage-V:27.6, Capacity-Ah:100</t>
  </si>
  <si>
    <t>https://i.ibb.co/Nn2DvZq/Rentech2-56-R18-9k.png</t>
  </si>
  <si>
    <t>https://i.ibb.co/Wtsvp7P/Des-Rentech2-56-R18-9.png</t>
  </si>
  <si>
    <t>Hubble</t>
  </si>
  <si>
    <t>Voltage-V:12, Energy-kWh:1.5, DischargeVoltage-V:11, Capacity-Ah:120</t>
  </si>
  <si>
    <t>https://i.ibb.co/X8942Bf/Hubble1-5-R8-0k.png</t>
  </si>
  <si>
    <t>https://i.ibb.co/gR0fQzG/Hubble1-5-R8-0k.png</t>
  </si>
  <si>
    <t>Generator</t>
  </si>
  <si>
    <t>Petrol</t>
  </si>
  <si>
    <t>Ryobi</t>
  </si>
  <si>
    <t>Key-Start</t>
  </si>
  <si>
    <t>Size-kVA:7.5, EngineSize-Stroke: 4</t>
  </si>
  <si>
    <t>Diesel</t>
  </si>
  <si>
    <t>GenTech Industries</t>
  </si>
  <si>
    <t>Size-kVA:7, EngineSize-Stroke: 4</t>
  </si>
  <si>
    <t>Talon</t>
  </si>
  <si>
    <t>Electric-Start</t>
  </si>
  <si>
    <t>Size-kVA:6.4, EngineSize-Stroke: 4</t>
  </si>
  <si>
    <t>Size-kVA:6, EngineSize-Stroke: 4</t>
  </si>
  <si>
    <t>Inverter</t>
  </si>
  <si>
    <t>Inverters</t>
  </si>
  <si>
    <t>Rentech-Axpert</t>
  </si>
  <si>
    <t>Stand-alone</t>
  </si>
  <si>
    <t>Size-kVA:5.6, InputVoltage-AC:230, OutputVoltage-AC:230, Power-kW:5.6, BatVoltage-V:48</t>
  </si>
  <si>
    <t>SizeGroup:5,TypeGroup:1, Brand:1, PackageGroup:1</t>
  </si>
  <si>
    <t>https://i.ibb.co/FK0ty82/Tentech5-6k-VA-R17-4.png</t>
  </si>
  <si>
    <t>https://i.ibb.co/rG3Z1KZ/Des-Rentech5-6k-VA-R17-4.png</t>
  </si>
  <si>
    <t>Size-kVA:5.5, EngineSize-Stroke: 4</t>
  </si>
  <si>
    <t>Hybrid</t>
  </si>
  <si>
    <t>Size-kVA:5,InputVoltage-AC:230, OutputVoltage-AC:230, Power-kW:5, BatVoltage-V:48, MPPTCurrent-A:80</t>
  </si>
  <si>
    <t>SizeGroup:6,TypeGroup:1, Brand:1, PackageGroup:1</t>
  </si>
  <si>
    <t>https://i.ibb.co/Y0KkM3P/RCT-Axpert5k-VA-R15-7k.png</t>
  </si>
  <si>
    <t>https://i.ibb.co/BGWST2R/Des-Rentech-Axpert5k-VA-R15-7.png</t>
  </si>
  <si>
    <t>Mecer</t>
  </si>
  <si>
    <t>Size-kVA:5, Voltage-V:48, Power-kW:4</t>
  </si>
  <si>
    <t>SizeGroup:3,TypeGroup:1, Brand:1, PackageGroup:1</t>
  </si>
  <si>
    <t>https://i.ibb.co/31W0tKZ/Mecer5k-VA-R12-8k.png</t>
  </si>
  <si>
    <t>https://i.ibb.co/WHbWBfr/Des-Mecer5k-VA-R12-8.png</t>
  </si>
  <si>
    <t>TheCoolGuys</t>
  </si>
  <si>
    <t>Size-kVA:5, InputVoltage-AC:230, OutputVoltage-AC:230, Power-kW:5, BatVoltage-V:48, MPPTVoltage-VDC:115</t>
  </si>
  <si>
    <t>https://i.ibb.co/cNq40GD/TCG5k-VA-R16-1k.png</t>
  </si>
  <si>
    <t>https://i.ibb.co/SwJ5vSF/Des-TCG5k-VA-R16-1.png</t>
  </si>
  <si>
    <t>Size-kVA:4.5, EngineSize-Stroke: 4</t>
  </si>
  <si>
    <t>Size-kVA:3.5, EngineSize-Stroke: 4</t>
  </si>
  <si>
    <t>RCT-AXPERT</t>
  </si>
  <si>
    <t>Size-kVA:3, Voltage-V:48, Power-kW:3, MPPTVoltage-V:430</t>
  </si>
  <si>
    <t>https://i.ibb.co/n1CmNTS/RCT-Axpert3k-VA-R10-4k.png</t>
  </si>
  <si>
    <t>https://i.ibb.co/wrF2yST/Spec-ORDes-RCT-AXPERT3k-VA-R10-4.png</t>
  </si>
  <si>
    <t>Size-kVA:3, InputVoltage-AC:230, OutputVoltage-AC:230, Power-kW:2.4, BatVoltage-V:24, MPPTVoltage-VDC:100</t>
  </si>
  <si>
    <t>https://i.ibb.co/t25SQL4/TCG3kva-R8-6-K.png</t>
  </si>
  <si>
    <t>https://i.ibb.co/zPN6ykP/Des-TCG3k-VA-R8-6.png</t>
  </si>
  <si>
    <t>Size-kVA:3, EngineSize-Stroke: 4</t>
  </si>
  <si>
    <t>Rentech-Jagular</t>
  </si>
  <si>
    <t>Size-kVA:2.4, InputVoltage-AC:230, OutputVoltage-AC:230, Power-kW:1.4, RecLABatVoltage-V:12</t>
  </si>
  <si>
    <t>https://i.ibb.co/6r0kNwc/Rentech-Jag2-4k-VA-R4-4k.png</t>
  </si>
  <si>
    <t>https://i.ibb.co/MC08H1B/Des-Rentec-Jag2-4k-VA-R4-4k.png</t>
  </si>
  <si>
    <t>Size-kVA:10, EngineSize-Stroke: 4</t>
  </si>
  <si>
    <t>Pull-Start</t>
  </si>
  <si>
    <t>Size-kVA:1.2, EngineSize-Stroke: 4</t>
  </si>
  <si>
    <t>Description</t>
  </si>
  <si>
    <t>ImageUrl</t>
  </si>
  <si>
    <t>MaxLi</t>
  </si>
  <si>
    <t>Voltage-V:12, Energy-kWh:1.2</t>
  </si>
  <si>
    <t>Voltage-V:12, Energy-kWh:1.5</t>
  </si>
  <si>
    <t>Fusion</t>
  </si>
  <si>
    <t>Forbatt</t>
  </si>
  <si>
    <t>Lead Acid</t>
  </si>
  <si>
    <t>Voltage-V:12, Energy-kWh:1.2, Capacity-Ah:100</t>
  </si>
  <si>
    <t>Deltec</t>
  </si>
  <si>
    <t>Lead Calcium</t>
  </si>
  <si>
    <t>Voltage-V:12, Energy-kWh:1.2, Capacity-Ah:105</t>
  </si>
  <si>
    <t>Pylon</t>
  </si>
  <si>
    <t>Voltage-V:48, Energy-kWh:3.5, DischargeVoltage-V:53.5, ChargeVoltage-V:53.5</t>
  </si>
  <si>
    <t>RCT</t>
  </si>
  <si>
    <t>Voltage-V:12, Energy-kWh:2.4, Capacity-Ah:200</t>
  </si>
  <si>
    <t>Voltage-V:25.6, Energy-kWh:5.12, RechargeVoltage-V:27.6, Capacity-Ah:200</t>
  </si>
  <si>
    <t>Cable</t>
  </si>
  <si>
    <t>Geewiz</t>
  </si>
  <si>
    <t>SingleCore-DC</t>
  </si>
  <si>
    <t>Size-mm2:35, Length-m:1</t>
  </si>
  <si>
    <t>Size-mm2:50, Length-m:1</t>
  </si>
  <si>
    <t>Rack</t>
  </si>
  <si>
    <t>Renusol</t>
  </si>
  <si>
    <t>Mounting Rail</t>
  </si>
  <si>
    <t>Length-m:2.1</t>
  </si>
  <si>
    <t>SizeGroup:1,TypeGroup:1, Brand:1, PackageGroup:1</t>
  </si>
  <si>
    <t>Length-m:4.2</t>
  </si>
  <si>
    <t>Size-kVA:1.5, Voltage-V:12, Power-kW:1.2</t>
  </si>
  <si>
    <t>ds:[url.pdf,name]</t>
  </si>
  <si>
    <t>Size-kVA:3, Voltage-V:24, Power-kW:3</t>
  </si>
  <si>
    <t>tx:[message]</t>
  </si>
  <si>
    <t>ds:[url.pdf,name];tx:[message]; img:url.[png,jpg,jpeg,gif]</t>
  </si>
  <si>
    <t>Size-kVA:5, Voltage-V:48, Power-kW:5, MPPTVoltage-V:115</t>
  </si>
  <si>
    <t>img:https://i.ibb.co/N2Basdasdasd-/Rentech-5-6.png</t>
  </si>
  <si>
    <t>Size-kVA:8, Voltage-V:48, Power-kW:8, MPPTVoltage-V:66</t>
  </si>
  <si>
    <t>Size-kVA:1, InputVoltage-AC:230, OutputVoltage-AC:230, Power-kW:1, BatVoltage-V:12, PWMCurrent-A:50</t>
  </si>
  <si>
    <t>Size-kVA:3, InputVoltage-AC:230, Power-kW:2.4, BatVoltage-V:24</t>
  </si>
  <si>
    <t>Solars</t>
  </si>
  <si>
    <t>Renewsys,Victron,Excis,PanelFlex</t>
  </si>
  <si>
    <t>Poly,Hybrid,Gel/AGM,SolarCable</t>
  </si>
  <si>
    <t>SolarSize-W:335, InvSize-VA:800, InvVoltage-V:12, InvPower-W:700, MPPTCurrent-A:30, 2BatEnergy-kWh:1.5, 2BatVoltage-V:12, 2BatCapacity-Ah:102, 2CableSize-mm2:6, 2CableLength-m:6</t>
  </si>
  <si>
    <t>SizeGroup:7,TypeGroup:4, Brand:4, PackageGroup:4</t>
  </si>
  <si>
    <t>Renewsys,Victron,Probe-Energy,PanelFlex</t>
  </si>
  <si>
    <t>Poly,Hybrid,AGM,SolarCable</t>
  </si>
  <si>
    <t>2SolarSize-W:335, InvSize-kVA:1.2, InvVoltage-V:24, InvPower-kW:1, MPPTCurrent-A:50, 2BatEnergy-kWh:3, 2BatVoltage-V:12, 2BatCapacity-Ah:220, 2CableSize-mm2:6, 2CableLength-m:8, 2CableSize-mm2:10, 2CableLength-m:2</t>
  </si>
  <si>
    <t>SizeGroup:10,TypeGroup:4, Brand:4, PackageGroup:4, CableSize:2, CableLength:2</t>
  </si>
  <si>
    <t>Renewsys,RCT-Axpert,Probe-Energy,PanelFlex</t>
  </si>
  <si>
    <t>4SolarSize-W:335, InvSize-kVA:3, InvVoltage-V:24, InvPower-kW:3, 2BatEnergy-kWh:2.4, 2BatVoltage-V:12, 2BatCapacity-Ah:220, 2CableSize-mm2:6, 2CableLength-m:20, 2CableSize-mm2:25, 2CableLength-m:2</t>
  </si>
  <si>
    <t>SizeGroup:9,TypeGroup:4, Brand:4, PackageGroup:4, CableSize:2, CableLength:2</t>
  </si>
  <si>
    <t xml:space="preserve"> </t>
  </si>
  <si>
    <t>3kva</t>
  </si>
  <si>
    <t>2.4kwh</t>
  </si>
  <si>
    <t>6x330w</t>
  </si>
  <si>
    <t>2.4kwh x 2</t>
  </si>
  <si>
    <t>8x330w</t>
  </si>
  <si>
    <t>5kva</t>
  </si>
  <si>
    <t>4.8kwh</t>
  </si>
  <si>
    <t>8x375w</t>
  </si>
  <si>
    <t>4.8kwh x 2</t>
  </si>
  <si>
    <t>10x375w</t>
  </si>
  <si>
    <t>8kva</t>
  </si>
  <si>
    <t>2 x 4.8kwh</t>
  </si>
  <si>
    <t>12x375w</t>
  </si>
  <si>
    <t>3 x 4.8kwh</t>
  </si>
  <si>
    <t>14x375w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</si>
</sst>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&quot;* #,##0.00_-;\-&quot;R&quot;* #,##0.00_-;_-&quot;R&quot;* &quot;-&quot;??_-;_-@_-"/>
    <numFmt numFmtId="165" formatCode="_-[$R-1C09]* #,##0_-;\-[$R-1C09]* #,##0_-;_-[$R-1C09]* &quot;-&quot;??_-;_-@_-"/>
    <numFmt numFmtId="166" formatCode="_-[$R-1C09]* #,##0.00_-;\-[$R-1C09]* #,##0.00_-;_-[$R-1C09]* &quot;-&quot;??_-;_-@_-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165" fontId="3" fillId="2" borderId="1" xfId="1" applyNumberFormat="1" applyFill="1" applyBorder="1"/>
    <xf numFmtId="0" fontId="0" fillId="3" borderId="0" xfId="0" applyFill="1"/>
    <xf numFmtId="165" fontId="3" fillId="3" borderId="1" xfId="1" applyNumberFormat="1" applyFill="1" applyBorder="1"/>
    <xf numFmtId="0" fontId="0" fillId="4" borderId="0" xfId="0" applyFill="1"/>
    <xf numFmtId="0" fontId="0" fillId="5" borderId="0" xfId="0" applyFill="1"/>
    <xf numFmtId="165" fontId="3" fillId="5" borderId="1" xfId="1" applyNumberFormat="1" applyFill="1" applyBorder="1"/>
    <xf numFmtId="0" fontId="0" fillId="6" borderId="0" xfId="0" applyFill="1"/>
    <xf numFmtId="165" fontId="3" fillId="6" borderId="1" xfId="1" applyNumberFormat="1" applyFill="1" applyBorder="1"/>
    <xf numFmtId="0" fontId="0" fillId="2" borderId="0" xfId="0" applyFill="1"/>
    <xf numFmtId="165" fontId="3" fillId="7" borderId="1" xfId="1" applyNumberFormat="1" applyFill="1" applyBorder="1"/>
    <xf numFmtId="166" fontId="0" fillId="0" borderId="0" xfId="0" applyNumberFormat="1"/>
    <xf numFmtId="165" fontId="3" fillId="4" borderId="1" xfId="1" applyNumberFormat="1" applyFill="1" applyBorder="1"/>
    <xf numFmtId="165" fontId="0" fillId="4" borderId="1" xfId="0" applyNumberFormat="1" applyFill="1" applyBorder="1"/>
    <xf numFmtId="164" fontId="0" fillId="0" borderId="0" xfId="2" applyFont="1"/>
    <xf numFmtId="0" fontId="3" fillId="0" borderId="0" xfId="1"/>
    <xf numFmtId="0" fontId="3" fillId="6" borderId="0" xfId="1" applyFill="1"/>
    <xf numFmtId="0" fontId="3" fillId="4" borderId="0" xfId="1" applyFill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66CC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.ibb.co/SJvBzmH/Pylon3-5-R20-8k.png" TargetMode="External"/><Relationship Id="rId7" Type="http://schemas.openxmlformats.org/officeDocument/2006/relationships/hyperlink" Target="https://i.ibb.co/dMZ7ZNj/Des-ORSpec-Canadian365-W.png" TargetMode="External"/><Relationship Id="rId2" Type="http://schemas.openxmlformats.org/officeDocument/2006/relationships/hyperlink" Target="https://i.ibb.co/T4qGcHB/Des-Dyness3-6-R21-7k.png" TargetMode="External"/><Relationship Id="rId1" Type="http://schemas.openxmlformats.org/officeDocument/2006/relationships/hyperlink" Target="https://i.ibb.co/w0xBfmN/Des-Pylon4-8-R26k.png" TargetMode="External"/><Relationship Id="rId6" Type="http://schemas.openxmlformats.org/officeDocument/2006/relationships/hyperlink" Target="https://i.ibb.co/qJ5TSwq/pylontech-us3000c-35kwh-48v-lithium-li-ion-solar-battery-excl-brackets.jpg" TargetMode="External"/><Relationship Id="rId5" Type="http://schemas.openxmlformats.org/officeDocument/2006/relationships/hyperlink" Target="https://i.ibb.co/FK0ty82/Tentech5-6k-VA-R17-4.png" TargetMode="External"/><Relationship Id="rId4" Type="http://schemas.openxmlformats.org/officeDocument/2006/relationships/hyperlink" Target="https://i.ibb.co/gR0fQzG/Hubble1-5-R8-0k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CF050-2F09-42D0-9049-6BF8B00124F4}">
  <dimension ref="A1:M98"/>
  <sheetViews>
    <sheetView tabSelected="1" zoomScale="60" zoomScaleNormal="60" workbookViewId="0">
      <selection activeCell="C31" sqref="C31"/>
    </sheetView>
  </sheetViews>
  <sheetFormatPr defaultRowHeight="14.45"/>
  <cols>
    <col min="1" max="1" width="9.85546875" bestFit="1" customWidth="1"/>
    <col min="2" max="2" width="13.28515625" bestFit="1" customWidth="1"/>
    <col min="3" max="3" width="41.140625" bestFit="1" customWidth="1"/>
    <col min="4" max="4" width="29.85546875" bestFit="1" customWidth="1"/>
    <col min="5" max="5" width="83" customWidth="1"/>
    <col min="6" max="6" width="13.28515625" bestFit="1" customWidth="1"/>
    <col min="7" max="7" width="50.42578125" customWidth="1"/>
    <col min="8" max="8" width="99.140625" bestFit="1" customWidth="1"/>
    <col min="9" max="9" width="68.7109375" bestFit="1" customWidth="1"/>
  </cols>
  <sheetData>
    <row r="1" spans="1:9" s="1" customFormat="1" ht="1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" thickBot="1">
      <c r="A2" t="s">
        <v>9</v>
      </c>
      <c r="B2" t="s">
        <v>10</v>
      </c>
      <c r="C2" t="s">
        <v>11</v>
      </c>
      <c r="D2" t="s">
        <v>12</v>
      </c>
      <c r="E2" t="s">
        <v>13</v>
      </c>
      <c r="F2" s="13">
        <f>RBCPriceGenerator!B10</f>
        <v>26444.249999999996</v>
      </c>
      <c r="G2" s="5" t="s">
        <v>14</v>
      </c>
      <c r="H2" s="5" t="s">
        <v>15</v>
      </c>
      <c r="I2" s="16" t="s">
        <v>16</v>
      </c>
    </row>
    <row r="3" spans="1:9" ht="15" thickBot="1">
      <c r="A3" t="s">
        <v>9</v>
      </c>
      <c r="B3" t="s">
        <v>10</v>
      </c>
      <c r="C3" t="s">
        <v>17</v>
      </c>
      <c r="D3" t="s">
        <v>12</v>
      </c>
      <c r="E3" t="s">
        <v>18</v>
      </c>
      <c r="F3" s="13">
        <f>RBCPriceGenerator!B9</f>
        <v>21755.699999999997</v>
      </c>
      <c r="G3" s="5" t="s">
        <v>14</v>
      </c>
      <c r="H3" s="5" t="s">
        <v>19</v>
      </c>
      <c r="I3" s="16" t="s">
        <v>20</v>
      </c>
    </row>
    <row r="4" spans="1:9" ht="15" thickBot="1">
      <c r="A4" t="s">
        <v>9</v>
      </c>
      <c r="B4" t="s">
        <v>10</v>
      </c>
      <c r="C4" t="s">
        <v>11</v>
      </c>
      <c r="D4" t="s">
        <v>12</v>
      </c>
      <c r="E4" t="s">
        <v>21</v>
      </c>
      <c r="F4" s="13">
        <f>RBCPriceGenerator!B8</f>
        <v>20895.5</v>
      </c>
      <c r="G4" s="5" t="s">
        <v>14</v>
      </c>
      <c r="H4" s="18" t="s">
        <v>22</v>
      </c>
      <c r="I4" s="16" t="s">
        <v>23</v>
      </c>
    </row>
    <row r="5" spans="1:9" ht="15" thickBot="1">
      <c r="A5" t="s">
        <v>9</v>
      </c>
      <c r="B5" t="s">
        <v>10</v>
      </c>
      <c r="C5" t="s">
        <v>11</v>
      </c>
      <c r="D5" t="s">
        <v>12</v>
      </c>
      <c r="E5" t="s">
        <v>24</v>
      </c>
      <c r="F5" s="13">
        <f>RBCPriceGenerator!B7</f>
        <v>13549.3</v>
      </c>
      <c r="G5" s="5" t="s">
        <v>14</v>
      </c>
      <c r="H5" s="5" t="s">
        <v>25</v>
      </c>
      <c r="I5" t="s">
        <v>26</v>
      </c>
    </row>
    <row r="6" spans="1:9" ht="15" thickBot="1">
      <c r="A6" t="s">
        <v>27</v>
      </c>
      <c r="B6" t="s">
        <v>27</v>
      </c>
      <c r="C6" t="s">
        <v>28</v>
      </c>
      <c r="D6" t="s">
        <v>29</v>
      </c>
      <c r="E6" t="s">
        <v>30</v>
      </c>
      <c r="F6" s="13">
        <f>RBCPriceGenerator!B14</f>
        <v>3433.8999999999996</v>
      </c>
      <c r="G6" t="s">
        <v>31</v>
      </c>
      <c r="H6" t="s">
        <v>32</v>
      </c>
      <c r="I6" t="s">
        <v>33</v>
      </c>
    </row>
    <row r="7" spans="1:9" ht="15" thickBot="1">
      <c r="A7" t="s">
        <v>27</v>
      </c>
      <c r="B7" t="s">
        <v>27</v>
      </c>
      <c r="C7" t="s">
        <v>34</v>
      </c>
      <c r="D7" t="s">
        <v>29</v>
      </c>
      <c r="E7" t="s">
        <v>35</v>
      </c>
      <c r="F7" s="13">
        <f>RBCPriceGenerator!B13</f>
        <v>2587.5</v>
      </c>
      <c r="G7" t="s">
        <v>31</v>
      </c>
      <c r="H7" t="s">
        <v>36</v>
      </c>
      <c r="I7" t="s">
        <v>37</v>
      </c>
    </row>
    <row r="8" spans="1:9" ht="15" thickBot="1">
      <c r="A8" t="s">
        <v>27</v>
      </c>
      <c r="B8" t="s">
        <v>27</v>
      </c>
      <c r="C8" t="s">
        <v>38</v>
      </c>
      <c r="D8" t="s">
        <v>39</v>
      </c>
      <c r="E8" t="s">
        <v>40</v>
      </c>
      <c r="F8" s="13">
        <f>RBCPriceGenerator!B18</f>
        <v>3633.9999999999995</v>
      </c>
      <c r="G8" t="s">
        <v>31</v>
      </c>
      <c r="H8" t="s">
        <v>41</v>
      </c>
      <c r="I8" t="s">
        <v>42</v>
      </c>
    </row>
    <row r="9" spans="1:9" ht="15" thickBot="1">
      <c r="A9" t="s">
        <v>27</v>
      </c>
      <c r="B9" t="s">
        <v>27</v>
      </c>
      <c r="C9" t="s">
        <v>43</v>
      </c>
      <c r="D9" t="s">
        <v>39</v>
      </c>
      <c r="E9" t="s">
        <v>44</v>
      </c>
      <c r="F9" s="13">
        <f>RBCPriceGenerator!B17</f>
        <v>3217.7</v>
      </c>
      <c r="G9" t="s">
        <v>31</v>
      </c>
      <c r="H9" t="s">
        <v>45</v>
      </c>
      <c r="I9" t="s">
        <v>46</v>
      </c>
    </row>
    <row r="10" spans="1:9" ht="15" thickBot="1">
      <c r="A10" t="s">
        <v>27</v>
      </c>
      <c r="B10" t="s">
        <v>27</v>
      </c>
      <c r="C10" t="s">
        <v>47</v>
      </c>
      <c r="D10" t="s">
        <v>39</v>
      </c>
      <c r="E10" t="s">
        <v>48</v>
      </c>
      <c r="F10" s="13">
        <f>RBCPriceGenerator!B16</f>
        <v>3653.5499999999997</v>
      </c>
      <c r="G10" t="s">
        <v>31</v>
      </c>
      <c r="H10" t="s">
        <v>49</v>
      </c>
      <c r="I10" t="s">
        <v>50</v>
      </c>
    </row>
    <row r="11" spans="1:9" ht="15" thickBot="1">
      <c r="A11" t="s">
        <v>27</v>
      </c>
      <c r="B11" t="s">
        <v>27</v>
      </c>
      <c r="C11" t="s">
        <v>38</v>
      </c>
      <c r="D11" t="s">
        <v>39</v>
      </c>
      <c r="E11" t="s">
        <v>51</v>
      </c>
      <c r="F11" s="13">
        <f>RBCPriceGenerator!B15</f>
        <v>3759.35</v>
      </c>
      <c r="G11" t="s">
        <v>31</v>
      </c>
      <c r="H11" t="s">
        <v>52</v>
      </c>
      <c r="I11" s="16" t="s">
        <v>53</v>
      </c>
    </row>
    <row r="12" spans="1:9" ht="15" thickBot="1">
      <c r="A12" s="8" t="s">
        <v>9</v>
      </c>
      <c r="B12" s="8" t="s">
        <v>10</v>
      </c>
      <c r="C12" s="8" t="s">
        <v>54</v>
      </c>
      <c r="D12" s="8" t="s">
        <v>12</v>
      </c>
      <c r="E12" s="8" t="s">
        <v>55</v>
      </c>
      <c r="F12" s="9">
        <f>RBCPriceGenerator!B53</f>
        <v>18975</v>
      </c>
      <c r="G12" s="8" t="s">
        <v>31</v>
      </c>
      <c r="H12" s="8" t="s">
        <v>56</v>
      </c>
      <c r="I12" t="s">
        <v>57</v>
      </c>
    </row>
    <row r="13" spans="1:9" ht="15" thickBot="1">
      <c r="A13" s="8" t="s">
        <v>9</v>
      </c>
      <c r="B13" s="8" t="s">
        <v>10</v>
      </c>
      <c r="C13" s="8" t="s">
        <v>58</v>
      </c>
      <c r="D13" s="8" t="s">
        <v>12</v>
      </c>
      <c r="E13" s="8" t="s">
        <v>59</v>
      </c>
      <c r="F13" s="9">
        <f>RBCPriceGenerator!B52</f>
        <v>8038.4999999999991</v>
      </c>
      <c r="G13" s="8" t="s">
        <v>31</v>
      </c>
      <c r="H13" s="8" t="s">
        <v>60</v>
      </c>
      <c r="I13" s="16" t="s">
        <v>61</v>
      </c>
    </row>
    <row r="14" spans="1:9" ht="15" thickBot="1">
      <c r="A14" t="s">
        <v>62</v>
      </c>
      <c r="B14" t="s">
        <v>63</v>
      </c>
      <c r="C14" t="s">
        <v>64</v>
      </c>
      <c r="D14" t="s">
        <v>65</v>
      </c>
      <c r="E14" t="s">
        <v>66</v>
      </c>
      <c r="F14" s="13">
        <f>RBCPriceGenerator!B26</f>
        <v>14949.999999999998</v>
      </c>
      <c r="G14" t="s">
        <v>14</v>
      </c>
    </row>
    <row r="15" spans="1:9" ht="15" thickBot="1">
      <c r="A15" t="s">
        <v>62</v>
      </c>
      <c r="B15" t="s">
        <v>67</v>
      </c>
      <c r="C15" t="s">
        <v>68</v>
      </c>
      <c r="D15" t="s">
        <v>65</v>
      </c>
      <c r="E15" t="s">
        <v>69</v>
      </c>
      <c r="F15" s="13">
        <f>RBCPriceGenerator!B30</f>
        <v>27599.999999999996</v>
      </c>
      <c r="G15" t="s">
        <v>14</v>
      </c>
    </row>
    <row r="16" spans="1:9" ht="15" thickBot="1">
      <c r="A16" t="s">
        <v>62</v>
      </c>
      <c r="B16" t="s">
        <v>67</v>
      </c>
      <c r="C16" t="s">
        <v>70</v>
      </c>
      <c r="D16" t="s">
        <v>71</v>
      </c>
      <c r="E16" t="s">
        <v>69</v>
      </c>
      <c r="F16" s="13">
        <f>RBCPriceGenerator!B31</f>
        <v>32996.949999999997</v>
      </c>
      <c r="G16" t="s">
        <v>14</v>
      </c>
    </row>
    <row r="17" spans="1:9" s="5" customFormat="1" ht="15" thickBot="1">
      <c r="A17" t="s">
        <v>62</v>
      </c>
      <c r="B17" t="s">
        <v>67</v>
      </c>
      <c r="C17" t="s">
        <v>64</v>
      </c>
      <c r="D17" t="s">
        <v>65</v>
      </c>
      <c r="E17" t="s">
        <v>72</v>
      </c>
      <c r="F17" s="13">
        <f>RBCPriceGenerator!B33</f>
        <v>41400</v>
      </c>
      <c r="G17" t="s">
        <v>14</v>
      </c>
      <c r="H17"/>
    </row>
    <row r="18" spans="1:9" ht="15" thickBot="1">
      <c r="A18" t="s">
        <v>62</v>
      </c>
      <c r="B18" t="s">
        <v>67</v>
      </c>
      <c r="C18" t="s">
        <v>70</v>
      </c>
      <c r="D18" t="s">
        <v>71</v>
      </c>
      <c r="E18" t="s">
        <v>73</v>
      </c>
      <c r="F18" s="13">
        <f>RBCPriceGenerator!B29</f>
        <v>27706.949999999997</v>
      </c>
      <c r="G18" t="s">
        <v>14</v>
      </c>
    </row>
    <row r="19" spans="1:9" ht="15" thickBot="1">
      <c r="A19" s="8" t="s">
        <v>74</v>
      </c>
      <c r="B19" s="8" t="s">
        <v>75</v>
      </c>
      <c r="C19" s="8" t="s">
        <v>76</v>
      </c>
      <c r="D19" s="8" t="s">
        <v>77</v>
      </c>
      <c r="E19" s="8" t="s">
        <v>78</v>
      </c>
      <c r="F19" s="9">
        <f>RBCPriceGenerator!B51</f>
        <v>17480</v>
      </c>
      <c r="G19" s="8" t="s">
        <v>79</v>
      </c>
      <c r="H19" s="17" t="s">
        <v>80</v>
      </c>
      <c r="I19" t="s">
        <v>81</v>
      </c>
    </row>
    <row r="20" spans="1:9" ht="15" thickBot="1">
      <c r="A20" t="s">
        <v>62</v>
      </c>
      <c r="B20" t="s">
        <v>63</v>
      </c>
      <c r="C20" t="s">
        <v>64</v>
      </c>
      <c r="D20" t="s">
        <v>65</v>
      </c>
      <c r="E20" t="s">
        <v>82</v>
      </c>
      <c r="F20" s="13">
        <f>RBCPriceGenerator!B25</f>
        <v>13799.999999999998</v>
      </c>
      <c r="G20" t="s">
        <v>14</v>
      </c>
    </row>
    <row r="21" spans="1:9" ht="15" thickBot="1">
      <c r="A21" s="8" t="s">
        <v>74</v>
      </c>
      <c r="B21" s="8" t="s">
        <v>75</v>
      </c>
      <c r="C21" s="8" t="s">
        <v>76</v>
      </c>
      <c r="D21" s="8" t="s">
        <v>83</v>
      </c>
      <c r="E21" s="8" t="s">
        <v>84</v>
      </c>
      <c r="F21" s="9">
        <f>RBCPriceGenerator!B50</f>
        <v>15746.949999999999</v>
      </c>
      <c r="G21" s="8" t="s">
        <v>85</v>
      </c>
      <c r="H21" s="8" t="s">
        <v>86</v>
      </c>
      <c r="I21" t="s">
        <v>87</v>
      </c>
    </row>
    <row r="22" spans="1:9" ht="15" thickBot="1">
      <c r="A22" t="s">
        <v>74</v>
      </c>
      <c r="B22" t="s">
        <v>75</v>
      </c>
      <c r="C22" t="s">
        <v>88</v>
      </c>
      <c r="D22" t="s">
        <v>77</v>
      </c>
      <c r="E22" t="s">
        <v>89</v>
      </c>
      <c r="F22" s="13">
        <f>RBCPriceGenerator!B4</f>
        <v>12822.499999999998</v>
      </c>
      <c r="G22" s="5" t="s">
        <v>90</v>
      </c>
      <c r="H22" s="5" t="s">
        <v>91</v>
      </c>
      <c r="I22" t="s">
        <v>92</v>
      </c>
    </row>
    <row r="23" spans="1:9" ht="15" thickBot="1">
      <c r="A23" s="6" t="s">
        <v>74</v>
      </c>
      <c r="B23" s="6" t="s">
        <v>75</v>
      </c>
      <c r="C23" s="6" t="s">
        <v>93</v>
      </c>
      <c r="D23" s="6" t="s">
        <v>83</v>
      </c>
      <c r="E23" s="6" t="s">
        <v>94</v>
      </c>
      <c r="F23" s="7">
        <f>RBCPriceGenerator!B42</f>
        <v>16099.999999999998</v>
      </c>
      <c r="G23" s="6" t="s">
        <v>85</v>
      </c>
      <c r="H23" s="6" t="s">
        <v>95</v>
      </c>
      <c r="I23" t="s">
        <v>96</v>
      </c>
    </row>
    <row r="24" spans="1:9" ht="15" thickBot="1">
      <c r="A24" t="s">
        <v>62</v>
      </c>
      <c r="B24" t="s">
        <v>67</v>
      </c>
      <c r="C24" t="s">
        <v>64</v>
      </c>
      <c r="D24" t="s">
        <v>65</v>
      </c>
      <c r="E24" t="s">
        <v>97</v>
      </c>
      <c r="F24" s="13">
        <f>RBCPriceGenerator!B32</f>
        <v>34500</v>
      </c>
      <c r="G24" t="s">
        <v>14</v>
      </c>
    </row>
    <row r="25" spans="1:9" ht="15" thickBot="1">
      <c r="A25" t="s">
        <v>62</v>
      </c>
      <c r="B25" t="s">
        <v>63</v>
      </c>
      <c r="C25" t="s">
        <v>64</v>
      </c>
      <c r="D25" t="s">
        <v>65</v>
      </c>
      <c r="E25" t="s">
        <v>98</v>
      </c>
      <c r="F25" s="13">
        <f>RBCPriceGenerator!B24</f>
        <v>8049.9999999999991</v>
      </c>
      <c r="G25" t="s">
        <v>14</v>
      </c>
    </row>
    <row r="26" spans="1:9" ht="15" thickBot="1">
      <c r="A26" s="3" t="s">
        <v>74</v>
      </c>
      <c r="B26" s="3" t="s">
        <v>75</v>
      </c>
      <c r="C26" s="3" t="s">
        <v>99</v>
      </c>
      <c r="D26" s="3" t="s">
        <v>77</v>
      </c>
      <c r="E26" s="3" t="s">
        <v>100</v>
      </c>
      <c r="F26" s="4">
        <f>RBCPriceGenerator!B34</f>
        <v>10471.9</v>
      </c>
      <c r="G26" s="3" t="s">
        <v>31</v>
      </c>
      <c r="H26" s="3" t="s">
        <v>101</v>
      </c>
      <c r="I26" t="s">
        <v>102</v>
      </c>
    </row>
    <row r="27" spans="1:9" s="5" customFormat="1" ht="15" thickBot="1">
      <c r="A27" s="6" t="s">
        <v>74</v>
      </c>
      <c r="B27" s="6" t="s">
        <v>75</v>
      </c>
      <c r="C27" s="6" t="s">
        <v>93</v>
      </c>
      <c r="D27" s="6" t="s">
        <v>83</v>
      </c>
      <c r="E27" s="6" t="s">
        <v>103</v>
      </c>
      <c r="F27" s="7">
        <f>RBCPriceGenerator!B41</f>
        <v>8625</v>
      </c>
      <c r="G27" s="6" t="s">
        <v>85</v>
      </c>
      <c r="H27" s="6" t="s">
        <v>104</v>
      </c>
      <c r="I27" s="5" t="s">
        <v>105</v>
      </c>
    </row>
    <row r="28" spans="1:9" ht="15" thickBot="1">
      <c r="A28" t="s">
        <v>62</v>
      </c>
      <c r="B28" t="s">
        <v>67</v>
      </c>
      <c r="C28" t="s">
        <v>68</v>
      </c>
      <c r="D28" t="s">
        <v>65</v>
      </c>
      <c r="E28" t="s">
        <v>106</v>
      </c>
      <c r="F28" s="13">
        <f>RBCPriceGenerator!B28</f>
        <v>17250</v>
      </c>
      <c r="G28" t="s">
        <v>14</v>
      </c>
    </row>
    <row r="29" spans="1:9" ht="15" thickBot="1">
      <c r="A29" s="8" t="s">
        <v>74</v>
      </c>
      <c r="B29" s="8" t="s">
        <v>75</v>
      </c>
      <c r="C29" s="8" t="s">
        <v>107</v>
      </c>
      <c r="D29" s="8" t="s">
        <v>77</v>
      </c>
      <c r="E29" s="8" t="s">
        <v>108</v>
      </c>
      <c r="F29" s="9">
        <f>RBCPriceGenerator!B48</f>
        <v>4401.0499999999993</v>
      </c>
      <c r="G29" s="8" t="s">
        <v>79</v>
      </c>
      <c r="H29" s="8" t="s">
        <v>109</v>
      </c>
      <c r="I29" t="s">
        <v>110</v>
      </c>
    </row>
    <row r="30" spans="1:9" ht="15" thickBot="1">
      <c r="A30" t="s">
        <v>62</v>
      </c>
      <c r="B30" t="s">
        <v>63</v>
      </c>
      <c r="C30" t="s">
        <v>64</v>
      </c>
      <c r="D30" t="s">
        <v>65</v>
      </c>
      <c r="E30" t="s">
        <v>111</v>
      </c>
      <c r="F30" s="13">
        <f>RBCPriceGenerator!B27</f>
        <v>24149.999999999996</v>
      </c>
      <c r="G30" t="s">
        <v>14</v>
      </c>
    </row>
    <row r="31" spans="1:9" ht="15" thickBot="1">
      <c r="A31" t="s">
        <v>62</v>
      </c>
      <c r="B31" t="s">
        <v>63</v>
      </c>
      <c r="C31" t="s">
        <v>64</v>
      </c>
      <c r="D31" t="s">
        <v>112</v>
      </c>
      <c r="E31" t="s">
        <v>113</v>
      </c>
      <c r="F31" s="13">
        <f>RBCPriceGenerator!B23</f>
        <v>5175</v>
      </c>
      <c r="G31" t="s">
        <v>14</v>
      </c>
    </row>
    <row r="34" spans="6:6">
      <c r="F34" s="15"/>
    </row>
    <row r="35" spans="6:6">
      <c r="F35" s="15"/>
    </row>
    <row r="36" spans="6:6">
      <c r="F36" s="15"/>
    </row>
    <row r="37" spans="6:6">
      <c r="F37" s="15"/>
    </row>
    <row r="38" spans="6:6">
      <c r="F38" s="15"/>
    </row>
    <row r="39" spans="6:6">
      <c r="F39" s="15"/>
    </row>
    <row r="40" spans="6:6">
      <c r="F40" s="15"/>
    </row>
    <row r="41" spans="6:6">
      <c r="F41" s="15"/>
    </row>
    <row r="42" spans="6:6">
      <c r="F42" s="15"/>
    </row>
    <row r="43" spans="6:6">
      <c r="F43" s="15"/>
    </row>
    <row r="44" spans="6:6">
      <c r="F44" s="15"/>
    </row>
    <row r="45" spans="6:6">
      <c r="F45" s="15"/>
    </row>
    <row r="46" spans="6:6">
      <c r="F46" s="15"/>
    </row>
    <row r="47" spans="6:6">
      <c r="F47" s="15"/>
    </row>
    <row r="48" spans="6:6">
      <c r="F48" s="15"/>
    </row>
    <row r="49" spans="6:13">
      <c r="F49" s="15"/>
    </row>
    <row r="50" spans="6:13">
      <c r="F50" s="15"/>
    </row>
    <row r="51" spans="6:13">
      <c r="F51" s="15"/>
    </row>
    <row r="52" spans="6:13">
      <c r="F52" s="15"/>
    </row>
    <row r="53" spans="6:13">
      <c r="F53" s="15"/>
    </row>
    <row r="54" spans="6:13">
      <c r="F54" s="15"/>
    </row>
    <row r="55" spans="6:13">
      <c r="F55" s="15"/>
    </row>
    <row r="56" spans="6:13">
      <c r="F56" s="15"/>
    </row>
    <row r="57" spans="6:13">
      <c r="F57" s="15"/>
    </row>
    <row r="58" spans="6:13">
      <c r="F58" s="15"/>
    </row>
    <row r="59" spans="6:13">
      <c r="F59" s="15"/>
      <c r="M59" s="15"/>
    </row>
    <row r="60" spans="6:13">
      <c r="F60" s="15"/>
      <c r="M60" s="15"/>
    </row>
    <row r="61" spans="6:13">
      <c r="F61" s="15"/>
      <c r="M61" s="15"/>
    </row>
    <row r="62" spans="6:13">
      <c r="F62" s="15"/>
      <c r="M62" s="15"/>
    </row>
    <row r="63" spans="6:13">
      <c r="F63" s="15"/>
      <c r="M63" s="15"/>
    </row>
    <row r="64" spans="6:13">
      <c r="F64" s="15"/>
      <c r="M64" s="15"/>
    </row>
    <row r="65" spans="6:13">
      <c r="F65" s="15"/>
      <c r="M65" s="15"/>
    </row>
    <row r="66" spans="6:13">
      <c r="F66" s="15"/>
      <c r="M66" s="15"/>
    </row>
    <row r="67" spans="6:13">
      <c r="M67" s="15"/>
    </row>
    <row r="68" spans="6:13">
      <c r="M68" s="15"/>
    </row>
    <row r="69" spans="6:13">
      <c r="M69" s="15"/>
    </row>
    <row r="70" spans="6:13">
      <c r="F70" s="15"/>
      <c r="M70" s="15"/>
    </row>
    <row r="71" spans="6:13">
      <c r="F71" s="15"/>
      <c r="M71" s="15"/>
    </row>
    <row r="72" spans="6:13">
      <c r="F72" s="15"/>
      <c r="M72" s="15"/>
    </row>
    <row r="73" spans="6:13">
      <c r="F73" s="15"/>
      <c r="M73" s="15"/>
    </row>
    <row r="74" spans="6:13">
      <c r="M74" s="15"/>
    </row>
    <row r="75" spans="6:13">
      <c r="M75" s="15"/>
    </row>
    <row r="76" spans="6:13">
      <c r="M76" s="15"/>
    </row>
    <row r="77" spans="6:13">
      <c r="M77" s="15"/>
    </row>
    <row r="78" spans="6:13">
      <c r="M78" s="15"/>
    </row>
    <row r="79" spans="6:13">
      <c r="M79" s="15"/>
    </row>
    <row r="80" spans="6:13">
      <c r="M80" s="15"/>
    </row>
    <row r="81" spans="13:13">
      <c r="M81" s="15"/>
    </row>
    <row r="82" spans="13:13">
      <c r="M82" s="15"/>
    </row>
    <row r="83" spans="13:13">
      <c r="M83" s="15"/>
    </row>
    <row r="84" spans="13:13">
      <c r="M84" s="15"/>
    </row>
    <row r="85" spans="13:13">
      <c r="M85" s="15"/>
    </row>
    <row r="86" spans="13:13">
      <c r="M86" s="15"/>
    </row>
    <row r="87" spans="13:13">
      <c r="M87" s="15"/>
    </row>
    <row r="88" spans="13:13">
      <c r="M88" s="15"/>
    </row>
    <row r="89" spans="13:13">
      <c r="M89" s="15"/>
    </row>
    <row r="90" spans="13:13">
      <c r="M90" s="15"/>
    </row>
    <row r="91" spans="13:13">
      <c r="M91" s="15"/>
    </row>
    <row r="95" spans="13:13">
      <c r="M95" s="15"/>
    </row>
    <row r="96" spans="13:13">
      <c r="M96" s="15"/>
    </row>
    <row r="97" spans="13:13">
      <c r="M97" s="15"/>
    </row>
    <row r="98" spans="13:13">
      <c r="M98" s="15"/>
    </row>
  </sheetData>
  <autoFilter ref="A1:G31" xr:uid="{01BCF050-2F09-42D0-9049-6BF8B00124F4}"/>
  <sortState xmlns:xlrd2="http://schemas.microsoft.com/office/spreadsheetml/2017/richdata2" ref="A2:G31">
    <sortCondition descending="1" ref="E14:E31"/>
  </sortState>
  <phoneticPr fontId="2" type="noConversion"/>
  <hyperlinks>
    <hyperlink ref="I2" r:id="rId1" xr:uid="{CA126EF1-9BE6-48B2-AD23-95923090A00D}"/>
    <hyperlink ref="I3" r:id="rId2" xr:uid="{52748133-60D7-4085-8A2B-F47A5084AE82}"/>
    <hyperlink ref="I4" r:id="rId3" xr:uid="{C39F7D00-D3EC-4E80-B6DF-FF1AC8554BF2}"/>
    <hyperlink ref="I13" r:id="rId4" xr:uid="{51126B01-EF82-4D3A-A8AC-4C6EDBFD4FA4}"/>
    <hyperlink ref="H19" r:id="rId5" xr:uid="{64525F2D-8BC7-48E6-883B-74C1E1705D7B}"/>
    <hyperlink ref="H4" r:id="rId6" xr:uid="{B6E103EA-A26F-4CAE-9611-5E071D398B4B}"/>
    <hyperlink ref="I11" r:id="rId7" xr:uid="{DF7F894D-0311-4E90-BE0A-95CB041C6CA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F5969-2414-4BDC-9727-8A9DE0460C59}">
  <sheetPr filterMode="1"/>
  <dimension ref="A1:N124"/>
  <sheetViews>
    <sheetView topLeftCell="C1" zoomScale="70" zoomScaleNormal="70" workbookViewId="0">
      <selection activeCell="E67" sqref="A65:E67"/>
    </sheetView>
  </sheetViews>
  <sheetFormatPr defaultRowHeight="14.45"/>
  <cols>
    <col min="1" max="1" width="10.140625" bestFit="1" customWidth="1"/>
    <col min="2" max="2" width="13.28515625" bestFit="1" customWidth="1"/>
    <col min="3" max="3" width="41.140625" bestFit="1" customWidth="1"/>
    <col min="4" max="4" width="29.85546875" bestFit="1" customWidth="1"/>
    <col min="5" max="5" width="114.28515625" customWidth="1"/>
    <col min="6" max="6" width="15.28515625" bestFit="1" customWidth="1"/>
    <col min="7" max="7" width="74.28515625" bestFit="1" customWidth="1"/>
    <col min="8" max="8" width="2.28515625" bestFit="1" customWidth="1"/>
    <col min="9" max="9" width="51.85546875" bestFit="1" customWidth="1"/>
  </cols>
  <sheetData>
    <row r="1" spans="1:10" s="1" customFormat="1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114</v>
      </c>
      <c r="J1" s="1" t="s">
        <v>115</v>
      </c>
    </row>
    <row r="2" spans="1:10" ht="15" hidden="1" thickBot="1">
      <c r="A2" t="s">
        <v>9</v>
      </c>
      <c r="B2" t="s">
        <v>10</v>
      </c>
      <c r="C2" t="s">
        <v>116</v>
      </c>
      <c r="D2" t="s">
        <v>12</v>
      </c>
      <c r="E2" t="s">
        <v>117</v>
      </c>
      <c r="F2" s="13">
        <f>RBCPriceGenerator!B5</f>
        <v>11253.9</v>
      </c>
      <c r="G2" s="5" t="s">
        <v>14</v>
      </c>
    </row>
    <row r="3" spans="1:10" ht="15" hidden="1" thickBot="1">
      <c r="A3" t="s">
        <v>9</v>
      </c>
      <c r="B3" t="s">
        <v>10</v>
      </c>
      <c r="C3" t="s">
        <v>58</v>
      </c>
      <c r="D3" t="s">
        <v>12</v>
      </c>
      <c r="E3" t="s">
        <v>118</v>
      </c>
      <c r="F3" s="13">
        <f>RBCPriceGenerator!B6</f>
        <v>8044.2499999999991</v>
      </c>
      <c r="G3" s="5" t="s">
        <v>14</v>
      </c>
    </row>
    <row r="4" spans="1:10" ht="15" hidden="1" thickBot="1">
      <c r="A4" t="s">
        <v>9</v>
      </c>
      <c r="B4" t="s">
        <v>10</v>
      </c>
      <c r="C4" t="s">
        <v>17</v>
      </c>
      <c r="D4" t="s">
        <v>12</v>
      </c>
      <c r="E4" t="s">
        <v>24</v>
      </c>
      <c r="F4" s="13">
        <f>RBCPriceGenerator!B7</f>
        <v>13549.3</v>
      </c>
      <c r="G4" s="5" t="s">
        <v>14</v>
      </c>
    </row>
    <row r="5" spans="1:10" ht="15" hidden="1" thickBot="1">
      <c r="A5" t="s">
        <v>9</v>
      </c>
      <c r="B5" t="s">
        <v>10</v>
      </c>
      <c r="C5" t="s">
        <v>11</v>
      </c>
      <c r="D5" t="s">
        <v>12</v>
      </c>
      <c r="E5" t="s">
        <v>21</v>
      </c>
      <c r="F5" s="13">
        <f>RBCPriceGenerator!B8</f>
        <v>20895.5</v>
      </c>
      <c r="G5" s="5" t="s">
        <v>14</v>
      </c>
    </row>
    <row r="6" spans="1:10" ht="15" hidden="1" thickBot="1">
      <c r="A6" t="s">
        <v>9</v>
      </c>
      <c r="B6" t="s">
        <v>10</v>
      </c>
      <c r="C6" t="s">
        <v>17</v>
      </c>
      <c r="D6" t="s">
        <v>12</v>
      </c>
      <c r="E6" t="s">
        <v>18</v>
      </c>
      <c r="F6" s="13">
        <f>RBCPriceGenerator!B9</f>
        <v>21755.699999999997</v>
      </c>
      <c r="G6" s="5" t="s">
        <v>14</v>
      </c>
    </row>
    <row r="7" spans="1:10" ht="15" hidden="1" thickBot="1">
      <c r="A7" t="s">
        <v>9</v>
      </c>
      <c r="B7" t="s">
        <v>10</v>
      </c>
      <c r="C7" t="s">
        <v>119</v>
      </c>
      <c r="D7" t="s">
        <v>12</v>
      </c>
      <c r="E7" t="s">
        <v>13</v>
      </c>
      <c r="F7" s="13">
        <f>RBCPriceGenerator!B10</f>
        <v>26444.249999999996</v>
      </c>
      <c r="G7" s="5" t="s">
        <v>14</v>
      </c>
    </row>
    <row r="8" spans="1:10" ht="15" hidden="1" thickBot="1">
      <c r="A8" t="s">
        <v>9</v>
      </c>
      <c r="B8" t="s">
        <v>10</v>
      </c>
      <c r="C8" t="s">
        <v>120</v>
      </c>
      <c r="D8" t="s">
        <v>121</v>
      </c>
      <c r="E8" t="s">
        <v>122</v>
      </c>
      <c r="F8" s="13">
        <f>RBCPriceGenerator!B11</f>
        <v>3859.3999999999996</v>
      </c>
      <c r="G8" s="5" t="s">
        <v>14</v>
      </c>
    </row>
    <row r="9" spans="1:10" ht="15" hidden="1" thickBot="1">
      <c r="A9" t="s">
        <v>9</v>
      </c>
      <c r="B9" t="s">
        <v>10</v>
      </c>
      <c r="C9" t="s">
        <v>123</v>
      </c>
      <c r="D9" t="s">
        <v>124</v>
      </c>
      <c r="E9" t="s">
        <v>125</v>
      </c>
      <c r="F9" s="13">
        <f>RBCPriceGenerator!B12</f>
        <v>2999.2</v>
      </c>
      <c r="G9" s="5" t="s">
        <v>14</v>
      </c>
    </row>
    <row r="10" spans="1:10" ht="15" hidden="1" thickBot="1">
      <c r="A10" s="3" t="s">
        <v>9</v>
      </c>
      <c r="B10" s="3" t="s">
        <v>10</v>
      </c>
      <c r="C10" s="3" t="s">
        <v>17</v>
      </c>
      <c r="D10" s="3" t="s">
        <v>12</v>
      </c>
      <c r="E10" s="3" t="s">
        <v>24</v>
      </c>
      <c r="F10" s="4">
        <f>RBCPriceGenerator!B37</f>
        <v>19836.349999999999</v>
      </c>
      <c r="G10" s="3" t="s">
        <v>14</v>
      </c>
    </row>
    <row r="11" spans="1:10" ht="15" hidden="1" thickBot="1">
      <c r="A11" s="3" t="s">
        <v>9</v>
      </c>
      <c r="B11" s="3" t="s">
        <v>10</v>
      </c>
      <c r="C11" s="3" t="s">
        <v>126</v>
      </c>
      <c r="D11" s="3" t="s">
        <v>12</v>
      </c>
      <c r="E11" s="3" t="s">
        <v>127</v>
      </c>
      <c r="F11" s="4">
        <f>RBCPriceGenerator!B38</f>
        <v>30151.85</v>
      </c>
      <c r="G11" s="3" t="s">
        <v>31</v>
      </c>
    </row>
    <row r="12" spans="1:10" ht="15" hidden="1" thickBot="1">
      <c r="A12" s="3" t="s">
        <v>9</v>
      </c>
      <c r="B12" s="3" t="s">
        <v>10</v>
      </c>
      <c r="C12" s="3" t="s">
        <v>128</v>
      </c>
      <c r="D12" s="3" t="s">
        <v>121</v>
      </c>
      <c r="E12" s="3" t="s">
        <v>122</v>
      </c>
      <c r="F12" s="4">
        <f>RBCPriceGenerator!B39</f>
        <v>3460.35</v>
      </c>
      <c r="G12" s="3" t="s">
        <v>14</v>
      </c>
    </row>
    <row r="13" spans="1:10" ht="15" hidden="1" thickBot="1">
      <c r="A13" s="3" t="s">
        <v>9</v>
      </c>
      <c r="B13" s="3" t="s">
        <v>10</v>
      </c>
      <c r="C13" s="3" t="s">
        <v>128</v>
      </c>
      <c r="D13" s="3" t="s">
        <v>121</v>
      </c>
      <c r="E13" s="3" t="s">
        <v>129</v>
      </c>
      <c r="F13" s="4">
        <f>RBCPriceGenerator!B40</f>
        <v>6346.8499999999995</v>
      </c>
      <c r="G13" s="3" t="s">
        <v>14</v>
      </c>
    </row>
    <row r="14" spans="1:10" ht="15" hidden="1" thickBot="1">
      <c r="A14" s="8" t="s">
        <v>9</v>
      </c>
      <c r="B14" s="8" t="s">
        <v>10</v>
      </c>
      <c r="C14" s="8" t="s">
        <v>58</v>
      </c>
      <c r="D14" s="8" t="s">
        <v>12</v>
      </c>
      <c r="E14" s="8" t="s">
        <v>59</v>
      </c>
      <c r="F14" s="9">
        <f>RBCPriceGenerator!B52</f>
        <v>8038.4999999999991</v>
      </c>
      <c r="G14" s="8" t="s">
        <v>31</v>
      </c>
    </row>
    <row r="15" spans="1:10" ht="15" hidden="1" thickBot="1">
      <c r="A15" s="8" t="s">
        <v>9</v>
      </c>
      <c r="B15" s="8" t="s">
        <v>10</v>
      </c>
      <c r="C15" s="8" t="s">
        <v>54</v>
      </c>
      <c r="D15" s="8" t="s">
        <v>12</v>
      </c>
      <c r="E15" s="8" t="s">
        <v>55</v>
      </c>
      <c r="F15" s="9">
        <f>RBCPriceGenerator!B53</f>
        <v>18975</v>
      </c>
      <c r="G15" s="8" t="s">
        <v>31</v>
      </c>
    </row>
    <row r="16" spans="1:10" ht="15" hidden="1" thickBot="1">
      <c r="A16" s="8" t="s">
        <v>9</v>
      </c>
      <c r="B16" s="8" t="s">
        <v>10</v>
      </c>
      <c r="C16" s="8" t="s">
        <v>54</v>
      </c>
      <c r="D16" s="8" t="s">
        <v>12</v>
      </c>
      <c r="E16" s="8" t="s">
        <v>130</v>
      </c>
      <c r="F16" s="9">
        <f>RBCPriceGenerator!B54</f>
        <v>26444.249999999996</v>
      </c>
      <c r="G16" s="8" t="s">
        <v>31</v>
      </c>
    </row>
    <row r="17" spans="1:9" ht="15" hidden="1" thickBot="1">
      <c r="A17" t="s">
        <v>62</v>
      </c>
      <c r="B17" t="s">
        <v>63</v>
      </c>
      <c r="C17" t="s">
        <v>64</v>
      </c>
      <c r="D17" t="s">
        <v>112</v>
      </c>
      <c r="E17" t="s">
        <v>113</v>
      </c>
      <c r="F17" s="13">
        <f>RBCPriceGenerator!B23</f>
        <v>5175</v>
      </c>
      <c r="G17" t="s">
        <v>14</v>
      </c>
    </row>
    <row r="18" spans="1:9" ht="15" hidden="1" thickBot="1">
      <c r="A18" t="s">
        <v>62</v>
      </c>
      <c r="B18" t="s">
        <v>63</v>
      </c>
      <c r="C18" t="s">
        <v>64</v>
      </c>
      <c r="D18" t="s">
        <v>65</v>
      </c>
      <c r="E18" t="s">
        <v>98</v>
      </c>
      <c r="F18" s="13">
        <f>RBCPriceGenerator!B24</f>
        <v>8049.9999999999991</v>
      </c>
      <c r="G18" t="s">
        <v>14</v>
      </c>
    </row>
    <row r="19" spans="1:9" ht="15" hidden="1" thickBot="1">
      <c r="A19" t="s">
        <v>131</v>
      </c>
      <c r="B19" t="s">
        <v>131</v>
      </c>
      <c r="C19" t="s">
        <v>132</v>
      </c>
      <c r="D19" t="s">
        <v>133</v>
      </c>
      <c r="E19" t="s">
        <v>134</v>
      </c>
      <c r="F19" s="13">
        <f>RBCPriceGenerator!B19</f>
        <v>169.04999999999998</v>
      </c>
      <c r="G19" s="5" t="s">
        <v>14</v>
      </c>
    </row>
    <row r="20" spans="1:9" ht="15" hidden="1" thickBot="1">
      <c r="A20" t="s">
        <v>131</v>
      </c>
      <c r="B20" t="s">
        <v>131</v>
      </c>
      <c r="C20" t="s">
        <v>132</v>
      </c>
      <c r="D20" t="s">
        <v>133</v>
      </c>
      <c r="E20" t="s">
        <v>135</v>
      </c>
      <c r="F20" s="13">
        <f>RBCPriceGenerator!B20</f>
        <v>254.14999999999998</v>
      </c>
      <c r="G20" s="5" t="s">
        <v>14</v>
      </c>
    </row>
    <row r="21" spans="1:9" ht="15" hidden="1" thickBot="1">
      <c r="A21" t="s">
        <v>136</v>
      </c>
      <c r="B21" t="s">
        <v>136</v>
      </c>
      <c r="C21" t="s">
        <v>137</v>
      </c>
      <c r="D21" t="s">
        <v>138</v>
      </c>
      <c r="E21" t="s">
        <v>139</v>
      </c>
      <c r="F21" s="13">
        <f>RBCPriceGenerator!B21</f>
        <v>362.25</v>
      </c>
      <c r="G21" s="5" t="s">
        <v>140</v>
      </c>
    </row>
    <row r="22" spans="1:9" ht="15" hidden="1" thickBot="1">
      <c r="A22" t="s">
        <v>136</v>
      </c>
      <c r="B22" t="s">
        <v>136</v>
      </c>
      <c r="C22" t="s">
        <v>137</v>
      </c>
      <c r="D22" t="s">
        <v>138</v>
      </c>
      <c r="E22" t="s">
        <v>141</v>
      </c>
      <c r="F22" s="13">
        <f>RBCPriceGenerator!B22</f>
        <v>675.05</v>
      </c>
      <c r="G22" s="5" t="s">
        <v>140</v>
      </c>
    </row>
    <row r="23" spans="1:9" ht="15" hidden="1" thickBot="1">
      <c r="A23" t="s">
        <v>62</v>
      </c>
      <c r="B23" t="s">
        <v>63</v>
      </c>
      <c r="C23" t="s">
        <v>64</v>
      </c>
      <c r="D23" t="s">
        <v>65</v>
      </c>
      <c r="E23" t="s">
        <v>82</v>
      </c>
      <c r="F23" s="13">
        <f>RBCPriceGenerator!B25</f>
        <v>13799.999999999998</v>
      </c>
      <c r="G23" t="s">
        <v>14</v>
      </c>
    </row>
    <row r="24" spans="1:9" ht="15" hidden="1" thickBot="1">
      <c r="A24" t="s">
        <v>62</v>
      </c>
      <c r="B24" t="s">
        <v>63</v>
      </c>
      <c r="C24" t="s">
        <v>64</v>
      </c>
      <c r="D24" t="s">
        <v>65</v>
      </c>
      <c r="E24" t="s">
        <v>66</v>
      </c>
      <c r="F24" s="13">
        <f>RBCPriceGenerator!B26</f>
        <v>14949.999999999998</v>
      </c>
      <c r="G24" t="s">
        <v>14</v>
      </c>
    </row>
    <row r="25" spans="1:9" ht="15" hidden="1" thickBot="1">
      <c r="A25" t="s">
        <v>62</v>
      </c>
      <c r="B25" t="s">
        <v>63</v>
      </c>
      <c r="C25" t="s">
        <v>64</v>
      </c>
      <c r="D25" t="s">
        <v>65</v>
      </c>
      <c r="E25" t="s">
        <v>111</v>
      </c>
      <c r="F25" s="13">
        <f>RBCPriceGenerator!B27</f>
        <v>24149.999999999996</v>
      </c>
      <c r="G25" t="s">
        <v>14</v>
      </c>
    </row>
    <row r="26" spans="1:9" ht="15" hidden="1" thickBot="1">
      <c r="A26" t="s">
        <v>62</v>
      </c>
      <c r="B26" t="s">
        <v>67</v>
      </c>
      <c r="C26" t="s">
        <v>68</v>
      </c>
      <c r="D26" t="s">
        <v>65</v>
      </c>
      <c r="E26" t="s">
        <v>106</v>
      </c>
      <c r="F26" s="13">
        <f>RBCPriceGenerator!B28</f>
        <v>17250</v>
      </c>
      <c r="G26" t="s">
        <v>14</v>
      </c>
    </row>
    <row r="27" spans="1:9" ht="15" hidden="1" thickBot="1">
      <c r="A27" t="s">
        <v>62</v>
      </c>
      <c r="B27" t="s">
        <v>67</v>
      </c>
      <c r="C27" t="s">
        <v>70</v>
      </c>
      <c r="D27" t="s">
        <v>71</v>
      </c>
      <c r="E27" t="s">
        <v>73</v>
      </c>
      <c r="F27" s="13">
        <f>RBCPriceGenerator!B29</f>
        <v>27706.949999999997</v>
      </c>
      <c r="G27" t="s">
        <v>14</v>
      </c>
    </row>
    <row r="28" spans="1:9" ht="15" hidden="1" thickBot="1">
      <c r="A28" t="s">
        <v>62</v>
      </c>
      <c r="B28" t="s">
        <v>67</v>
      </c>
      <c r="C28" t="s">
        <v>68</v>
      </c>
      <c r="D28" t="s">
        <v>65</v>
      </c>
      <c r="E28" t="s">
        <v>69</v>
      </c>
      <c r="F28" s="13">
        <f>RBCPriceGenerator!B30</f>
        <v>27599.999999999996</v>
      </c>
      <c r="G28" t="s">
        <v>14</v>
      </c>
    </row>
    <row r="29" spans="1:9" ht="15" hidden="1" thickBot="1">
      <c r="A29" t="s">
        <v>62</v>
      </c>
      <c r="B29" t="s">
        <v>67</v>
      </c>
      <c r="C29" t="s">
        <v>70</v>
      </c>
      <c r="D29" t="s">
        <v>71</v>
      </c>
      <c r="E29" t="s">
        <v>69</v>
      </c>
      <c r="F29" s="13">
        <f>RBCPriceGenerator!B31</f>
        <v>32996.949999999997</v>
      </c>
      <c r="G29" t="s">
        <v>14</v>
      </c>
    </row>
    <row r="30" spans="1:9" ht="15" hidden="1" thickBot="1">
      <c r="A30" t="s">
        <v>62</v>
      </c>
      <c r="B30" t="s">
        <v>67</v>
      </c>
      <c r="C30" t="s">
        <v>64</v>
      </c>
      <c r="D30" t="s">
        <v>65</v>
      </c>
      <c r="E30" t="s">
        <v>97</v>
      </c>
      <c r="F30" s="13">
        <f>RBCPriceGenerator!B32</f>
        <v>34500</v>
      </c>
      <c r="G30" t="s">
        <v>14</v>
      </c>
    </row>
    <row r="31" spans="1:9" ht="15" hidden="1" thickBot="1">
      <c r="A31" t="s">
        <v>62</v>
      </c>
      <c r="B31" t="s">
        <v>67</v>
      </c>
      <c r="C31" t="s">
        <v>64</v>
      </c>
      <c r="D31" t="s">
        <v>65</v>
      </c>
      <c r="E31" t="s">
        <v>72</v>
      </c>
      <c r="F31" s="13">
        <f>RBCPriceGenerator!B33</f>
        <v>41400</v>
      </c>
      <c r="G31" t="s">
        <v>14</v>
      </c>
    </row>
    <row r="32" spans="1:9" hidden="1">
      <c r="A32" t="s">
        <v>74</v>
      </c>
      <c r="B32" t="s">
        <v>75</v>
      </c>
      <c r="C32" t="s">
        <v>88</v>
      </c>
      <c r="D32" t="s">
        <v>83</v>
      </c>
      <c r="E32" t="s">
        <v>142</v>
      </c>
      <c r="F32" s="13">
        <f>RBCPriceGenerator!B2</f>
        <v>4357.3499999999995</v>
      </c>
      <c r="G32" s="5" t="s">
        <v>90</v>
      </c>
      <c r="I32" t="s">
        <v>143</v>
      </c>
    </row>
    <row r="33" spans="1:9" hidden="1">
      <c r="A33" t="s">
        <v>74</v>
      </c>
      <c r="B33" t="s">
        <v>75</v>
      </c>
      <c r="C33" t="s">
        <v>88</v>
      </c>
      <c r="D33" t="s">
        <v>77</v>
      </c>
      <c r="E33" t="s">
        <v>144</v>
      </c>
      <c r="F33" s="13">
        <f>RBCPriceGenerator!B3</f>
        <v>6899.9999999999991</v>
      </c>
      <c r="G33" s="5" t="s">
        <v>90</v>
      </c>
      <c r="I33" t="s">
        <v>145</v>
      </c>
    </row>
    <row r="34" spans="1:9" s="5" customFormat="1" hidden="1">
      <c r="A34" t="s">
        <v>74</v>
      </c>
      <c r="B34" t="s">
        <v>75</v>
      </c>
      <c r="C34" t="s">
        <v>88</v>
      </c>
      <c r="D34" t="s">
        <v>77</v>
      </c>
      <c r="E34" t="s">
        <v>89</v>
      </c>
      <c r="F34" s="13">
        <f>RBCPriceGenerator!B4</f>
        <v>12822.499999999998</v>
      </c>
      <c r="G34" s="5" t="s">
        <v>90</v>
      </c>
      <c r="I34" s="5" t="s">
        <v>146</v>
      </c>
    </row>
    <row r="35" spans="1:9" hidden="1">
      <c r="A35" s="3" t="s">
        <v>74</v>
      </c>
      <c r="B35" s="3" t="s">
        <v>75</v>
      </c>
      <c r="C35" s="3" t="s">
        <v>99</v>
      </c>
      <c r="D35" s="3" t="s">
        <v>77</v>
      </c>
      <c r="E35" s="3" t="s">
        <v>100</v>
      </c>
      <c r="F35" s="4">
        <f>RBCPriceGenerator!B34</f>
        <v>10471.9</v>
      </c>
      <c r="G35" s="3" t="s">
        <v>31</v>
      </c>
    </row>
    <row r="36" spans="1:9" hidden="1">
      <c r="A36" s="3" t="s">
        <v>74</v>
      </c>
      <c r="B36" s="3" t="s">
        <v>75</v>
      </c>
      <c r="C36" s="3" t="s">
        <v>99</v>
      </c>
      <c r="D36" s="3" t="s">
        <v>77</v>
      </c>
      <c r="E36" s="3" t="s">
        <v>147</v>
      </c>
      <c r="F36" s="4">
        <f>RBCPriceGenerator!B35</f>
        <v>15234.05</v>
      </c>
      <c r="G36" s="3" t="s">
        <v>31</v>
      </c>
      <c r="I36" t="s">
        <v>148</v>
      </c>
    </row>
    <row r="37" spans="1:9" hidden="1">
      <c r="A37" s="3" t="s">
        <v>74</v>
      </c>
      <c r="B37" s="3" t="s">
        <v>75</v>
      </c>
      <c r="C37" s="3" t="s">
        <v>99</v>
      </c>
      <c r="D37" s="3" t="s">
        <v>77</v>
      </c>
      <c r="E37" s="3" t="s">
        <v>149</v>
      </c>
      <c r="F37" s="4">
        <f>RBCPriceGenerator!B36</f>
        <v>41260.85</v>
      </c>
      <c r="G37" s="3" t="s">
        <v>31</v>
      </c>
    </row>
    <row r="38" spans="1:9" hidden="1">
      <c r="A38" s="6" t="s">
        <v>74</v>
      </c>
      <c r="B38" s="6" t="s">
        <v>75</v>
      </c>
      <c r="C38" s="6" t="s">
        <v>93</v>
      </c>
      <c r="D38" s="6" t="s">
        <v>83</v>
      </c>
      <c r="E38" s="6" t="s">
        <v>103</v>
      </c>
      <c r="F38" s="7">
        <f>RBCPriceGenerator!B41</f>
        <v>8625</v>
      </c>
      <c r="G38" s="6" t="s">
        <v>85</v>
      </c>
    </row>
    <row r="39" spans="1:9" hidden="1">
      <c r="A39" s="6" t="s">
        <v>74</v>
      </c>
      <c r="B39" s="6" t="s">
        <v>75</v>
      </c>
      <c r="C39" s="6" t="s">
        <v>93</v>
      </c>
      <c r="D39" s="6" t="s">
        <v>83</v>
      </c>
      <c r="E39" s="6" t="s">
        <v>94</v>
      </c>
      <c r="F39" s="7">
        <f>RBCPriceGenerator!B42</f>
        <v>16099.999999999998</v>
      </c>
      <c r="G39" s="6" t="s">
        <v>85</v>
      </c>
    </row>
    <row r="40" spans="1:9" hidden="1">
      <c r="A40" s="8" t="s">
        <v>74</v>
      </c>
      <c r="B40" s="8" t="s">
        <v>75</v>
      </c>
      <c r="C40" s="8" t="s">
        <v>76</v>
      </c>
      <c r="D40" s="8" t="s">
        <v>83</v>
      </c>
      <c r="E40" s="8" t="s">
        <v>150</v>
      </c>
      <c r="F40" s="9">
        <f>RBCPriceGenerator!B47</f>
        <v>4038.7999999999997</v>
      </c>
      <c r="G40" s="8" t="s">
        <v>85</v>
      </c>
    </row>
    <row r="41" spans="1:9" hidden="1">
      <c r="A41" s="8" t="s">
        <v>74</v>
      </c>
      <c r="B41" s="8" t="s">
        <v>75</v>
      </c>
      <c r="C41" s="8" t="s">
        <v>107</v>
      </c>
      <c r="D41" s="8" t="s">
        <v>77</v>
      </c>
      <c r="E41" s="8" t="s">
        <v>108</v>
      </c>
      <c r="F41" s="9">
        <f>RBCPriceGenerator!B48</f>
        <v>4401.0499999999993</v>
      </c>
      <c r="G41" s="8" t="s">
        <v>79</v>
      </c>
    </row>
    <row r="42" spans="1:9" hidden="1">
      <c r="A42" s="8" t="s">
        <v>74</v>
      </c>
      <c r="B42" s="8" t="s">
        <v>75</v>
      </c>
      <c r="C42" s="8" t="s">
        <v>76</v>
      </c>
      <c r="D42" s="8" t="s">
        <v>83</v>
      </c>
      <c r="E42" s="8" t="s">
        <v>151</v>
      </c>
      <c r="F42" s="9">
        <f>RBCPriceGenerator!B49</f>
        <v>7796.9999999999991</v>
      </c>
      <c r="G42" s="8" t="s">
        <v>31</v>
      </c>
    </row>
    <row r="43" spans="1:9" hidden="1">
      <c r="A43" s="8" t="s">
        <v>74</v>
      </c>
      <c r="B43" s="8" t="s">
        <v>75</v>
      </c>
      <c r="C43" s="8" t="s">
        <v>76</v>
      </c>
      <c r="D43" s="8" t="s">
        <v>83</v>
      </c>
      <c r="E43" s="8" t="s">
        <v>84</v>
      </c>
      <c r="F43" s="9">
        <f>RBCPriceGenerator!B50</f>
        <v>15746.949999999999</v>
      </c>
      <c r="G43" s="8" t="s">
        <v>85</v>
      </c>
    </row>
    <row r="44" spans="1:9" hidden="1">
      <c r="A44" s="8" t="s">
        <v>74</v>
      </c>
      <c r="B44" s="8" t="s">
        <v>75</v>
      </c>
      <c r="C44" s="8" t="s">
        <v>76</v>
      </c>
      <c r="D44" s="8" t="s">
        <v>77</v>
      </c>
      <c r="E44" s="8" t="s">
        <v>78</v>
      </c>
      <c r="F44" s="9">
        <f>RBCPriceGenerator!B51</f>
        <v>17480</v>
      </c>
      <c r="G44" s="8" t="s">
        <v>79</v>
      </c>
    </row>
    <row r="45" spans="1:9" s="5" customFormat="1" ht="15" hidden="1" thickBot="1">
      <c r="A45" t="s">
        <v>27</v>
      </c>
      <c r="B45" t="s">
        <v>27</v>
      </c>
      <c r="C45" t="s">
        <v>34</v>
      </c>
      <c r="D45" t="s">
        <v>29</v>
      </c>
      <c r="E45" t="s">
        <v>35</v>
      </c>
      <c r="F45" s="13">
        <f>RBCPriceGenerator!B13</f>
        <v>2587.5</v>
      </c>
      <c r="G45" t="s">
        <v>31</v>
      </c>
    </row>
    <row r="46" spans="1:9" s="5" customFormat="1" ht="15" hidden="1" thickBot="1">
      <c r="A46" t="s">
        <v>27</v>
      </c>
      <c r="B46" t="s">
        <v>27</v>
      </c>
      <c r="C46" t="s">
        <v>28</v>
      </c>
      <c r="D46" t="s">
        <v>29</v>
      </c>
      <c r="E46" t="s">
        <v>30</v>
      </c>
      <c r="F46" s="13">
        <f>RBCPriceGenerator!B14</f>
        <v>3433.8999999999996</v>
      </c>
      <c r="G46" t="s">
        <v>31</v>
      </c>
    </row>
    <row r="47" spans="1:9" ht="15" hidden="1" thickBot="1">
      <c r="A47" t="s">
        <v>27</v>
      </c>
      <c r="B47" t="s">
        <v>27</v>
      </c>
      <c r="C47" t="s">
        <v>38</v>
      </c>
      <c r="D47" t="s">
        <v>39</v>
      </c>
      <c r="E47" t="s">
        <v>51</v>
      </c>
      <c r="F47" s="13">
        <f>RBCPriceGenerator!B15</f>
        <v>3759.35</v>
      </c>
      <c r="G47" t="s">
        <v>31</v>
      </c>
    </row>
    <row r="48" spans="1:9" ht="15" hidden="1" thickBot="1">
      <c r="A48" t="s">
        <v>27</v>
      </c>
      <c r="B48" t="s">
        <v>27</v>
      </c>
      <c r="C48" t="s">
        <v>47</v>
      </c>
      <c r="D48" t="s">
        <v>39</v>
      </c>
      <c r="E48" t="s">
        <v>48</v>
      </c>
      <c r="F48" s="13">
        <f>RBCPriceGenerator!B16</f>
        <v>3653.5499999999997</v>
      </c>
      <c r="G48" t="s">
        <v>31</v>
      </c>
    </row>
    <row r="49" spans="1:7" ht="15" hidden="1" thickBot="1">
      <c r="A49" t="s">
        <v>27</v>
      </c>
      <c r="B49" t="s">
        <v>27</v>
      </c>
      <c r="C49" t="s">
        <v>43</v>
      </c>
      <c r="D49" t="s">
        <v>39</v>
      </c>
      <c r="E49" t="s">
        <v>44</v>
      </c>
      <c r="F49" s="13">
        <f>RBCPriceGenerator!B17</f>
        <v>3217.7</v>
      </c>
      <c r="G49" t="s">
        <v>31</v>
      </c>
    </row>
    <row r="50" spans="1:7" ht="15" hidden="1" thickBot="1">
      <c r="A50" t="s">
        <v>27</v>
      </c>
      <c r="B50" t="s">
        <v>27</v>
      </c>
      <c r="C50" t="s">
        <v>38</v>
      </c>
      <c r="D50" t="s">
        <v>39</v>
      </c>
      <c r="E50" t="s">
        <v>40</v>
      </c>
      <c r="F50" s="13">
        <f>RBCPriceGenerator!B18</f>
        <v>3633.9999999999995</v>
      </c>
      <c r="G50" t="s">
        <v>31</v>
      </c>
    </row>
    <row r="51" spans="1:7" ht="15" hidden="1" thickBot="1">
      <c r="A51" s="10" t="s">
        <v>27</v>
      </c>
      <c r="B51" s="10" t="s">
        <v>152</v>
      </c>
      <c r="C51" s="10" t="s">
        <v>153</v>
      </c>
      <c r="D51" s="10" t="s">
        <v>154</v>
      </c>
      <c r="E51" s="10" t="s">
        <v>155</v>
      </c>
      <c r="F51" s="2">
        <f>RBCPriceGenerator!B67</f>
        <v>35255.549999999996</v>
      </c>
      <c r="G51" s="10" t="s">
        <v>156</v>
      </c>
    </row>
    <row r="52" spans="1:7" ht="15" hidden="1" thickBot="1">
      <c r="A52" s="10" t="s">
        <v>27</v>
      </c>
      <c r="B52" s="10" t="s">
        <v>152</v>
      </c>
      <c r="C52" s="10" t="s">
        <v>157</v>
      </c>
      <c r="D52" s="10" t="s">
        <v>158</v>
      </c>
      <c r="E52" s="10" t="s">
        <v>159</v>
      </c>
      <c r="F52" s="2">
        <f>RBCPriceGenerator!B68</f>
        <v>44369.299999999996</v>
      </c>
      <c r="G52" s="10" t="s">
        <v>160</v>
      </c>
    </row>
    <row r="53" spans="1:7" ht="15" hidden="1" thickBot="1">
      <c r="A53" s="10" t="s">
        <v>27</v>
      </c>
      <c r="B53" s="10" t="s">
        <v>152</v>
      </c>
      <c r="C53" s="10" t="s">
        <v>161</v>
      </c>
      <c r="D53" s="10" t="s">
        <v>158</v>
      </c>
      <c r="E53" s="10" t="s">
        <v>162</v>
      </c>
      <c r="F53" s="2">
        <f>RBCPriceGenerator!B69</f>
        <v>45158.2</v>
      </c>
      <c r="G53" s="10" t="s">
        <v>163</v>
      </c>
    </row>
    <row r="54" spans="1:7" ht="15" hidden="1" thickBot="1">
      <c r="C54" t="s">
        <v>164</v>
      </c>
      <c r="F54" s="11">
        <f>RBCPriceGenerator!B74</f>
        <v>0</v>
      </c>
    </row>
    <row r="55" spans="1:7" ht="15" hidden="1" thickBot="1">
      <c r="F55" s="11">
        <f>RBCPriceGenerator!B75</f>
        <v>0</v>
      </c>
    </row>
    <row r="56" spans="1:7" ht="15" hidden="1" thickBot="1">
      <c r="F56" s="11">
        <f>RBCPriceGenerator!B76</f>
        <v>0</v>
      </c>
    </row>
    <row r="57" spans="1:7" ht="15" hidden="1" thickBot="1">
      <c r="F57" s="11">
        <f>RBCPriceGenerator!B77</f>
        <v>0</v>
      </c>
    </row>
    <row r="60" spans="1:7">
      <c r="A60" t="str">
        <f>A$35</f>
        <v>Inverter</v>
      </c>
      <c r="B60" t="str">
        <f t="shared" ref="B60" si="0">B$35</f>
        <v>Inverters</v>
      </c>
      <c r="C60" t="str">
        <f>C$35</f>
        <v>RCT-AXPERT</v>
      </c>
      <c r="D60" t="str">
        <f t="shared" ref="D60:F60" si="1">D$35</f>
        <v>Stand-alone</v>
      </c>
      <c r="E60" t="str">
        <f t="shared" si="1"/>
        <v>Size-kVA:3, Voltage-V:48, Power-kW:3, MPPTVoltage-V:430</v>
      </c>
      <c r="F60" s="15">
        <f t="shared" si="1"/>
        <v>10471.9</v>
      </c>
      <c r="G60" t="s">
        <v>165</v>
      </c>
    </row>
    <row r="61" spans="1:7">
      <c r="A61" t="str">
        <f>A$4</f>
        <v>Battery</v>
      </c>
      <c r="B61" t="str">
        <f t="shared" ref="B61:E61" si="2">B$4</f>
        <v>Batteries</v>
      </c>
      <c r="C61" t="str">
        <f t="shared" si="2"/>
        <v>Dyness</v>
      </c>
      <c r="D61" t="str">
        <f t="shared" si="2"/>
        <v>Lithium-ion</v>
      </c>
      <c r="E61" t="str">
        <f t="shared" si="2"/>
        <v>Voltage-V:48, Energy-kWh:2.4</v>
      </c>
      <c r="F61" s="15">
        <f>F4</f>
        <v>13549.3</v>
      </c>
      <c r="G61" t="s">
        <v>166</v>
      </c>
    </row>
    <row r="62" spans="1:7">
      <c r="A62" t="str">
        <f>A$45</f>
        <v>Solar</v>
      </c>
      <c r="B62" t="str">
        <f t="shared" ref="B62:E62" si="3">B$45</f>
        <v>Solar</v>
      </c>
      <c r="C62" t="str">
        <f t="shared" si="3"/>
        <v>CNBM</v>
      </c>
      <c r="D62" t="str">
        <f t="shared" si="3"/>
        <v>Polycrystalline</v>
      </c>
      <c r="E62" t="str">
        <f t="shared" si="3"/>
        <v>Voltage-V:37.5, Power-W:330, MaxPowerCurrent-A:8.89, OpenCircuitVoltage-V:47</v>
      </c>
      <c r="F62" s="15">
        <f>F$45*6</f>
        <v>15525</v>
      </c>
      <c r="G62" t="s">
        <v>167</v>
      </c>
    </row>
    <row r="63" spans="1:7">
      <c r="F63" s="15">
        <f>SUBTOTAL(9,F60:F62)</f>
        <v>39546.199999999997</v>
      </c>
    </row>
    <row r="64" spans="1:7">
      <c r="F64" s="15"/>
    </row>
    <row r="65" spans="1:7">
      <c r="A65" t="str">
        <f t="shared" ref="A65:B65" si="4">A$35</f>
        <v>Inverter</v>
      </c>
      <c r="B65" t="str">
        <f t="shared" si="4"/>
        <v>Inverters</v>
      </c>
      <c r="C65" t="str">
        <f>C$35</f>
        <v>RCT-AXPERT</v>
      </c>
      <c r="D65" t="str">
        <f t="shared" ref="D65:F65" si="5">D$35</f>
        <v>Stand-alone</v>
      </c>
      <c r="E65" t="str">
        <f t="shared" si="5"/>
        <v>Size-kVA:3, Voltage-V:48, Power-kW:3, MPPTVoltage-V:430</v>
      </c>
      <c r="F65" s="15">
        <f t="shared" si="5"/>
        <v>10471.9</v>
      </c>
      <c r="G65" t="s">
        <v>165</v>
      </c>
    </row>
    <row r="66" spans="1:7">
      <c r="A66" t="str">
        <f>A$4</f>
        <v>Battery</v>
      </c>
      <c r="B66" t="str">
        <f t="shared" ref="B66:E66" si="6">B$4</f>
        <v>Batteries</v>
      </c>
      <c r="C66" t="str">
        <f t="shared" si="6"/>
        <v>Dyness</v>
      </c>
      <c r="D66" t="str">
        <f t="shared" si="6"/>
        <v>Lithium-ion</v>
      </c>
      <c r="E66" t="str">
        <f t="shared" si="6"/>
        <v>Voltage-V:48, Energy-kWh:2.4</v>
      </c>
      <c r="F66" s="15">
        <f>F$4*2</f>
        <v>27098.6</v>
      </c>
      <c r="G66" t="s">
        <v>168</v>
      </c>
    </row>
    <row r="67" spans="1:7">
      <c r="A67" t="str">
        <f>A$45</f>
        <v>Solar</v>
      </c>
      <c r="B67" t="str">
        <f t="shared" ref="B67:E67" si="7">B$45</f>
        <v>Solar</v>
      </c>
      <c r="C67" t="str">
        <f t="shared" si="7"/>
        <v>CNBM</v>
      </c>
      <c r="D67" t="str">
        <f t="shared" si="7"/>
        <v>Polycrystalline</v>
      </c>
      <c r="E67" t="str">
        <f t="shared" si="7"/>
        <v>Voltage-V:37.5, Power-W:330, MaxPowerCurrent-A:8.89, OpenCircuitVoltage-V:47</v>
      </c>
      <c r="F67" s="15">
        <f>F$45*8</f>
        <v>20700</v>
      </c>
      <c r="G67" t="s">
        <v>169</v>
      </c>
    </row>
    <row r="68" spans="1:7">
      <c r="F68" s="15">
        <f>SUBTOTAL(9,F65:F67)</f>
        <v>58270.5</v>
      </c>
    </row>
    <row r="69" spans="1:7">
      <c r="F69" s="15"/>
    </row>
    <row r="70" spans="1:7">
      <c r="A70" t="str">
        <f t="shared" ref="A70:D70" si="8">A$36</f>
        <v>Inverter</v>
      </c>
      <c r="B70" t="str">
        <f t="shared" si="8"/>
        <v>Inverters</v>
      </c>
      <c r="C70" t="str">
        <f t="shared" si="8"/>
        <v>RCT-AXPERT</v>
      </c>
      <c r="D70" t="str">
        <f t="shared" si="8"/>
        <v>Stand-alone</v>
      </c>
      <c r="E70" t="str">
        <f>E$36</f>
        <v>Size-kVA:5, Voltage-V:48, Power-kW:5, MPPTVoltage-V:115</v>
      </c>
      <c r="F70" s="15">
        <f>F$36</f>
        <v>15234.05</v>
      </c>
      <c r="G70" t="s">
        <v>170</v>
      </c>
    </row>
    <row r="71" spans="1:7">
      <c r="A71" t="str">
        <f t="shared" ref="A71:D71" si="9">A$7</f>
        <v>Battery</v>
      </c>
      <c r="B71" t="str">
        <f t="shared" si="9"/>
        <v>Batteries</v>
      </c>
      <c r="C71" t="str">
        <f t="shared" si="9"/>
        <v>Fusion</v>
      </c>
      <c r="D71" t="str">
        <f t="shared" si="9"/>
        <v>Lithium-ion</v>
      </c>
      <c r="E71" t="str">
        <f>E$7</f>
        <v>Voltage-V:48, Energy-kWh:4.8</v>
      </c>
      <c r="F71" s="15">
        <f>F$7</f>
        <v>26444.249999999996</v>
      </c>
      <c r="G71" t="s">
        <v>171</v>
      </c>
    </row>
    <row r="72" spans="1:7">
      <c r="A72" t="str">
        <f t="shared" ref="A72:D72" si="10">A$50</f>
        <v>Solar</v>
      </c>
      <c r="B72" t="str">
        <f t="shared" si="10"/>
        <v>Solar</v>
      </c>
      <c r="C72" t="str">
        <f t="shared" si="10"/>
        <v>Canadian Solar</v>
      </c>
      <c r="D72" t="str">
        <f t="shared" si="10"/>
        <v>Monocrystalline</v>
      </c>
      <c r="E72" t="str">
        <f>E$50</f>
        <v>Voltage-V:34.09, Power-W:375, MaxPowerCurrent-A:10.94, OpenCircuitVoltage-V:41</v>
      </c>
      <c r="F72" s="15">
        <f>F$50*8</f>
        <v>29071.999999999996</v>
      </c>
      <c r="G72" t="s">
        <v>172</v>
      </c>
    </row>
    <row r="73" spans="1:7">
      <c r="F73" s="15">
        <f>SUBTOTAL(9,F70:F72)</f>
        <v>70750.299999999988</v>
      </c>
    </row>
    <row r="74" spans="1:7">
      <c r="F74" s="15"/>
    </row>
    <row r="75" spans="1:7">
      <c r="F75" s="15"/>
    </row>
    <row r="76" spans="1:7">
      <c r="A76" t="str">
        <f t="shared" ref="A76:D76" si="11">A$36</f>
        <v>Inverter</v>
      </c>
      <c r="B76" t="str">
        <f t="shared" si="11"/>
        <v>Inverters</v>
      </c>
      <c r="C76" t="str">
        <f t="shared" si="11"/>
        <v>RCT-AXPERT</v>
      </c>
      <c r="D76" t="str">
        <f t="shared" si="11"/>
        <v>Stand-alone</v>
      </c>
      <c r="E76" t="str">
        <f>E$36</f>
        <v>Size-kVA:5, Voltage-V:48, Power-kW:5, MPPTVoltage-V:115</v>
      </c>
      <c r="F76" s="15">
        <f>F$36</f>
        <v>15234.05</v>
      </c>
      <c r="G76" t="s">
        <v>170</v>
      </c>
    </row>
    <row r="77" spans="1:7">
      <c r="A77" t="str">
        <f t="shared" ref="A77:D77" si="12">A$7</f>
        <v>Battery</v>
      </c>
      <c r="B77" t="str">
        <f t="shared" si="12"/>
        <v>Batteries</v>
      </c>
      <c r="C77" t="str">
        <f t="shared" si="12"/>
        <v>Fusion</v>
      </c>
      <c r="D77" t="str">
        <f t="shared" si="12"/>
        <v>Lithium-ion</v>
      </c>
      <c r="E77" t="str">
        <f>E$7</f>
        <v>Voltage-V:48, Energy-kWh:4.8</v>
      </c>
      <c r="F77" s="15">
        <f>F$7*2</f>
        <v>52888.499999999993</v>
      </c>
      <c r="G77" t="s">
        <v>173</v>
      </c>
    </row>
    <row r="78" spans="1:7">
      <c r="A78" t="str">
        <f t="shared" ref="A78:D78" si="13">A$50</f>
        <v>Solar</v>
      </c>
      <c r="B78" t="str">
        <f t="shared" si="13"/>
        <v>Solar</v>
      </c>
      <c r="C78" t="str">
        <f t="shared" si="13"/>
        <v>Canadian Solar</v>
      </c>
      <c r="D78" t="str">
        <f t="shared" si="13"/>
        <v>Monocrystalline</v>
      </c>
      <c r="E78" t="str">
        <f>E$50</f>
        <v>Voltage-V:34.09, Power-W:375, MaxPowerCurrent-A:10.94, OpenCircuitVoltage-V:41</v>
      </c>
      <c r="F78" s="15">
        <f>F$50*10</f>
        <v>36339.999999999993</v>
      </c>
      <c r="G78" t="s">
        <v>174</v>
      </c>
    </row>
    <row r="79" spans="1:7">
      <c r="F79" s="15">
        <f>SUBTOTAL(9,F76:F78)</f>
        <v>104462.54999999999</v>
      </c>
    </row>
    <row r="80" spans="1:7">
      <c r="F80" s="15"/>
    </row>
    <row r="81" spans="1:14">
      <c r="F81" s="15"/>
    </row>
    <row r="82" spans="1:14">
      <c r="A82" t="str">
        <f t="shared" ref="A82:D82" si="14">A$37</f>
        <v>Inverter</v>
      </c>
      <c r="B82" t="str">
        <f t="shared" si="14"/>
        <v>Inverters</v>
      </c>
      <c r="C82" t="str">
        <f t="shared" si="14"/>
        <v>RCT-AXPERT</v>
      </c>
      <c r="D82" t="str">
        <f t="shared" si="14"/>
        <v>Stand-alone</v>
      </c>
      <c r="E82" t="str">
        <f>E$37</f>
        <v>Size-kVA:8, Voltage-V:48, Power-kW:8, MPPTVoltage-V:66</v>
      </c>
      <c r="F82" s="15">
        <f>F$37</f>
        <v>41260.85</v>
      </c>
      <c r="G82" t="s">
        <v>175</v>
      </c>
    </row>
    <row r="83" spans="1:14">
      <c r="A83" t="str">
        <f t="shared" ref="A83:D83" si="15">A$7</f>
        <v>Battery</v>
      </c>
      <c r="B83" t="str">
        <f t="shared" si="15"/>
        <v>Batteries</v>
      </c>
      <c r="C83" t="str">
        <f t="shared" si="15"/>
        <v>Fusion</v>
      </c>
      <c r="D83" t="str">
        <f t="shared" si="15"/>
        <v>Lithium-ion</v>
      </c>
      <c r="E83" t="str">
        <f>E$7</f>
        <v>Voltage-V:48, Energy-kWh:4.8</v>
      </c>
      <c r="F83" s="15">
        <f>F$7*2</f>
        <v>52888.499999999993</v>
      </c>
      <c r="G83" t="s">
        <v>176</v>
      </c>
    </row>
    <row r="84" spans="1:14">
      <c r="A84" t="str">
        <f t="shared" ref="A84:D84" si="16">A$50</f>
        <v>Solar</v>
      </c>
      <c r="B84" t="str">
        <f t="shared" si="16"/>
        <v>Solar</v>
      </c>
      <c r="C84" t="str">
        <f t="shared" si="16"/>
        <v>Canadian Solar</v>
      </c>
      <c r="D84" t="str">
        <f t="shared" si="16"/>
        <v>Monocrystalline</v>
      </c>
      <c r="E84" t="str">
        <f>E$50</f>
        <v>Voltage-V:34.09, Power-W:375, MaxPowerCurrent-A:10.94, OpenCircuitVoltage-V:41</v>
      </c>
      <c r="F84" s="15">
        <f>F$50*10</f>
        <v>36339.999999999993</v>
      </c>
      <c r="G84" t="s">
        <v>174</v>
      </c>
    </row>
    <row r="85" spans="1:14">
      <c r="F85" s="15">
        <f>SUBTOTAL(9,F82:F84)</f>
        <v>130489.34999999998</v>
      </c>
      <c r="H85">
        <f t="shared" ref="H85:I85" si="17">H$35</f>
        <v>0</v>
      </c>
      <c r="I85">
        <f t="shared" si="17"/>
        <v>0</v>
      </c>
      <c r="J85">
        <f>J$35</f>
        <v>0</v>
      </c>
      <c r="K85">
        <f t="shared" ref="K85:M85" si="18">K$35</f>
        <v>0</v>
      </c>
      <c r="L85">
        <f t="shared" si="18"/>
        <v>0</v>
      </c>
      <c r="M85" s="15">
        <f t="shared" si="18"/>
        <v>0</v>
      </c>
      <c r="N85" t="s">
        <v>165</v>
      </c>
    </row>
    <row r="86" spans="1:14">
      <c r="F86" s="15"/>
      <c r="H86">
        <f>H$4</f>
        <v>0</v>
      </c>
      <c r="I86">
        <f t="shared" ref="I86:L86" si="19">I$4</f>
        <v>0</v>
      </c>
      <c r="J86">
        <f t="shared" si="19"/>
        <v>0</v>
      </c>
      <c r="K86">
        <f t="shared" si="19"/>
        <v>0</v>
      </c>
      <c r="L86">
        <f t="shared" si="19"/>
        <v>0</v>
      </c>
      <c r="M86" s="15">
        <f>M29</f>
        <v>0</v>
      </c>
      <c r="N86" t="s">
        <v>166</v>
      </c>
    </row>
    <row r="87" spans="1:14">
      <c r="F87" s="15"/>
      <c r="H87">
        <f>H$45</f>
        <v>0</v>
      </c>
      <c r="I87">
        <f t="shared" ref="I87:L87" si="20">I$45</f>
        <v>0</v>
      </c>
      <c r="J87">
        <f t="shared" si="20"/>
        <v>0</v>
      </c>
      <c r="K87">
        <f t="shared" si="20"/>
        <v>0</v>
      </c>
      <c r="L87">
        <f t="shared" si="20"/>
        <v>0</v>
      </c>
      <c r="M87" s="15">
        <f>M$45*6</f>
        <v>0</v>
      </c>
      <c r="N87" t="s">
        <v>167</v>
      </c>
    </row>
    <row r="88" spans="1:14">
      <c r="F88" s="15"/>
      <c r="M88" s="15">
        <f>SUBTOTAL(9,M85:M87)</f>
        <v>0</v>
      </c>
    </row>
    <row r="89" spans="1:14">
      <c r="A89" t="str">
        <f t="shared" ref="A89:D89" si="21">A$37</f>
        <v>Inverter</v>
      </c>
      <c r="B89" t="str">
        <f t="shared" si="21"/>
        <v>Inverters</v>
      </c>
      <c r="C89" t="str">
        <f t="shared" si="21"/>
        <v>RCT-AXPERT</v>
      </c>
      <c r="D89" t="str">
        <f t="shared" si="21"/>
        <v>Stand-alone</v>
      </c>
      <c r="E89" t="str">
        <f>E$37</f>
        <v>Size-kVA:8, Voltage-V:48, Power-kW:8, MPPTVoltage-V:66</v>
      </c>
      <c r="F89" s="15">
        <f>F$37</f>
        <v>41260.85</v>
      </c>
      <c r="G89" t="s">
        <v>175</v>
      </c>
      <c r="M89" s="15"/>
    </row>
    <row r="90" spans="1:14">
      <c r="A90" t="str">
        <f t="shared" ref="A90:D90" si="22">A$7</f>
        <v>Battery</v>
      </c>
      <c r="B90" t="str">
        <f t="shared" si="22"/>
        <v>Batteries</v>
      </c>
      <c r="C90" t="str">
        <f t="shared" si="22"/>
        <v>Fusion</v>
      </c>
      <c r="D90" t="str">
        <f t="shared" si="22"/>
        <v>Lithium-ion</v>
      </c>
      <c r="E90" t="str">
        <f>E$7</f>
        <v>Voltage-V:48, Energy-kWh:4.8</v>
      </c>
      <c r="F90" s="15">
        <f>F$7*2</f>
        <v>52888.499999999993</v>
      </c>
      <c r="G90" t="s">
        <v>176</v>
      </c>
      <c r="H90">
        <f t="shared" ref="H90:I90" si="23">H$35</f>
        <v>0</v>
      </c>
      <c r="I90">
        <f t="shared" si="23"/>
        <v>0</v>
      </c>
      <c r="J90">
        <f>J$35</f>
        <v>0</v>
      </c>
      <c r="K90">
        <f t="shared" ref="K90:M90" si="24">K$35</f>
        <v>0</v>
      </c>
      <c r="L90">
        <f t="shared" si="24"/>
        <v>0</v>
      </c>
      <c r="M90" s="15">
        <f t="shared" si="24"/>
        <v>0</v>
      </c>
      <c r="N90" t="s">
        <v>165</v>
      </c>
    </row>
    <row r="91" spans="1:14">
      <c r="A91" t="str">
        <f t="shared" ref="A91:D91" si="25">A$50</f>
        <v>Solar</v>
      </c>
      <c r="B91" t="str">
        <f t="shared" si="25"/>
        <v>Solar</v>
      </c>
      <c r="C91" t="str">
        <f t="shared" si="25"/>
        <v>Canadian Solar</v>
      </c>
      <c r="D91" t="str">
        <f t="shared" si="25"/>
        <v>Monocrystalline</v>
      </c>
      <c r="E91" t="str">
        <f>E$50</f>
        <v>Voltage-V:34.09, Power-W:375, MaxPowerCurrent-A:10.94, OpenCircuitVoltage-V:41</v>
      </c>
      <c r="F91" s="15">
        <f>F$50*12</f>
        <v>43607.999999999993</v>
      </c>
      <c r="G91" t="s">
        <v>177</v>
      </c>
      <c r="H91">
        <f>H$4</f>
        <v>0</v>
      </c>
      <c r="I91">
        <f t="shared" ref="I91:L91" si="26">I$4</f>
        <v>0</v>
      </c>
      <c r="J91">
        <f t="shared" si="26"/>
        <v>0</v>
      </c>
      <c r="K91">
        <f t="shared" si="26"/>
        <v>0</v>
      </c>
      <c r="L91">
        <f t="shared" si="26"/>
        <v>0</v>
      </c>
      <c r="M91" s="15">
        <f>M$4*2</f>
        <v>0</v>
      </c>
      <c r="N91" t="s">
        <v>168</v>
      </c>
    </row>
    <row r="92" spans="1:14">
      <c r="F92" s="15">
        <f>SUBTOTAL(9,F89:F91)</f>
        <v>137757.34999999998</v>
      </c>
      <c r="H92">
        <f>H$45</f>
        <v>0</v>
      </c>
      <c r="I92">
        <f t="shared" ref="I92:L92" si="27">I$45</f>
        <v>0</v>
      </c>
      <c r="J92">
        <f t="shared" si="27"/>
        <v>0</v>
      </c>
      <c r="K92">
        <f t="shared" si="27"/>
        <v>0</v>
      </c>
      <c r="L92">
        <f t="shared" si="27"/>
        <v>0</v>
      </c>
      <c r="M92" s="15">
        <f>M$45*8</f>
        <v>0</v>
      </c>
      <c r="N92" t="s">
        <v>169</v>
      </c>
    </row>
    <row r="93" spans="1:14">
      <c r="M93" s="15">
        <f>SUBTOTAL(9,M90:M92)</f>
        <v>0</v>
      </c>
    </row>
    <row r="94" spans="1:14">
      <c r="M94" s="15"/>
    </row>
    <row r="95" spans="1:14">
      <c r="H95">
        <f t="shared" ref="H95:K95" si="28">H$36</f>
        <v>0</v>
      </c>
      <c r="I95" t="str">
        <f t="shared" si="28"/>
        <v>img:https://i.ibb.co/N2Basdasdasd-/Rentech-5-6.png</v>
      </c>
      <c r="J95">
        <f t="shared" si="28"/>
        <v>0</v>
      </c>
      <c r="K95">
        <f t="shared" si="28"/>
        <v>0</v>
      </c>
      <c r="L95">
        <f>L$36</f>
        <v>0</v>
      </c>
      <c r="M95" s="15">
        <f>M$36</f>
        <v>0</v>
      </c>
      <c r="N95" t="s">
        <v>170</v>
      </c>
    </row>
    <row r="96" spans="1:14">
      <c r="A96" t="str">
        <f t="shared" ref="A96:D96" si="29">A$37</f>
        <v>Inverter</v>
      </c>
      <c r="B96" t="str">
        <f t="shared" si="29"/>
        <v>Inverters</v>
      </c>
      <c r="C96" t="str">
        <f t="shared" si="29"/>
        <v>RCT-AXPERT</v>
      </c>
      <c r="D96" t="str">
        <f t="shared" si="29"/>
        <v>Stand-alone</v>
      </c>
      <c r="E96" t="str">
        <f>E$37</f>
        <v>Size-kVA:8, Voltage-V:48, Power-kW:8, MPPTVoltage-V:66</v>
      </c>
      <c r="F96" s="15">
        <f>F$37</f>
        <v>41260.85</v>
      </c>
      <c r="G96" t="s">
        <v>175</v>
      </c>
      <c r="H96">
        <f t="shared" ref="H96:K96" si="30">H$7</f>
        <v>0</v>
      </c>
      <c r="I96">
        <f t="shared" si="30"/>
        <v>0</v>
      </c>
      <c r="J96">
        <f t="shared" si="30"/>
        <v>0</v>
      </c>
      <c r="K96">
        <f t="shared" si="30"/>
        <v>0</v>
      </c>
      <c r="L96">
        <f>L$7</f>
        <v>0</v>
      </c>
      <c r="M96" s="15">
        <f>M$7</f>
        <v>0</v>
      </c>
      <c r="N96" t="s">
        <v>171</v>
      </c>
    </row>
    <row r="97" spans="1:14">
      <c r="A97" t="str">
        <f t="shared" ref="A97:D97" si="31">A$7</f>
        <v>Battery</v>
      </c>
      <c r="B97" t="str">
        <f t="shared" si="31"/>
        <v>Batteries</v>
      </c>
      <c r="C97" t="str">
        <f t="shared" si="31"/>
        <v>Fusion</v>
      </c>
      <c r="D97" t="str">
        <f t="shared" si="31"/>
        <v>Lithium-ion</v>
      </c>
      <c r="E97" t="str">
        <f>E$7</f>
        <v>Voltage-V:48, Energy-kWh:4.8</v>
      </c>
      <c r="F97" s="15">
        <f>F$7*3</f>
        <v>79332.749999999985</v>
      </c>
      <c r="G97" t="s">
        <v>178</v>
      </c>
      <c r="H97">
        <f t="shared" ref="H97:K97" si="32">H$50</f>
        <v>0</v>
      </c>
      <c r="I97">
        <f t="shared" si="32"/>
        <v>0</v>
      </c>
      <c r="J97">
        <f t="shared" si="32"/>
        <v>0</v>
      </c>
      <c r="K97">
        <f t="shared" si="32"/>
        <v>0</v>
      </c>
      <c r="L97">
        <f>L$50</f>
        <v>0</v>
      </c>
      <c r="M97" s="15">
        <f>M$50*8</f>
        <v>0</v>
      </c>
      <c r="N97" t="s">
        <v>172</v>
      </c>
    </row>
    <row r="98" spans="1:14">
      <c r="A98" t="str">
        <f t="shared" ref="A98:D98" si="33">A$50</f>
        <v>Solar</v>
      </c>
      <c r="B98" t="str">
        <f t="shared" si="33"/>
        <v>Solar</v>
      </c>
      <c r="C98" t="str">
        <f t="shared" si="33"/>
        <v>Canadian Solar</v>
      </c>
      <c r="D98" t="str">
        <f t="shared" si="33"/>
        <v>Monocrystalline</v>
      </c>
      <c r="E98" t="str">
        <f>E$50</f>
        <v>Voltage-V:34.09, Power-W:375, MaxPowerCurrent-A:10.94, OpenCircuitVoltage-V:41</v>
      </c>
      <c r="F98" s="15">
        <f>F$50*14</f>
        <v>50875.999999999993</v>
      </c>
      <c r="G98" t="s">
        <v>179</v>
      </c>
      <c r="M98" s="15">
        <f>SUBTOTAL(9,M95:M97)</f>
        <v>0</v>
      </c>
    </row>
    <row r="99" spans="1:14">
      <c r="F99" s="15">
        <f>SUBTOTAL(9,F96:F98)</f>
        <v>171469.59999999998</v>
      </c>
      <c r="M99" s="15"/>
    </row>
    <row r="100" spans="1:14">
      <c r="M100" s="15"/>
    </row>
    <row r="101" spans="1:14">
      <c r="H101">
        <f t="shared" ref="H101:K101" si="34">H$36</f>
        <v>0</v>
      </c>
      <c r="I101" t="str">
        <f t="shared" si="34"/>
        <v>img:https://i.ibb.co/N2Basdasdasd-/Rentech-5-6.png</v>
      </c>
      <c r="J101">
        <f t="shared" si="34"/>
        <v>0</v>
      </c>
      <c r="K101">
        <f t="shared" si="34"/>
        <v>0</v>
      </c>
      <c r="L101">
        <f>L$36</f>
        <v>0</v>
      </c>
      <c r="M101" s="15">
        <f>M$36</f>
        <v>0</v>
      </c>
      <c r="N101" t="s">
        <v>170</v>
      </c>
    </row>
    <row r="102" spans="1:14">
      <c r="H102">
        <f t="shared" ref="H102:K102" si="35">H$7</f>
        <v>0</v>
      </c>
      <c r="I102">
        <f t="shared" si="35"/>
        <v>0</v>
      </c>
      <c r="J102">
        <f t="shared" si="35"/>
        <v>0</v>
      </c>
      <c r="K102">
        <f t="shared" si="35"/>
        <v>0</v>
      </c>
      <c r="L102">
        <f>L$7</f>
        <v>0</v>
      </c>
      <c r="M102" s="15">
        <f>M$7*2</f>
        <v>0</v>
      </c>
      <c r="N102" t="s">
        <v>173</v>
      </c>
    </row>
    <row r="103" spans="1:14">
      <c r="H103">
        <f t="shared" ref="H103:K103" si="36">H$50</f>
        <v>0</v>
      </c>
      <c r="I103">
        <f t="shared" si="36"/>
        <v>0</v>
      </c>
      <c r="J103">
        <f t="shared" si="36"/>
        <v>0</v>
      </c>
      <c r="K103">
        <f t="shared" si="36"/>
        <v>0</v>
      </c>
      <c r="L103">
        <f>L$50</f>
        <v>0</v>
      </c>
      <c r="M103" s="15">
        <f>M$50*10</f>
        <v>0</v>
      </c>
      <c r="N103" t="s">
        <v>174</v>
      </c>
    </row>
    <row r="104" spans="1:14">
      <c r="M104" s="15">
        <f>SUBTOTAL(9,M101:M103)</f>
        <v>0</v>
      </c>
    </row>
    <row r="105" spans="1:14">
      <c r="M105" s="15"/>
    </row>
    <row r="106" spans="1:14">
      <c r="M106" s="15"/>
    </row>
    <row r="107" spans="1:14">
      <c r="H107">
        <f t="shared" ref="H107:K107" si="37">H$37</f>
        <v>0</v>
      </c>
      <c r="I107">
        <f t="shared" si="37"/>
        <v>0</v>
      </c>
      <c r="J107">
        <f t="shared" si="37"/>
        <v>0</v>
      </c>
      <c r="K107">
        <f t="shared" si="37"/>
        <v>0</v>
      </c>
      <c r="L107">
        <f>L$37</f>
        <v>0</v>
      </c>
      <c r="M107" s="15">
        <f>M$37</f>
        <v>0</v>
      </c>
      <c r="N107" t="s">
        <v>175</v>
      </c>
    </row>
    <row r="108" spans="1:14">
      <c r="H108">
        <f t="shared" ref="H108:K108" si="38">H$7</f>
        <v>0</v>
      </c>
      <c r="I108">
        <f t="shared" si="38"/>
        <v>0</v>
      </c>
      <c r="J108">
        <f t="shared" si="38"/>
        <v>0</v>
      </c>
      <c r="K108">
        <f t="shared" si="38"/>
        <v>0</v>
      </c>
      <c r="L108">
        <f>L$7</f>
        <v>0</v>
      </c>
      <c r="M108" s="15">
        <f>M$7*2</f>
        <v>0</v>
      </c>
      <c r="N108" t="s">
        <v>176</v>
      </c>
    </row>
    <row r="109" spans="1:14">
      <c r="H109">
        <f t="shared" ref="H109:K109" si="39">H$50</f>
        <v>0</v>
      </c>
      <c r="I109">
        <f t="shared" si="39"/>
        <v>0</v>
      </c>
      <c r="J109">
        <f t="shared" si="39"/>
        <v>0</v>
      </c>
      <c r="K109">
        <f t="shared" si="39"/>
        <v>0</v>
      </c>
      <c r="L109">
        <f>L$50</f>
        <v>0</v>
      </c>
      <c r="M109" s="15">
        <f>M$50*10</f>
        <v>0</v>
      </c>
      <c r="N109" t="s">
        <v>174</v>
      </c>
    </row>
    <row r="110" spans="1:14">
      <c r="M110" s="15">
        <f>SUBTOTAL(9,M107:M109)</f>
        <v>0</v>
      </c>
    </row>
    <row r="111" spans="1:14">
      <c r="M111" s="15"/>
    </row>
    <row r="112" spans="1:14">
      <c r="M112" s="15"/>
    </row>
    <row r="113" spans="8:14">
      <c r="M113" s="15"/>
    </row>
    <row r="114" spans="8:14">
      <c r="H114">
        <f t="shared" ref="H114:K114" si="40">H$37</f>
        <v>0</v>
      </c>
      <c r="I114">
        <f t="shared" si="40"/>
        <v>0</v>
      </c>
      <c r="J114">
        <f t="shared" si="40"/>
        <v>0</v>
      </c>
      <c r="K114">
        <f t="shared" si="40"/>
        <v>0</v>
      </c>
      <c r="L114">
        <f>L$37</f>
        <v>0</v>
      </c>
      <c r="M114" s="15">
        <f>M$37</f>
        <v>0</v>
      </c>
      <c r="N114" t="s">
        <v>175</v>
      </c>
    </row>
    <row r="115" spans="8:14">
      <c r="H115">
        <f t="shared" ref="H115:K115" si="41">H$7</f>
        <v>0</v>
      </c>
      <c r="I115">
        <f t="shared" si="41"/>
        <v>0</v>
      </c>
      <c r="J115">
        <f t="shared" si="41"/>
        <v>0</v>
      </c>
      <c r="K115">
        <f t="shared" si="41"/>
        <v>0</v>
      </c>
      <c r="L115">
        <f>L$7</f>
        <v>0</v>
      </c>
      <c r="M115" s="15">
        <f>M$7*2</f>
        <v>0</v>
      </c>
      <c r="N115" t="s">
        <v>176</v>
      </c>
    </row>
    <row r="116" spans="8:14">
      <c r="H116">
        <f t="shared" ref="H116:K116" si="42">H$50</f>
        <v>0</v>
      </c>
      <c r="I116">
        <f t="shared" si="42"/>
        <v>0</v>
      </c>
      <c r="J116">
        <f t="shared" si="42"/>
        <v>0</v>
      </c>
      <c r="K116">
        <f t="shared" si="42"/>
        <v>0</v>
      </c>
      <c r="L116">
        <f>L$50</f>
        <v>0</v>
      </c>
      <c r="M116" s="15">
        <f>M$50*12</f>
        <v>0</v>
      </c>
      <c r="N116" t="s">
        <v>177</v>
      </c>
    </row>
    <row r="117" spans="8:14">
      <c r="M117" s="15">
        <f>SUBTOTAL(9,M114:M116)</f>
        <v>0</v>
      </c>
    </row>
    <row r="121" spans="8:14">
      <c r="H121">
        <f t="shared" ref="H121:K121" si="43">H$37</f>
        <v>0</v>
      </c>
      <c r="I121">
        <f t="shared" si="43"/>
        <v>0</v>
      </c>
      <c r="J121">
        <f t="shared" si="43"/>
        <v>0</v>
      </c>
      <c r="K121">
        <f t="shared" si="43"/>
        <v>0</v>
      </c>
      <c r="L121">
        <f>L$37</f>
        <v>0</v>
      </c>
      <c r="M121" s="15">
        <f>M$37</f>
        <v>0</v>
      </c>
      <c r="N121" t="s">
        <v>175</v>
      </c>
    </row>
    <row r="122" spans="8:14">
      <c r="H122">
        <f t="shared" ref="H122:K122" si="44">H$7</f>
        <v>0</v>
      </c>
      <c r="I122">
        <f t="shared" si="44"/>
        <v>0</v>
      </c>
      <c r="J122">
        <f t="shared" si="44"/>
        <v>0</v>
      </c>
      <c r="K122">
        <f t="shared" si="44"/>
        <v>0</v>
      </c>
      <c r="L122">
        <f>L$7</f>
        <v>0</v>
      </c>
      <c r="M122" s="15">
        <f>M$7*3</f>
        <v>0</v>
      </c>
      <c r="N122" t="s">
        <v>178</v>
      </c>
    </row>
    <row r="123" spans="8:14">
      <c r="H123">
        <f t="shared" ref="H123:K123" si="45">H$50</f>
        <v>0</v>
      </c>
      <c r="I123">
        <f t="shared" si="45"/>
        <v>0</v>
      </c>
      <c r="J123">
        <f t="shared" si="45"/>
        <v>0</v>
      </c>
      <c r="K123">
        <f t="shared" si="45"/>
        <v>0</v>
      </c>
      <c r="L123">
        <f>L$50</f>
        <v>0</v>
      </c>
      <c r="M123" s="15">
        <f>M$50*14</f>
        <v>0</v>
      </c>
      <c r="N123" t="s">
        <v>179</v>
      </c>
    </row>
    <row r="124" spans="8:14">
      <c r="M124" s="15">
        <f>SUBTOTAL(9,M121:M123)</f>
        <v>0</v>
      </c>
    </row>
  </sheetData>
  <autoFilter ref="A1:G57" xr:uid="{01BCF050-2F09-42D0-9049-6BF8B00124F4}">
    <filterColumn colId="1">
      <filters>
        <filter val="Inverters"/>
      </filters>
    </filterColumn>
    <filterColumn colId="3">
      <filters>
        <filter val="Hybrid, LeadAcid"/>
        <filter val="Hybrid, LeadAcid, SingleCore"/>
        <filter val="Stand-alone, Lead-Acid"/>
        <filter val="Stand-alone, Lithium-io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EAAD8-D566-4024-B845-4CB318AE8481}">
  <dimension ref="A1:B73"/>
  <sheetViews>
    <sheetView topLeftCell="A28" workbookViewId="0">
      <selection activeCell="A31" sqref="A31"/>
    </sheetView>
  </sheetViews>
  <sheetFormatPr defaultRowHeight="14.45"/>
  <cols>
    <col min="1" max="1" width="9.28515625" bestFit="1" customWidth="1"/>
    <col min="2" max="2" width="11.42578125" bestFit="1" customWidth="1"/>
  </cols>
  <sheetData>
    <row r="1" spans="1:2">
      <c r="A1" s="1" t="s">
        <v>5</v>
      </c>
    </row>
    <row r="2" spans="1:2">
      <c r="A2">
        <f>3789</f>
        <v>3789</v>
      </c>
      <c r="B2" s="12">
        <f>A2*1.15</f>
        <v>4357.3499999999995</v>
      </c>
    </row>
    <row r="3" spans="1:2">
      <c r="A3">
        <f>6000</f>
        <v>6000</v>
      </c>
      <c r="B3" s="12">
        <f t="shared" ref="B3:B66" si="0">A3*1.15</f>
        <v>6899.9999999999991</v>
      </c>
    </row>
    <row r="4" spans="1:2">
      <c r="A4">
        <f>11150</f>
        <v>11150</v>
      </c>
      <c r="B4" s="12">
        <f t="shared" si="0"/>
        <v>12822.499999999998</v>
      </c>
    </row>
    <row r="5" spans="1:2">
      <c r="A5">
        <f>9786</f>
        <v>9786</v>
      </c>
      <c r="B5" s="12">
        <f t="shared" si="0"/>
        <v>11253.9</v>
      </c>
    </row>
    <row r="6" spans="1:2">
      <c r="A6">
        <f>6995</f>
        <v>6995</v>
      </c>
      <c r="B6" s="12">
        <f t="shared" si="0"/>
        <v>8044.2499999999991</v>
      </c>
    </row>
    <row r="7" spans="1:2">
      <c r="A7">
        <f>11782</f>
        <v>11782</v>
      </c>
      <c r="B7" s="12">
        <f t="shared" si="0"/>
        <v>13549.3</v>
      </c>
    </row>
    <row r="8" spans="1:2">
      <c r="A8">
        <f>18170</f>
        <v>18170</v>
      </c>
      <c r="B8" s="12">
        <f t="shared" si="0"/>
        <v>20895.5</v>
      </c>
    </row>
    <row r="9" spans="1:2">
      <c r="A9">
        <f>18918</f>
        <v>18918</v>
      </c>
      <c r="B9" s="12">
        <f t="shared" si="0"/>
        <v>21755.699999999997</v>
      </c>
    </row>
    <row r="10" spans="1:2">
      <c r="A10">
        <f>22995</f>
        <v>22995</v>
      </c>
      <c r="B10" s="12">
        <f t="shared" si="0"/>
        <v>26444.249999999996</v>
      </c>
    </row>
    <row r="11" spans="1:2">
      <c r="A11">
        <f>3356</f>
        <v>3356</v>
      </c>
      <c r="B11" s="12">
        <f t="shared" si="0"/>
        <v>3859.3999999999996</v>
      </c>
    </row>
    <row r="12" spans="1:2">
      <c r="A12">
        <f>2608</f>
        <v>2608</v>
      </c>
      <c r="B12" s="12">
        <f t="shared" si="0"/>
        <v>2999.2</v>
      </c>
    </row>
    <row r="13" spans="1:2">
      <c r="A13">
        <f>2250</f>
        <v>2250</v>
      </c>
      <c r="B13" s="12">
        <f t="shared" si="0"/>
        <v>2587.5</v>
      </c>
    </row>
    <row r="14" spans="1:2">
      <c r="A14">
        <f>2986</f>
        <v>2986</v>
      </c>
      <c r="B14" s="12">
        <f t="shared" si="0"/>
        <v>3433.8999999999996</v>
      </c>
    </row>
    <row r="15" spans="1:2">
      <c r="A15">
        <f>3269</f>
        <v>3269</v>
      </c>
      <c r="B15" s="12">
        <f t="shared" si="0"/>
        <v>3759.35</v>
      </c>
    </row>
    <row r="16" spans="1:2">
      <c r="A16">
        <f>3177</f>
        <v>3177</v>
      </c>
      <c r="B16" s="12">
        <f t="shared" si="0"/>
        <v>3653.5499999999997</v>
      </c>
    </row>
    <row r="17" spans="1:2">
      <c r="A17">
        <f>2798</f>
        <v>2798</v>
      </c>
      <c r="B17" s="12">
        <f t="shared" si="0"/>
        <v>3217.7</v>
      </c>
    </row>
    <row r="18" spans="1:2">
      <c r="A18">
        <f>3160</f>
        <v>3160</v>
      </c>
      <c r="B18" s="12">
        <f t="shared" si="0"/>
        <v>3633.9999999999995</v>
      </c>
    </row>
    <row r="19" spans="1:2">
      <c r="A19">
        <f>147</f>
        <v>147</v>
      </c>
      <c r="B19" s="12">
        <f t="shared" si="0"/>
        <v>169.04999999999998</v>
      </c>
    </row>
    <row r="20" spans="1:2">
      <c r="A20">
        <f>221</f>
        <v>221</v>
      </c>
      <c r="B20" s="12">
        <f t="shared" si="0"/>
        <v>254.14999999999998</v>
      </c>
    </row>
    <row r="21" spans="1:2">
      <c r="A21">
        <f>315</f>
        <v>315</v>
      </c>
      <c r="B21" s="12">
        <f t="shared" si="0"/>
        <v>362.25</v>
      </c>
    </row>
    <row r="22" spans="1:2">
      <c r="A22">
        <f>587</f>
        <v>587</v>
      </c>
      <c r="B22" s="12">
        <f t="shared" si="0"/>
        <v>675.05</v>
      </c>
    </row>
    <row r="23" spans="1:2">
      <c r="A23">
        <f>4500</f>
        <v>4500</v>
      </c>
      <c r="B23" s="12">
        <f t="shared" si="0"/>
        <v>5175</v>
      </c>
    </row>
    <row r="24" spans="1:2">
      <c r="A24">
        <f>7000</f>
        <v>7000</v>
      </c>
      <c r="B24" s="12">
        <f t="shared" si="0"/>
        <v>8049.9999999999991</v>
      </c>
    </row>
    <row r="25" spans="1:2">
      <c r="A25">
        <f>12000</f>
        <v>12000</v>
      </c>
      <c r="B25" s="12">
        <f t="shared" si="0"/>
        <v>13799.999999999998</v>
      </c>
    </row>
    <row r="26" spans="1:2" ht="15" thickBot="1">
      <c r="A26">
        <f>13000</f>
        <v>13000</v>
      </c>
      <c r="B26" s="12">
        <f t="shared" si="0"/>
        <v>14949.999999999998</v>
      </c>
    </row>
    <row r="27" spans="1:2" ht="15" thickBot="1">
      <c r="A27" s="14">
        <f>21000</f>
        <v>21000</v>
      </c>
      <c r="B27" s="12">
        <f t="shared" si="0"/>
        <v>24149.999999999996</v>
      </c>
    </row>
    <row r="28" spans="1:2">
      <c r="A28">
        <v>15000</v>
      </c>
      <c r="B28" s="12">
        <f t="shared" si="0"/>
        <v>17250</v>
      </c>
    </row>
    <row r="29" spans="1:2">
      <c r="A29">
        <v>24093</v>
      </c>
      <c r="B29" s="12">
        <f t="shared" si="0"/>
        <v>27706.949999999997</v>
      </c>
    </row>
    <row r="30" spans="1:2">
      <c r="A30">
        <v>24000</v>
      </c>
      <c r="B30" s="12">
        <f t="shared" si="0"/>
        <v>27599.999999999996</v>
      </c>
    </row>
    <row r="31" spans="1:2" ht="15" thickBot="1">
      <c r="A31">
        <f>28693</f>
        <v>28693</v>
      </c>
      <c r="B31" s="12">
        <f t="shared" si="0"/>
        <v>32996.949999999997</v>
      </c>
    </row>
    <row r="32" spans="1:2" ht="15" thickBot="1">
      <c r="A32" s="14">
        <f>30000</f>
        <v>30000</v>
      </c>
      <c r="B32" s="12">
        <f t="shared" si="0"/>
        <v>34500</v>
      </c>
    </row>
    <row r="33" spans="1:2" ht="15" thickBot="1">
      <c r="A33" s="14">
        <f>36000</f>
        <v>36000</v>
      </c>
      <c r="B33" s="12">
        <f t="shared" si="0"/>
        <v>41400</v>
      </c>
    </row>
    <row r="34" spans="1:2">
      <c r="A34">
        <f>9106</f>
        <v>9106</v>
      </c>
      <c r="B34" s="12">
        <f t="shared" si="0"/>
        <v>10471.9</v>
      </c>
    </row>
    <row r="35" spans="1:2" ht="15" thickBot="1">
      <c r="A35">
        <f>13247</f>
        <v>13247</v>
      </c>
      <c r="B35" s="12">
        <f t="shared" si="0"/>
        <v>15234.05</v>
      </c>
    </row>
    <row r="36" spans="1:2" ht="15" thickBot="1">
      <c r="A36" s="14">
        <f>35879</f>
        <v>35879</v>
      </c>
      <c r="B36" s="12">
        <f t="shared" si="0"/>
        <v>41260.85</v>
      </c>
    </row>
    <row r="37" spans="1:2">
      <c r="A37">
        <f>17249</f>
        <v>17249</v>
      </c>
      <c r="B37" s="12">
        <f t="shared" si="0"/>
        <v>19836.349999999999</v>
      </c>
    </row>
    <row r="38" spans="1:2">
      <c r="A38">
        <f>26219</f>
        <v>26219</v>
      </c>
      <c r="B38" s="12">
        <f t="shared" si="0"/>
        <v>30151.85</v>
      </c>
    </row>
    <row r="39" spans="1:2">
      <c r="A39">
        <v>3009</v>
      </c>
      <c r="B39" s="12">
        <f t="shared" si="0"/>
        <v>3460.35</v>
      </c>
    </row>
    <row r="40" spans="1:2">
      <c r="A40">
        <f>5519</f>
        <v>5519</v>
      </c>
      <c r="B40" s="12">
        <f t="shared" si="0"/>
        <v>6346.8499999999995</v>
      </c>
    </row>
    <row r="41" spans="1:2">
      <c r="A41">
        <f>7500</f>
        <v>7500</v>
      </c>
      <c r="B41" s="12">
        <f t="shared" si="0"/>
        <v>8625</v>
      </c>
    </row>
    <row r="42" spans="1:2">
      <c r="A42">
        <f>14000</f>
        <v>14000</v>
      </c>
      <c r="B42" s="12">
        <f t="shared" si="0"/>
        <v>16099.999999999998</v>
      </c>
    </row>
    <row r="43" spans="1:2">
      <c r="A43">
        <f>16995</f>
        <v>16995</v>
      </c>
      <c r="B43" s="12">
        <f t="shared" si="0"/>
        <v>19544.25</v>
      </c>
    </row>
    <row r="44" spans="1:2">
      <c r="A44">
        <f>23000</f>
        <v>23000</v>
      </c>
      <c r="B44" s="12">
        <f t="shared" si="0"/>
        <v>26449.999999999996</v>
      </c>
    </row>
    <row r="45" spans="1:2">
      <c r="A45">
        <f>23950</f>
        <v>23950</v>
      </c>
      <c r="B45" s="12">
        <f t="shared" si="0"/>
        <v>27542.499999999996</v>
      </c>
    </row>
    <row r="46" spans="1:2">
      <c r="A46">
        <f>29980</f>
        <v>29980</v>
      </c>
      <c r="B46" s="12">
        <f t="shared" si="0"/>
        <v>34477</v>
      </c>
    </row>
    <row r="47" spans="1:2">
      <c r="A47">
        <f>3512</f>
        <v>3512</v>
      </c>
      <c r="B47" s="12">
        <f t="shared" si="0"/>
        <v>4038.7999999999997</v>
      </c>
    </row>
    <row r="48" spans="1:2">
      <c r="A48">
        <f>3827</f>
        <v>3827</v>
      </c>
      <c r="B48" s="12">
        <f t="shared" si="0"/>
        <v>4401.0499999999993</v>
      </c>
    </row>
    <row r="49" spans="1:2">
      <c r="A49">
        <f>6780</f>
        <v>6780</v>
      </c>
      <c r="B49" s="12">
        <f t="shared" si="0"/>
        <v>7796.9999999999991</v>
      </c>
    </row>
    <row r="50" spans="1:2">
      <c r="A50">
        <f>13693</f>
        <v>13693</v>
      </c>
      <c r="B50" s="12">
        <f t="shared" si="0"/>
        <v>15746.949999999999</v>
      </c>
    </row>
    <row r="51" spans="1:2">
      <c r="A51">
        <f>15200</f>
        <v>15200</v>
      </c>
      <c r="B51" s="12">
        <f t="shared" si="0"/>
        <v>17480</v>
      </c>
    </row>
    <row r="52" spans="1:2">
      <c r="A52">
        <f>6990</f>
        <v>6990</v>
      </c>
      <c r="B52" s="12">
        <f t="shared" si="0"/>
        <v>8038.4999999999991</v>
      </c>
    </row>
    <row r="53" spans="1:2">
      <c r="A53">
        <f>16500</f>
        <v>16500</v>
      </c>
      <c r="B53" s="12">
        <f t="shared" si="0"/>
        <v>18975</v>
      </c>
    </row>
    <row r="54" spans="1:2">
      <c r="A54">
        <f>22995</f>
        <v>22995</v>
      </c>
      <c r="B54" s="12">
        <f t="shared" si="0"/>
        <v>26444.249999999996</v>
      </c>
    </row>
    <row r="55" spans="1:2">
      <c r="A55">
        <f>13795</f>
        <v>13795</v>
      </c>
      <c r="B55" s="12">
        <f t="shared" si="0"/>
        <v>15864.249999999998</v>
      </c>
    </row>
    <row r="56" spans="1:2">
      <c r="A56">
        <f>35079</f>
        <v>35079</v>
      </c>
      <c r="B56" s="12">
        <f t="shared" si="0"/>
        <v>40340.85</v>
      </c>
    </row>
    <row r="57" spans="1:2">
      <c r="A57">
        <f>41979</f>
        <v>41979</v>
      </c>
      <c r="B57" s="12">
        <f t="shared" si="0"/>
        <v>48275.85</v>
      </c>
    </row>
    <row r="58" spans="1:2">
      <c r="A58">
        <f>58510</f>
        <v>58510</v>
      </c>
      <c r="B58" s="12">
        <f t="shared" si="0"/>
        <v>67286.5</v>
      </c>
    </row>
    <row r="59" spans="1:2">
      <c r="A59">
        <f>12708</f>
        <v>12708</v>
      </c>
      <c r="B59" s="12">
        <f t="shared" si="0"/>
        <v>14614.199999999999</v>
      </c>
    </row>
    <row r="60" spans="1:2">
      <c r="A60">
        <f>14487</f>
        <v>14487</v>
      </c>
      <c r="B60" s="12">
        <f t="shared" si="0"/>
        <v>16660.05</v>
      </c>
    </row>
    <row r="61" spans="1:2">
      <c r="A61">
        <f>24312</f>
        <v>24312</v>
      </c>
      <c r="B61" s="12">
        <f t="shared" si="0"/>
        <v>27958.799999999999</v>
      </c>
    </row>
    <row r="62" spans="1:2">
      <c r="A62">
        <f>5636</f>
        <v>5636</v>
      </c>
      <c r="B62" s="12">
        <f t="shared" si="0"/>
        <v>6481.4</v>
      </c>
    </row>
    <row r="63" spans="1:2">
      <c r="A63">
        <f>7134</f>
        <v>7134</v>
      </c>
      <c r="B63" s="12">
        <f t="shared" si="0"/>
        <v>8204.0999999999985</v>
      </c>
    </row>
    <row r="64" spans="1:2">
      <c r="A64">
        <f>12071</f>
        <v>12071</v>
      </c>
      <c r="B64" s="12">
        <f t="shared" si="0"/>
        <v>13881.65</v>
      </c>
    </row>
    <row r="65" spans="1:2">
      <c r="A65">
        <f>13841</f>
        <v>13841</v>
      </c>
      <c r="B65" s="12">
        <f t="shared" si="0"/>
        <v>15917.15</v>
      </c>
    </row>
    <row r="66" spans="1:2">
      <c r="A66">
        <f>23276</f>
        <v>23276</v>
      </c>
      <c r="B66" s="12">
        <f t="shared" si="0"/>
        <v>26767.399999999998</v>
      </c>
    </row>
    <row r="67" spans="1:2">
      <c r="A67">
        <f>30657</f>
        <v>30657</v>
      </c>
      <c r="B67" s="12">
        <f t="shared" ref="B67:B73" si="1">A67*1.15</f>
        <v>35255.549999999996</v>
      </c>
    </row>
    <row r="68" spans="1:2">
      <c r="A68">
        <f>38582</f>
        <v>38582</v>
      </c>
      <c r="B68" s="12">
        <f t="shared" si="1"/>
        <v>44369.299999999996</v>
      </c>
    </row>
    <row r="69" spans="1:2">
      <c r="A69">
        <f>39268</f>
        <v>39268</v>
      </c>
      <c r="B69" s="12">
        <f t="shared" si="1"/>
        <v>45158.2</v>
      </c>
    </row>
    <row r="70" spans="1:2">
      <c r="A70">
        <f>9395</f>
        <v>9395</v>
      </c>
      <c r="B70" s="12">
        <f t="shared" si="1"/>
        <v>10804.25</v>
      </c>
    </row>
    <row r="71" spans="1:2">
      <c r="A71">
        <f>9595</f>
        <v>9595</v>
      </c>
      <c r="B71" s="12">
        <f t="shared" si="1"/>
        <v>11034.25</v>
      </c>
    </row>
    <row r="72" spans="1:2">
      <c r="A72">
        <f>18395</f>
        <v>18395</v>
      </c>
      <c r="B72" s="12">
        <f t="shared" si="1"/>
        <v>21154.25</v>
      </c>
    </row>
    <row r="73" spans="1:2">
      <c r="A73">
        <f>21990</f>
        <v>21990</v>
      </c>
      <c r="B73" s="12">
        <f t="shared" si="1"/>
        <v>25288.499999999996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804D756D08E4CA3423200232226B2" ma:contentTypeVersion="18" ma:contentTypeDescription="Create a new document." ma:contentTypeScope="" ma:versionID="b3af61a159263512a7f1ce494a3d6b52">
  <xsd:schema xmlns:xsd="http://www.w3.org/2001/XMLSchema" xmlns:xs="http://www.w3.org/2001/XMLSchema" xmlns:p="http://schemas.microsoft.com/office/2006/metadata/properties" xmlns:ns2="38594f89-c314-49a7-8895-5d17cbb3f834" xmlns:ns3="c062e488-6187-499b-9180-094274b6916e" targetNamespace="http://schemas.microsoft.com/office/2006/metadata/properties" ma:root="true" ma:fieldsID="e65e6323747ef5a712f1b4f0f665253a" ns2:_="" ns3:_="">
    <xsd:import namespace="38594f89-c314-49a7-8895-5d17cbb3f834"/>
    <xsd:import namespace="c062e488-6187-499b-9180-094274b691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ServiceOCR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594f89-c314-49a7-8895-5d17cbb3f8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4d832810-0dcb-4a40-af6c-905fa87ffd5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62e488-6187-499b-9180-094274b6916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e9a75cdd-04e9-46a5-8769-fbdc5e8277c8}" ma:internalName="TaxCatchAll" ma:showField="CatchAllData" ma:web="c062e488-6187-499b-9180-094274b6916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B4D44B-BA28-4ECE-9D28-DB5214D251D2}"/>
</file>

<file path=customXml/itemProps2.xml><?xml version="1.0" encoding="utf-8"?>
<ds:datastoreItem xmlns:ds="http://schemas.openxmlformats.org/officeDocument/2006/customXml" ds:itemID="{B5FDEAF2-72F6-4DE3-BA2B-74A9F9809E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Ezekiel Mokaedi</dc:creator>
  <cp:keywords/>
  <dc:description/>
  <cp:lastModifiedBy>Sipho Mancam</cp:lastModifiedBy>
  <cp:revision/>
  <dcterms:created xsi:type="dcterms:W3CDTF">2022-06-05T08:33:40Z</dcterms:created>
  <dcterms:modified xsi:type="dcterms:W3CDTF">2022-07-29T07:37:16Z</dcterms:modified>
  <cp:category/>
  <cp:contentStatus/>
</cp:coreProperties>
</file>