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9045" firstSheet="2" activeTab="2"/>
  </bookViews>
  <sheets>
    <sheet name="Chart1" sheetId="14" state="hidden" r:id="rId1"/>
    <sheet name="Sheet1" sheetId="15" state="hidden" r:id="rId2"/>
    <sheet name="Detailed Estimate " sheetId="16" r:id="rId3"/>
    <sheet name="Rough" sheetId="18" state="hidden" r:id="rId4"/>
    <sheet name="Sheet2" sheetId="17" state="hidden" r:id="rId5"/>
  </sheets>
  <definedNames>
    <definedName name="_xlnm._FilterDatabase" localSheetId="2" hidden="1">'Detailed Estimate '!$A$5:$K$634</definedName>
    <definedName name="_xlnm.Print_Area" localSheetId="2">'Detailed Estimate '!$A$1:$K$636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6" i="16" l="1"/>
  <c r="G377" i="16"/>
  <c r="K375" i="16" s="1"/>
  <c r="A375" i="16"/>
  <c r="G539" i="16"/>
  <c r="G219" i="16"/>
  <c r="G389" i="16"/>
  <c r="G235" i="16"/>
  <c r="E147" i="16"/>
  <c r="G147" i="16" s="1"/>
  <c r="G146" i="16"/>
  <c r="G298" i="16"/>
  <c r="G297" i="16"/>
  <c r="G296" i="16"/>
  <c r="G294" i="16"/>
  <c r="G293" i="16"/>
  <c r="G292" i="16"/>
  <c r="G289" i="16"/>
  <c r="G123" i="16"/>
  <c r="A481" i="16"/>
  <c r="G531" i="16"/>
  <c r="G530" i="16"/>
  <c r="G529" i="16"/>
  <c r="G528" i="16"/>
  <c r="G527" i="16"/>
  <c r="G524" i="16"/>
  <c r="G523" i="16"/>
  <c r="G522" i="16"/>
  <c r="G521" i="16"/>
  <c r="G520" i="16"/>
  <c r="G519" i="16"/>
  <c r="G518" i="16"/>
  <c r="G517" i="16"/>
  <c r="G516" i="16"/>
  <c r="G515" i="16"/>
  <c r="G514" i="16"/>
  <c r="G511" i="16"/>
  <c r="G510" i="16"/>
  <c r="G509" i="16"/>
  <c r="G508" i="16"/>
  <c r="G507" i="16"/>
  <c r="G506" i="16"/>
  <c r="G503" i="16"/>
  <c r="G500" i="16"/>
  <c r="G499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0" i="16"/>
  <c r="A413" i="16"/>
  <c r="G412" i="16"/>
  <c r="G409" i="16"/>
  <c r="G406" i="16"/>
  <c r="G403" i="16"/>
  <c r="G400" i="16"/>
  <c r="G397" i="16"/>
  <c r="G392" i="16"/>
  <c r="G388" i="16"/>
  <c r="G387" i="16"/>
  <c r="G386" i="16"/>
  <c r="G385" i="16"/>
  <c r="G384" i="16"/>
  <c r="G383" i="16"/>
  <c r="G382" i="16"/>
  <c r="A381" i="16"/>
  <c r="A380" i="16"/>
  <c r="A379" i="16"/>
  <c r="G373" i="16"/>
  <c r="G372" i="16"/>
  <c r="G371" i="16"/>
  <c r="G370" i="16"/>
  <c r="K367" i="16" s="1"/>
  <c r="A369" i="16"/>
  <c r="A368" i="16"/>
  <c r="A367" i="16"/>
  <c r="G365" i="16"/>
  <c r="G364" i="16"/>
  <c r="G363" i="16"/>
  <c r="G362" i="16"/>
  <c r="G361" i="16"/>
  <c r="G360" i="16"/>
  <c r="G359" i="16"/>
  <c r="G358" i="16"/>
  <c r="G357" i="16"/>
  <c r="A356" i="16"/>
  <c r="A354" i="16"/>
  <c r="G558" i="16"/>
  <c r="E561" i="16"/>
  <c r="G561" i="16" s="1"/>
  <c r="G584" i="16"/>
  <c r="G606" i="16"/>
  <c r="G605" i="16"/>
  <c r="A121" i="16"/>
  <c r="E204" i="16"/>
  <c r="E205" i="16"/>
  <c r="G205" i="16" s="1"/>
  <c r="A203" i="16"/>
  <c r="A206" i="16"/>
  <c r="F205" i="16"/>
  <c r="F204" i="16"/>
  <c r="A282" i="16"/>
  <c r="G281" i="16"/>
  <c r="A280" i="16"/>
  <c r="G216" i="16"/>
  <c r="A215" i="16"/>
  <c r="G223" i="16"/>
  <c r="E210" i="16"/>
  <c r="G210" i="16" s="1"/>
  <c r="G213" i="16"/>
  <c r="A212" i="16"/>
  <c r="G17" i="16"/>
  <c r="G16" i="16"/>
  <c r="G15" i="16"/>
  <c r="G14" i="16"/>
  <c r="A13" i="16"/>
  <c r="A11" i="16"/>
  <c r="G634" i="16"/>
  <c r="G633" i="16"/>
  <c r="G632" i="16"/>
  <c r="G631" i="16"/>
  <c r="G630" i="16"/>
  <c r="G627" i="16"/>
  <c r="G626" i="16"/>
  <c r="G625" i="16"/>
  <c r="G624" i="16"/>
  <c r="G623" i="16"/>
  <c r="G622" i="16"/>
  <c r="G621" i="16"/>
  <c r="G620" i="16"/>
  <c r="G619" i="16"/>
  <c r="G618" i="16"/>
  <c r="G617" i="16"/>
  <c r="K614" i="16"/>
  <c r="A614" i="16"/>
  <c r="G612" i="16"/>
  <c r="G609" i="16"/>
  <c r="G604" i="16"/>
  <c r="G601" i="16"/>
  <c r="G600" i="16"/>
  <c r="G595" i="16"/>
  <c r="G592" i="16"/>
  <c r="G589" i="16"/>
  <c r="G581" i="16"/>
  <c r="G578" i="16"/>
  <c r="G575" i="16"/>
  <c r="G574" i="16"/>
  <c r="G571" i="16"/>
  <c r="G568" i="16"/>
  <c r="K563" i="16"/>
  <c r="A563" i="16"/>
  <c r="A564" i="16"/>
  <c r="G536" i="16"/>
  <c r="G535" i="16"/>
  <c r="G534" i="16"/>
  <c r="A540" i="16"/>
  <c r="A479" i="16"/>
  <c r="A478" i="16"/>
  <c r="A559" i="16"/>
  <c r="A550" i="16"/>
  <c r="A475" i="16"/>
  <c r="A470" i="16"/>
  <c r="A466" i="16"/>
  <c r="A456" i="16"/>
  <c r="A451" i="16"/>
  <c r="A450" i="16"/>
  <c r="A445" i="16"/>
  <c r="A444" i="16"/>
  <c r="A434" i="16"/>
  <c r="A433" i="16"/>
  <c r="A431" i="16"/>
  <c r="A353" i="16"/>
  <c r="A348" i="16"/>
  <c r="A343" i="16"/>
  <c r="A338" i="16"/>
  <c r="A321" i="16"/>
  <c r="A322" i="16"/>
  <c r="A325" i="16"/>
  <c r="A326" i="16"/>
  <c r="A328" i="16"/>
  <c r="A329" i="16"/>
  <c r="A332" i="16"/>
  <c r="A311" i="16"/>
  <c r="A312" i="16"/>
  <c r="A317" i="16"/>
  <c r="A318" i="16"/>
  <c r="A305" i="16"/>
  <c r="A304" i="16"/>
  <c r="A302" i="16"/>
  <c r="A301" i="16"/>
  <c r="A276" i="16"/>
  <c r="A270" i="16"/>
  <c r="A264" i="16"/>
  <c r="A260" i="16"/>
  <c r="A202" i="16"/>
  <c r="A189" i="16"/>
  <c r="A171" i="16"/>
  <c r="A163" i="16"/>
  <c r="A161" i="16"/>
  <c r="A160" i="16"/>
  <c r="A153" i="16"/>
  <c r="A133" i="16"/>
  <c r="A76" i="16"/>
  <c r="A75" i="16"/>
  <c r="A57" i="16"/>
  <c r="A38" i="16"/>
  <c r="A34" i="16"/>
  <c r="A33" i="16"/>
  <c r="A29" i="16"/>
  <c r="A28" i="16"/>
  <c r="F156" i="16"/>
  <c r="G156" i="16" s="1"/>
  <c r="F155" i="16"/>
  <c r="G155" i="16" s="1"/>
  <c r="A154" i="16"/>
  <c r="F162" i="16"/>
  <c r="G162" i="16" s="1"/>
  <c r="F159" i="16"/>
  <c r="G159" i="16"/>
  <c r="A158" i="16"/>
  <c r="G472" i="16"/>
  <c r="G462" i="16"/>
  <c r="G463" i="16"/>
  <c r="G459" i="16"/>
  <c r="G460" i="16"/>
  <c r="E458" i="16"/>
  <c r="G458" i="16"/>
  <c r="G474" i="16"/>
  <c r="E437" i="16"/>
  <c r="G437" i="16" s="1"/>
  <c r="G461" i="16"/>
  <c r="E449" i="16"/>
  <c r="G449" i="16" s="1"/>
  <c r="E467" i="16"/>
  <c r="G467" i="16" s="1"/>
  <c r="E469" i="16"/>
  <c r="G469" i="16"/>
  <c r="E468" i="16"/>
  <c r="G468" i="16" s="1"/>
  <c r="E455" i="16"/>
  <c r="G455" i="16" s="1"/>
  <c r="E454" i="16"/>
  <c r="E453" i="16"/>
  <c r="G453" i="16" s="1"/>
  <c r="E452" i="16"/>
  <c r="G452" i="16" s="1"/>
  <c r="E448" i="16"/>
  <c r="G448" i="16" s="1"/>
  <c r="E447" i="16"/>
  <c r="G447" i="16" s="1"/>
  <c r="E446" i="16"/>
  <c r="G446" i="16" s="1"/>
  <c r="E443" i="16"/>
  <c r="G443" i="16" s="1"/>
  <c r="E442" i="16"/>
  <c r="G442" i="16" s="1"/>
  <c r="E441" i="16"/>
  <c r="G441" i="16" s="1"/>
  <c r="E440" i="16"/>
  <c r="G440" i="16" s="1"/>
  <c r="E439" i="16"/>
  <c r="G439" i="16" s="1"/>
  <c r="E438" i="16"/>
  <c r="G438" i="16" s="1"/>
  <c r="E436" i="16"/>
  <c r="G436" i="16" s="1"/>
  <c r="E435" i="16"/>
  <c r="G435" i="16" s="1"/>
  <c r="E422" i="16"/>
  <c r="E421" i="16"/>
  <c r="E420" i="16"/>
  <c r="G420" i="16" s="1"/>
  <c r="E419" i="16"/>
  <c r="G419" i="16" s="1"/>
  <c r="G430" i="16"/>
  <c r="G428" i="16"/>
  <c r="G429" i="16"/>
  <c r="G427" i="16"/>
  <c r="G473" i="16"/>
  <c r="G454" i="16"/>
  <c r="E56" i="16"/>
  <c r="G56" i="16"/>
  <c r="E55" i="16"/>
  <c r="G55" i="16" s="1"/>
  <c r="E54" i="16"/>
  <c r="G54" i="16" s="1"/>
  <c r="E53" i="16"/>
  <c r="G53" i="16" s="1"/>
  <c r="E50" i="16"/>
  <c r="G50" i="16" s="1"/>
  <c r="E49" i="16"/>
  <c r="G49" i="16" s="1"/>
  <c r="A47" i="16"/>
  <c r="E46" i="16"/>
  <c r="G46" i="16"/>
  <c r="E45" i="16"/>
  <c r="G45" i="16" s="1"/>
  <c r="E44" i="16"/>
  <c r="G44" i="16"/>
  <c r="E41" i="16"/>
  <c r="G41" i="16" s="1"/>
  <c r="E40" i="16"/>
  <c r="G40" i="16"/>
  <c r="E37" i="16"/>
  <c r="G37" i="16" s="1"/>
  <c r="E36" i="16"/>
  <c r="G36" i="16" s="1"/>
  <c r="E35" i="16"/>
  <c r="G35" i="16" s="1"/>
  <c r="E32" i="16"/>
  <c r="G32" i="16"/>
  <c r="E31" i="16"/>
  <c r="G31" i="16" s="1"/>
  <c r="E30" i="16"/>
  <c r="G30" i="16" s="1"/>
  <c r="E27" i="16"/>
  <c r="G27" i="16" s="1"/>
  <c r="A26" i="16"/>
  <c r="A25" i="16"/>
  <c r="A71" i="16"/>
  <c r="A72" i="16"/>
  <c r="A73" i="16"/>
  <c r="F120" i="16"/>
  <c r="E120" i="16"/>
  <c r="G120" i="16" s="1"/>
  <c r="F119" i="16"/>
  <c r="E119" i="16"/>
  <c r="F118" i="16"/>
  <c r="E118" i="16"/>
  <c r="F117" i="16"/>
  <c r="E117" i="16"/>
  <c r="G117" i="16" s="1"/>
  <c r="F116" i="16"/>
  <c r="E116" i="16"/>
  <c r="G116" i="16" s="1"/>
  <c r="F115" i="16"/>
  <c r="E115" i="16"/>
  <c r="F114" i="16"/>
  <c r="G114" i="16" s="1"/>
  <c r="E114" i="16"/>
  <c r="F113" i="16"/>
  <c r="E113" i="16"/>
  <c r="G113" i="16" s="1"/>
  <c r="F112" i="16"/>
  <c r="E112" i="16"/>
  <c r="G112" i="16" s="1"/>
  <c r="F111" i="16"/>
  <c r="E111" i="16"/>
  <c r="F110" i="16"/>
  <c r="E110" i="16"/>
  <c r="F109" i="16"/>
  <c r="E109" i="16"/>
  <c r="F108" i="16"/>
  <c r="E108" i="16"/>
  <c r="G108" i="16" s="1"/>
  <c r="F107" i="16"/>
  <c r="E107" i="16"/>
  <c r="F106" i="16"/>
  <c r="E106" i="16"/>
  <c r="F105" i="16"/>
  <c r="E105" i="16"/>
  <c r="F104" i="16"/>
  <c r="E104" i="16"/>
  <c r="G104" i="16" s="1"/>
  <c r="F103" i="16"/>
  <c r="E103" i="16"/>
  <c r="F102" i="16"/>
  <c r="E102" i="16"/>
  <c r="F101" i="16"/>
  <c r="E101" i="16"/>
  <c r="F100" i="16"/>
  <c r="E100" i="16"/>
  <c r="G100" i="16" s="1"/>
  <c r="F99" i="16"/>
  <c r="E99" i="16"/>
  <c r="F98" i="16"/>
  <c r="G98" i="16" s="1"/>
  <c r="E98" i="16"/>
  <c r="F97" i="16"/>
  <c r="G97" i="16" s="1"/>
  <c r="F96" i="16"/>
  <c r="E96" i="16"/>
  <c r="G96" i="16" s="1"/>
  <c r="F95" i="16"/>
  <c r="E95" i="16"/>
  <c r="F94" i="16"/>
  <c r="E94" i="16"/>
  <c r="F93" i="16"/>
  <c r="G93" i="16" s="1"/>
  <c r="F92" i="16"/>
  <c r="E92" i="16"/>
  <c r="F91" i="16"/>
  <c r="E91" i="16"/>
  <c r="G91" i="16" s="1"/>
  <c r="F90" i="16"/>
  <c r="E90" i="16"/>
  <c r="F89" i="16"/>
  <c r="E89" i="16"/>
  <c r="F88" i="16"/>
  <c r="E88" i="16"/>
  <c r="F87" i="16"/>
  <c r="E87" i="16"/>
  <c r="G87" i="16" s="1"/>
  <c r="F86" i="16"/>
  <c r="E86" i="16"/>
  <c r="F85" i="16"/>
  <c r="G85" i="16" s="1"/>
  <c r="E85" i="16"/>
  <c r="F84" i="16"/>
  <c r="E84" i="16"/>
  <c r="G84" i="16" s="1"/>
  <c r="F83" i="16"/>
  <c r="E83" i="16"/>
  <c r="G83" i="16" s="1"/>
  <c r="F82" i="16"/>
  <c r="E82" i="16"/>
  <c r="F81" i="16"/>
  <c r="E81" i="16"/>
  <c r="F80" i="16"/>
  <c r="E80" i="16"/>
  <c r="G80" i="16" s="1"/>
  <c r="F79" i="16"/>
  <c r="E79" i="16"/>
  <c r="G79" i="16" s="1"/>
  <c r="F78" i="16"/>
  <c r="E78" i="16"/>
  <c r="G78" i="16" s="1"/>
  <c r="F77" i="16"/>
  <c r="G77" i="16" s="1"/>
  <c r="E77" i="16"/>
  <c r="F74" i="16"/>
  <c r="G74" i="16" s="1"/>
  <c r="F201" i="16"/>
  <c r="E201" i="16"/>
  <c r="G201" i="16" s="1"/>
  <c r="F200" i="16"/>
  <c r="G200" i="16" s="1"/>
  <c r="E200" i="16"/>
  <c r="A199" i="16"/>
  <c r="F197" i="16"/>
  <c r="E197" i="16"/>
  <c r="A196" i="16"/>
  <c r="F194" i="16"/>
  <c r="E194" i="16"/>
  <c r="G194" i="16" s="1"/>
  <c r="A193" i="16"/>
  <c r="F191" i="16"/>
  <c r="E191" i="16"/>
  <c r="A190" i="16"/>
  <c r="F188" i="16"/>
  <c r="E188" i="16"/>
  <c r="F187" i="16"/>
  <c r="E187" i="16"/>
  <c r="G187" i="16" s="1"/>
  <c r="F186" i="16"/>
  <c r="G186" i="16" s="1"/>
  <c r="E186" i="16"/>
  <c r="F185" i="16"/>
  <c r="E185" i="16"/>
  <c r="F184" i="16"/>
  <c r="E184" i="16"/>
  <c r="F183" i="16"/>
  <c r="E183" i="16"/>
  <c r="G183" i="16" s="1"/>
  <c r="F182" i="16"/>
  <c r="G182" i="16" s="1"/>
  <c r="E182" i="16"/>
  <c r="F181" i="16"/>
  <c r="E181" i="16"/>
  <c r="F180" i="16"/>
  <c r="E180" i="16"/>
  <c r="G180" i="16" s="1"/>
  <c r="F179" i="16"/>
  <c r="E179" i="16"/>
  <c r="G179" i="16" s="1"/>
  <c r="F178" i="16"/>
  <c r="G178" i="16" s="1"/>
  <c r="E178" i="16"/>
  <c r="F177" i="16"/>
  <c r="E177" i="16"/>
  <c r="F176" i="16"/>
  <c r="E176" i="16"/>
  <c r="G176" i="16" s="1"/>
  <c r="F175" i="16"/>
  <c r="E175" i="16"/>
  <c r="G175" i="16" s="1"/>
  <c r="F174" i="16"/>
  <c r="G174" i="16" s="1"/>
  <c r="E174" i="16"/>
  <c r="F173" i="16"/>
  <c r="E173" i="16"/>
  <c r="G173" i="16" s="1"/>
  <c r="A172" i="16"/>
  <c r="F170" i="16"/>
  <c r="E170" i="16"/>
  <c r="G170" i="16" s="1"/>
  <c r="F169" i="16"/>
  <c r="E169" i="16"/>
  <c r="G169" i="16" s="1"/>
  <c r="F168" i="16"/>
  <c r="E168" i="16"/>
  <c r="G168" i="16" s="1"/>
  <c r="F167" i="16"/>
  <c r="E167" i="16"/>
  <c r="F166" i="16"/>
  <c r="E166" i="16"/>
  <c r="G166" i="16" s="1"/>
  <c r="F165" i="16"/>
  <c r="E165" i="16"/>
  <c r="G165" i="16" s="1"/>
  <c r="A164" i="16"/>
  <c r="F152" i="16"/>
  <c r="E152" i="16"/>
  <c r="G152" i="16" s="1"/>
  <c r="F151" i="16"/>
  <c r="E151" i="16"/>
  <c r="A150" i="16"/>
  <c r="A231" i="16"/>
  <c r="F230" i="16"/>
  <c r="G230" i="16" s="1"/>
  <c r="E230" i="16"/>
  <c r="A229" i="16"/>
  <c r="F227" i="16"/>
  <c r="E227" i="16"/>
  <c r="F226" i="16"/>
  <c r="E226" i="16"/>
  <c r="G226" i="16" s="1"/>
  <c r="A225" i="16"/>
  <c r="A279" i="16"/>
  <c r="E278" i="16"/>
  <c r="G278" i="16" s="1"/>
  <c r="A277" i="16"/>
  <c r="E275" i="16"/>
  <c r="G275" i="16" s="1"/>
  <c r="F274" i="16"/>
  <c r="E274" i="16"/>
  <c r="G274" i="16" s="1"/>
  <c r="F273" i="16"/>
  <c r="E273" i="16"/>
  <c r="G273" i="16" s="1"/>
  <c r="F272" i="16"/>
  <c r="E272" i="16"/>
  <c r="A271" i="16"/>
  <c r="E269" i="16"/>
  <c r="G269" i="16" s="1"/>
  <c r="F268" i="16"/>
  <c r="E268" i="16"/>
  <c r="G268" i="16" s="1"/>
  <c r="F267" i="16"/>
  <c r="E267" i="16"/>
  <c r="F266" i="16"/>
  <c r="E266" i="16"/>
  <c r="G266" i="16" s="1"/>
  <c r="A265" i="16"/>
  <c r="E263" i="16"/>
  <c r="G263" i="16" s="1"/>
  <c r="E262" i="16"/>
  <c r="G262" i="16" s="1"/>
  <c r="A261" i="16"/>
  <c r="E259" i="16"/>
  <c r="G259" i="16" s="1"/>
  <c r="E258" i="16"/>
  <c r="G258" i="16" s="1"/>
  <c r="A257" i="16"/>
  <c r="A256" i="16"/>
  <c r="E255" i="16"/>
  <c r="G255" i="16" s="1"/>
  <c r="E254" i="16"/>
  <c r="G254" i="16"/>
  <c r="E253" i="16"/>
  <c r="G253" i="16" s="1"/>
  <c r="E252" i="16"/>
  <c r="G252" i="16" s="1"/>
  <c r="E251" i="16"/>
  <c r="G251" i="16" s="1"/>
  <c r="E250" i="16"/>
  <c r="G250" i="16" s="1"/>
  <c r="E249" i="16"/>
  <c r="G249" i="16" s="1"/>
  <c r="E248" i="16"/>
  <c r="G248" i="16"/>
  <c r="E247" i="16"/>
  <c r="G247" i="16" s="1"/>
  <c r="E246" i="16"/>
  <c r="G246" i="16" s="1"/>
  <c r="E245" i="16"/>
  <c r="G245" i="16"/>
  <c r="E244" i="16"/>
  <c r="G244" i="16" s="1"/>
  <c r="E243" i="16"/>
  <c r="G243" i="16" s="1"/>
  <c r="E242" i="16"/>
  <c r="G242" i="16"/>
  <c r="E241" i="16"/>
  <c r="G241" i="16" s="1"/>
  <c r="E240" i="16"/>
  <c r="G240" i="16" s="1"/>
  <c r="E239" i="16"/>
  <c r="G239" i="16" s="1"/>
  <c r="E238" i="16"/>
  <c r="G238" i="16" s="1"/>
  <c r="A237" i="16"/>
  <c r="A236" i="16"/>
  <c r="A234" i="16"/>
  <c r="A233" i="16"/>
  <c r="A232" i="16"/>
  <c r="E557" i="16"/>
  <c r="G557" i="16" s="1"/>
  <c r="E556" i="16"/>
  <c r="G556" i="16" s="1"/>
  <c r="E555" i="16"/>
  <c r="G555" i="16" s="1"/>
  <c r="E554" i="16"/>
  <c r="G554" i="16" s="1"/>
  <c r="E553" i="16"/>
  <c r="G553" i="16" s="1"/>
  <c r="E549" i="16"/>
  <c r="G549" i="16" s="1"/>
  <c r="E548" i="16"/>
  <c r="G548" i="16"/>
  <c r="E547" i="16"/>
  <c r="G547" i="16" s="1"/>
  <c r="E546" i="16"/>
  <c r="G546" i="16"/>
  <c r="E545" i="16"/>
  <c r="G545" i="16"/>
  <c r="A542" i="16"/>
  <c r="A541" i="16"/>
  <c r="G167" i="16"/>
  <c r="G86" i="16"/>
  <c r="G89" i="16"/>
  <c r="G111" i="16"/>
  <c r="G110" i="16"/>
  <c r="G184" i="16"/>
  <c r="G101" i="16"/>
  <c r="G102" i="16"/>
  <c r="G177" i="16"/>
  <c r="G426" i="16"/>
  <c r="G425" i="16"/>
  <c r="G424" i="16"/>
  <c r="G422" i="16"/>
  <c r="G421" i="16"/>
  <c r="G423" i="16"/>
  <c r="G418" i="16"/>
  <c r="G417" i="16"/>
  <c r="A415" i="16"/>
  <c r="A414" i="16"/>
  <c r="E327" i="16"/>
  <c r="G327" i="16"/>
  <c r="E331" i="16"/>
  <c r="G331" i="16" s="1"/>
  <c r="E330" i="16"/>
  <c r="G330" i="16"/>
  <c r="E349" i="16"/>
  <c r="G349" i="16"/>
  <c r="E344" i="16"/>
  <c r="G344" i="16" s="1"/>
  <c r="E334" i="16"/>
  <c r="G334" i="16" s="1"/>
  <c r="E335" i="16" s="1"/>
  <c r="E337" i="16" s="1"/>
  <c r="G337" i="16" s="1"/>
  <c r="E339" i="16"/>
  <c r="G339" i="16" s="1"/>
  <c r="E324" i="16"/>
  <c r="G324" i="16" s="1"/>
  <c r="E323" i="16"/>
  <c r="G323" i="16" s="1"/>
  <c r="G315" i="16"/>
  <c r="E316" i="16"/>
  <c r="G316" i="16" s="1"/>
  <c r="E314" i="16"/>
  <c r="G314" i="16"/>
  <c r="E313" i="16"/>
  <c r="G313" i="16" s="1"/>
  <c r="E320" i="16"/>
  <c r="G320" i="16"/>
  <c r="E319" i="16"/>
  <c r="G319" i="16" s="1"/>
  <c r="E310" i="16"/>
  <c r="G310" i="16" s="1"/>
  <c r="G309" i="16"/>
  <c r="E308" i="16"/>
  <c r="G308" i="16" s="1"/>
  <c r="E307" i="16"/>
  <c r="G307" i="16" s="1"/>
  <c r="G306" i="16"/>
  <c r="E303" i="16"/>
  <c r="G303" i="16" s="1"/>
  <c r="A287" i="16"/>
  <c r="E131" i="16"/>
  <c r="G131" i="16" s="1"/>
  <c r="E69" i="16"/>
  <c r="G69" i="16" s="1"/>
  <c r="E70" i="16"/>
  <c r="G70" i="16"/>
  <c r="A67" i="16"/>
  <c r="E66" i="16"/>
  <c r="G66" i="16"/>
  <c r="E132" i="16"/>
  <c r="A64" i="16"/>
  <c r="A63" i="16"/>
  <c r="A62" i="16"/>
  <c r="A143" i="16"/>
  <c r="A139" i="16"/>
  <c r="E135" i="16"/>
  <c r="G135" i="16"/>
  <c r="E136" i="16"/>
  <c r="G136" i="16" s="1"/>
  <c r="G132" i="16"/>
  <c r="E141" i="16"/>
  <c r="G141" i="16"/>
  <c r="E145" i="16"/>
  <c r="G145" i="16" s="1"/>
  <c r="E222" i="16"/>
  <c r="G222" i="16"/>
  <c r="A208" i="16"/>
  <c r="A207" i="16"/>
  <c r="A149" i="16"/>
  <c r="E142" i="16"/>
  <c r="G142" i="16"/>
  <c r="A224" i="16"/>
  <c r="E137" i="16"/>
  <c r="G137" i="16"/>
  <c r="E138" i="16"/>
  <c r="G138" i="16" s="1"/>
  <c r="A129" i="16"/>
  <c r="E128" i="16"/>
  <c r="G128" i="16" s="1"/>
  <c r="E286" i="16"/>
  <c r="G286" i="16"/>
  <c r="A284" i="16"/>
  <c r="A283" i="16"/>
  <c r="A126" i="16"/>
  <c r="A125" i="16"/>
  <c r="E61" i="16"/>
  <c r="G61" i="16" s="1"/>
  <c r="K58" i="16" s="1"/>
  <c r="A59" i="16"/>
  <c r="A58" i="16"/>
  <c r="A23" i="16"/>
  <c r="E22" i="16"/>
  <c r="G22" i="16" s="1"/>
  <c r="A10" i="16"/>
  <c r="A8" i="16"/>
  <c r="A20" i="16"/>
  <c r="A19" i="16"/>
  <c r="G9" i="16"/>
  <c r="A7" i="16"/>
  <c r="D4" i="18"/>
  <c r="E4" i="18"/>
  <c r="F4" i="18" s="1"/>
  <c r="I4" i="18"/>
  <c r="D5" i="18"/>
  <c r="E5" i="18" s="1"/>
  <c r="D3" i="18"/>
  <c r="E3" i="18"/>
  <c r="J3" i="18" s="1"/>
  <c r="F3" i="18"/>
  <c r="D2" i="18"/>
  <c r="E2" i="18"/>
  <c r="F2" i="18" s="1"/>
  <c r="A464" i="16"/>
  <c r="E340" i="16" l="1"/>
  <c r="G340" i="16" s="1"/>
  <c r="E341" i="16"/>
  <c r="G341" i="16" s="1"/>
  <c r="E336" i="16"/>
  <c r="G336" i="16" s="1"/>
  <c r="E544" i="16"/>
  <c r="G544" i="16" s="1"/>
  <c r="G181" i="16"/>
  <c r="G185" i="16"/>
  <c r="G267" i="16"/>
  <c r="E552" i="16"/>
  <c r="G552" i="16" s="1"/>
  <c r="K541" i="16" s="1"/>
  <c r="G88" i="16"/>
  <c r="G92" i="16"/>
  <c r="G105" i="16"/>
  <c r="G151" i="16"/>
  <c r="G81" i="16"/>
  <c r="G106" i="16"/>
  <c r="G118" i="16"/>
  <c r="G204" i="16"/>
  <c r="G272" i="16"/>
  <c r="G191" i="16"/>
  <c r="G90" i="16"/>
  <c r="G95" i="16"/>
  <c r="G99" i="16"/>
  <c r="G103" i="16"/>
  <c r="G115" i="16"/>
  <c r="G119" i="16"/>
  <c r="E346" i="16"/>
  <c r="G346" i="16" s="1"/>
  <c r="E345" i="16"/>
  <c r="I5" i="18"/>
  <c r="F5" i="18"/>
  <c r="J5" i="18"/>
  <c r="J6" i="18" s="1"/>
  <c r="E350" i="16"/>
  <c r="G107" i="16"/>
  <c r="K63" i="16" s="1"/>
  <c r="G188" i="16"/>
  <c r="G109" i="16"/>
  <c r="I2" i="18"/>
  <c r="G335" i="16"/>
  <c r="E342" i="16"/>
  <c r="G342" i="16" s="1"/>
  <c r="G227" i="16"/>
  <c r="K207" i="16" s="1"/>
  <c r="G197" i="16"/>
  <c r="K11" i="16"/>
  <c r="I3" i="18"/>
  <c r="E351" i="16"/>
  <c r="G351" i="16" s="1"/>
  <c r="G82" i="16"/>
  <c r="G94" i="16"/>
  <c r="K354" i="16"/>
  <c r="A9" i="16"/>
  <c r="A14" i="16" s="1"/>
  <c r="K478" i="16"/>
  <c r="K414" i="16"/>
  <c r="K379" i="16"/>
  <c r="K232" i="16"/>
  <c r="K19" i="16"/>
  <c r="K125" i="16" l="1"/>
  <c r="K283" i="16"/>
  <c r="E352" i="16"/>
  <c r="G352" i="16" s="1"/>
  <c r="G350" i="16"/>
  <c r="I6" i="18"/>
  <c r="G345" i="16"/>
  <c r="E347" i="16"/>
  <c r="G347" i="16" s="1"/>
  <c r="A15" i="16"/>
  <c r="A16" i="16" l="1"/>
  <c r="A17" i="16" l="1"/>
  <c r="A22" i="16" l="1"/>
  <c r="A27" i="16" l="1"/>
  <c r="A30" i="16" s="1"/>
  <c r="A31" i="16" s="1"/>
  <c r="A32" i="16" s="1"/>
  <c r="A35" i="16" l="1"/>
  <c r="A36" i="16" l="1"/>
  <c r="A37" i="16" l="1"/>
  <c r="A40" i="16" l="1"/>
  <c r="A41" i="16" s="1"/>
  <c r="A44" i="16" s="1"/>
  <c r="A45" i="16" s="1"/>
  <c r="A46" i="16" s="1"/>
  <c r="A49" i="16" s="1"/>
  <c r="A50" i="16" s="1"/>
  <c r="A53" i="16" s="1"/>
  <c r="A54" i="16" s="1"/>
  <c r="A55" i="16" s="1"/>
  <c r="A56" i="16" s="1"/>
  <c r="A61" i="16" s="1"/>
  <c r="A66" i="16" s="1"/>
  <c r="A69" i="16" s="1"/>
  <c r="A70" i="16" s="1"/>
  <c r="A74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3" i="16" s="1"/>
  <c r="A128" i="16" s="1"/>
  <c r="A131" i="16" s="1"/>
  <c r="A132" i="16" s="1"/>
  <c r="A135" i="16" s="1"/>
  <c r="A136" i="16" s="1"/>
  <c r="A137" i="16" s="1"/>
  <c r="A138" i="16" s="1"/>
  <c r="A141" i="16" s="1"/>
  <c r="A142" i="16" s="1"/>
  <c r="A145" i="16" s="1"/>
  <c r="A146" i="16" s="1"/>
  <c r="A147" i="16" s="1"/>
  <c r="A151" i="16" s="1"/>
  <c r="A152" i="16" s="1"/>
  <c r="A155" i="16" s="1"/>
  <c r="A156" i="16" s="1"/>
  <c r="A159" i="16" s="1"/>
  <c r="A162" i="16" s="1"/>
  <c r="A165" i="16" s="1"/>
  <c r="A166" i="16" s="1"/>
  <c r="A167" i="16" s="1"/>
  <c r="A168" i="16" s="1"/>
  <c r="A169" i="16" s="1"/>
  <c r="A170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91" i="16" s="1"/>
  <c r="A194" i="16" s="1"/>
  <c r="A197" i="16" s="1"/>
  <c r="A200" i="16" s="1"/>
  <c r="A201" i="16" s="1"/>
  <c r="A204" i="16" s="1"/>
  <c r="A205" i="16" s="1"/>
  <c r="A210" i="16" s="1"/>
  <c r="A213" i="16" s="1"/>
  <c r="A216" i="16" s="1"/>
  <c r="A219" i="16" s="1"/>
  <c r="A222" i="16" s="1"/>
  <c r="A223" i="16" s="1"/>
  <c r="A226" i="16" s="1"/>
  <c r="A227" i="16" s="1"/>
  <c r="A230" i="16" s="1"/>
  <c r="A235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8" i="16" s="1"/>
  <c r="A259" i="16" s="1"/>
  <c r="A262" i="16" s="1"/>
  <c r="A263" i="16" s="1"/>
  <c r="A266" i="16" s="1"/>
  <c r="A267" i="16" s="1"/>
  <c r="A268" i="16" s="1"/>
  <c r="A269" i="16" s="1"/>
  <c r="A272" i="16" s="1"/>
  <c r="A273" i="16" s="1"/>
  <c r="A274" i="16" s="1"/>
  <c r="A275" i="16" s="1"/>
  <c r="A278" i="16" s="1"/>
  <c r="A281" i="16" s="1"/>
  <c r="A286" i="16" s="1"/>
  <c r="A289" i="16" s="1"/>
  <c r="A292" i="16" s="1"/>
  <c r="A293" i="16" s="1"/>
  <c r="A294" i="16" s="1"/>
  <c r="A297" i="16" s="1"/>
  <c r="A298" i="16" s="1"/>
  <c r="A303" i="16" s="1"/>
  <c r="A306" i="16" s="1"/>
  <c r="A307" i="16" s="1"/>
  <c r="A308" i="16" s="1"/>
  <c r="A309" i="16" s="1"/>
  <c r="A310" i="16" s="1"/>
  <c r="A313" i="16" s="1"/>
  <c r="A314" i="16" s="1"/>
  <c r="A315" i="16" s="1"/>
  <c r="A316" i="16" s="1"/>
  <c r="A319" i="16" s="1"/>
  <c r="A320" i="16" s="1"/>
  <c r="A323" i="16" s="1"/>
  <c r="A324" i="16" s="1"/>
  <c r="A327" i="16" s="1"/>
  <c r="A330" i="16" s="1"/>
  <c r="A331" i="16" s="1"/>
  <c r="A334" i="16" s="1"/>
  <c r="A335" i="16" s="1"/>
  <c r="A336" i="16" s="1"/>
  <c r="A337" i="16" s="1"/>
  <c r="A339" i="16" s="1"/>
  <c r="A340" i="16" s="1"/>
  <c r="A341" i="16" s="1"/>
  <c r="A342" i="16" s="1"/>
  <c r="A344" i="16" s="1"/>
  <c r="A345" i="16" s="1"/>
  <c r="A346" i="16" s="1"/>
  <c r="A347" i="16" s="1"/>
  <c r="A349" i="16" s="1"/>
  <c r="A350" i="16" s="1"/>
  <c r="A351" i="16" s="1"/>
  <c r="A352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70" i="16" s="1"/>
  <c r="A371" i="16" s="1"/>
  <c r="A372" i="16" s="1"/>
  <c r="A373" i="16" s="1"/>
  <c r="A377" i="16" s="1"/>
  <c r="A382" i="16" s="1"/>
  <c r="A383" i="16" s="1"/>
  <c r="A384" i="16" s="1"/>
  <c r="A385" i="16" s="1"/>
  <c r="A386" i="16" s="1"/>
  <c r="A387" i="16" s="1"/>
  <c r="A388" i="16" s="1"/>
  <c r="A389" i="16" s="1"/>
  <c r="A392" i="16" s="1"/>
  <c r="A397" i="16" s="1"/>
  <c r="A400" i="16" s="1"/>
  <c r="A403" i="16" s="1"/>
  <c r="A406" i="16" s="1"/>
  <c r="A409" i="16" s="1"/>
  <c r="A412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6" i="16" s="1"/>
  <c r="A447" i="16" s="1"/>
  <c r="A448" i="16" s="1"/>
  <c r="A449" i="16" s="1"/>
  <c r="A452" i="16" s="1"/>
  <c r="A453" i="16" s="1"/>
  <c r="A454" i="16" s="1"/>
  <c r="A455" i="16" s="1"/>
  <c r="A458" i="16" s="1"/>
  <c r="A459" i="16" s="1"/>
  <c r="A460" i="16" s="1"/>
  <c r="A461" i="16" s="1"/>
  <c r="A462" i="16" s="1"/>
  <c r="A463" i="16" s="1"/>
  <c r="A467" i="16" s="1"/>
  <c r="A468" i="16" s="1"/>
  <c r="A469" i="16" s="1"/>
  <c r="A472" i="16" s="1"/>
  <c r="A473" i="16" s="1"/>
  <c r="A474" i="16" s="1"/>
  <c r="A476" i="16" s="1"/>
  <c r="A480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9" i="16" s="1"/>
  <c r="A500" i="16" s="1"/>
  <c r="A503" i="16" s="1"/>
  <c r="A506" i="16" s="1"/>
  <c r="A507" i="16" s="1"/>
  <c r="A508" i="16" s="1"/>
  <c r="A509" i="16" s="1"/>
  <c r="A510" i="16" s="1"/>
  <c r="A511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7" i="16" s="1"/>
  <c r="A528" i="16" s="1"/>
  <c r="A529" i="16" s="1"/>
  <c r="A530" i="16" l="1"/>
  <c r="A531" i="16"/>
  <c r="A534" i="16" s="1"/>
  <c r="A535" i="16" s="1"/>
  <c r="A536" i="16" s="1"/>
  <c r="A539" i="16" s="1"/>
  <c r="A544" i="16" s="1"/>
  <c r="A545" i="16" s="1"/>
  <c r="A546" i="16" s="1"/>
  <c r="A547" i="16" s="1"/>
  <c r="A548" i="16" s="1"/>
  <c r="A549" i="16" s="1"/>
  <c r="A552" i="16" s="1"/>
  <c r="A553" i="16" s="1"/>
  <c r="A554" i="16" s="1"/>
  <c r="A555" i="16" s="1"/>
  <c r="A556" i="16" s="1"/>
  <c r="A557" i="16" s="1"/>
  <c r="A558" i="16" s="1"/>
  <c r="A561" i="16" s="1"/>
  <c r="A568" i="16" s="1"/>
  <c r="A571" i="16" s="1"/>
  <c r="A574" i="16" s="1"/>
  <c r="A575" i="16" s="1"/>
  <c r="A578" i="16" s="1"/>
  <c r="A581" i="16" s="1"/>
  <c r="A584" i="16" s="1"/>
  <c r="A589" i="16" s="1"/>
  <c r="A592" i="16" s="1"/>
  <c r="A595" i="16" s="1"/>
  <c r="A600" i="16" s="1"/>
  <c r="A601" i="16" s="1"/>
  <c r="A604" i="16" s="1"/>
  <c r="A605" i="16" l="1"/>
  <c r="A606" i="16" s="1"/>
  <c r="A609" i="16"/>
  <c r="A612" i="16" l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30" i="16" s="1"/>
  <c r="A631" i="16" s="1"/>
  <c r="A632" i="16" s="1"/>
  <c r="A633" i="16" s="1"/>
  <c r="A634" i="16" s="1"/>
</calcChain>
</file>

<file path=xl/sharedStrings.xml><?xml version="1.0" encoding="utf-8"?>
<sst xmlns="http://schemas.openxmlformats.org/spreadsheetml/2006/main" count="1054" uniqueCount="599">
  <si>
    <t>NEW MULTI-FAMILY RESIDENTIAL BUILDING</t>
  </si>
  <si>
    <t>SR #</t>
  </si>
  <si>
    <t>DRAWING#</t>
  </si>
  <si>
    <t>CSI SECT</t>
  </si>
  <si>
    <t>DESCRIPTION</t>
  </si>
  <si>
    <t>QTY.</t>
  </si>
  <si>
    <t>WASTAGE</t>
  </si>
  <si>
    <t>QTY WITH
WASTAGE</t>
  </si>
  <si>
    <t>UNIT OF
MEASURMENT</t>
  </si>
  <si>
    <t>UNIT COST</t>
  </si>
  <si>
    <t>TOTAL ITEM
COST</t>
  </si>
  <si>
    <t>TOTAL TRADE
COST</t>
  </si>
  <si>
    <t>DIV. 01</t>
  </si>
  <si>
    <t>GENERAL CONDITIONS</t>
  </si>
  <si>
    <t>PERMITS, SITE SUPERVISION, FINAL CLEANUP &amp; DUMPSTER ETC.</t>
  </si>
  <si>
    <t>LS</t>
  </si>
  <si>
    <t>DIV. 02</t>
  </si>
  <si>
    <t>EXISTING CONDITIONS</t>
  </si>
  <si>
    <t>SITE DEMOLITION</t>
  </si>
  <si>
    <t>C-110</t>
  </si>
  <si>
    <t>REMOVE EXISTING LIGHT POLE</t>
  </si>
  <si>
    <t>EA</t>
  </si>
  <si>
    <t>REMOVE EXISTING FENCE</t>
  </si>
  <si>
    <t>LF</t>
  </si>
  <si>
    <t>REMOVE EXISTING PAVED AREA</t>
  </si>
  <si>
    <t>SF</t>
  </si>
  <si>
    <t>C-150</t>
  </si>
  <si>
    <t>REMOVE EXISTING 6" TOPSOIL W/ RAKE AND REMOVE ALL ORGANIC, METALLIC AND STONE DEBRIS LARGER THAN 2".</t>
  </si>
  <si>
    <t>DIV. 03</t>
  </si>
  <si>
    <t>CONCRETE</t>
  </si>
  <si>
    <t>WALLS</t>
  </si>
  <si>
    <t>A100, A320</t>
  </si>
  <si>
    <t>138'-0"L x 12" THK. x 9'-6"H CONCRETE RETAINING WALL</t>
  </si>
  <si>
    <t>CY</t>
  </si>
  <si>
    <t>FOOTINGS</t>
  </si>
  <si>
    <t>S1.00</t>
  </si>
  <si>
    <t>CONTINUOUS</t>
  </si>
  <si>
    <r>
      <t xml:space="preserve">CF-1: </t>
    </r>
    <r>
      <rPr>
        <sz val="11"/>
        <rFont val="Calibri"/>
        <family val="2"/>
      </rPr>
      <t>293'-0"L x 2'-0"W x 1'-6"H CONCRETE FOOTING W/3#6 LONGITUDINAL BARS &amp; #6 TRANSVERSE BARS @12" O.C.</t>
    </r>
  </si>
  <si>
    <t>MATT</t>
  </si>
  <si>
    <r>
      <t xml:space="preserve">MF-1: </t>
    </r>
    <r>
      <rPr>
        <sz val="11"/>
        <rFont val="Calibri"/>
        <family val="2"/>
      </rPr>
      <t>26'-2"L x 29'-5"W x 2'-6"H MATT FOOTING W/#6 @9" O.C E/W TOP &amp; BOTTOM BARS</t>
    </r>
  </si>
  <si>
    <r>
      <t xml:space="preserve">MF-2: </t>
    </r>
    <r>
      <rPr>
        <sz val="11"/>
        <rFont val="Calibri"/>
        <family val="2"/>
      </rPr>
      <t>23'-3"L x 17'-9"W x 1'-6"H MATT FOOTING W/#6 @9" O.C E/W TOP &amp; BOTTOM BARS</t>
    </r>
  </si>
  <si>
    <r>
      <t xml:space="preserve">MF-3: </t>
    </r>
    <r>
      <rPr>
        <sz val="11"/>
        <rFont val="Calibri"/>
        <family val="2"/>
      </rPr>
      <t>10'-0"L x 13'-1"W x 1'-6"H MATT FOOTING W/#6 @9" O.C E/W TOP &amp; BOTTOM BARS</t>
    </r>
  </si>
  <si>
    <t>SPREAD</t>
  </si>
  <si>
    <r>
      <t xml:space="preserve">SF-1: </t>
    </r>
    <r>
      <rPr>
        <sz val="11"/>
        <rFont val="Calibri"/>
        <family val="2"/>
      </rPr>
      <t>6'-0"L x 6'-0"W x 1'-6"H CONCRETE FOOTING W/#6 @12" O.C E/W</t>
    </r>
  </si>
  <si>
    <r>
      <t xml:space="preserve">SF-2: </t>
    </r>
    <r>
      <rPr>
        <sz val="11"/>
        <rFont val="Calibri"/>
        <family val="2"/>
      </rPr>
      <t>7'-0"L x 7'-0"W x 1'-6"H CONCRETE FOOTING W/#6 @12" O.C E/W</t>
    </r>
  </si>
  <si>
    <r>
      <t xml:space="preserve">SF-3: </t>
    </r>
    <r>
      <rPr>
        <sz val="11"/>
        <rFont val="Calibri"/>
        <family val="2"/>
      </rPr>
      <t>8'-0"L x 8'-0"W x 1'-6"H CONCRETE FOOTING W/#6 @10" O.C E/W</t>
    </r>
  </si>
  <si>
    <t>COLUMNS</t>
  </si>
  <si>
    <r>
      <t xml:space="preserve">P1: </t>
    </r>
    <r>
      <rPr>
        <sz val="11"/>
        <rFont val="Calibri"/>
        <family val="2"/>
      </rPr>
      <t xml:space="preserve">2'-0" x 2'-0" CONCRETE COLUMN
NO. OF COLUMNS @9'-6" HT: 12
NO. OF COLUMNS @12'-2" HT: 3
</t>
    </r>
    <r>
      <rPr>
        <b/>
        <sz val="11"/>
        <rFont val="Calibri"/>
        <family val="2"/>
      </rPr>
      <t xml:space="preserve">NOTE: </t>
    </r>
    <r>
      <rPr>
        <sz val="11"/>
        <rFont val="Calibri"/>
        <family val="2"/>
      </rPr>
      <t>SPECS ARE NOT DEFINED</t>
    </r>
  </si>
  <si>
    <r>
      <t xml:space="preserve">P2: </t>
    </r>
    <r>
      <rPr>
        <sz val="11"/>
        <rFont val="Calibri"/>
        <family val="2"/>
      </rPr>
      <t xml:space="preserve">1'-4" x 1'-4" CONCRETE COLUMN
NO. OF COLUMNS @9'-6" HT: 3
NO. OF COLUMNS @12'-2" HT: 3
</t>
    </r>
    <r>
      <rPr>
        <b/>
        <sz val="11"/>
        <rFont val="Calibri"/>
        <family val="2"/>
      </rPr>
      <t xml:space="preserve">NOTE: </t>
    </r>
    <r>
      <rPr>
        <sz val="11"/>
        <rFont val="Calibri"/>
        <family val="2"/>
      </rPr>
      <t>SPECS ARE NOT DEFINED</t>
    </r>
  </si>
  <si>
    <t>SLAB</t>
  </si>
  <si>
    <t>S1.00-S1.10</t>
  </si>
  <si>
    <t>4" CONCRETE SLAB W/6 x 6 W2.1 x 2.1</t>
  </si>
  <si>
    <t xml:space="preserve">4" CONCRETE SLAB </t>
  </si>
  <si>
    <t>6" BROOM FINISH CONCRETE SLAB W/6 x 6-W2.9 x 2.9</t>
  </si>
  <si>
    <t>DECK</t>
  </si>
  <si>
    <t>S1.10-S1.20</t>
  </si>
  <si>
    <t>5.5" 3VLI18 NON-COMPOSITE DECK W/W2.1 x W2.1</t>
  </si>
  <si>
    <t>7-1/4" LIGHWEIGHT CONCRETE W/VULCRAFT 3VLI18 COMPOSITE DECK 6 x 6-W2.1 x 2.1</t>
  </si>
  <si>
    <t>FORMWORK</t>
  </si>
  <si>
    <t>FORMWORK FOR ALL FOOTINGS</t>
  </si>
  <si>
    <t>FORMWORK FOR ALL COLUMNS</t>
  </si>
  <si>
    <t>FORMWORK FOR SLAB</t>
  </si>
  <si>
    <t>FORMWORK FOR RETAINING WALLS</t>
  </si>
  <si>
    <t>DIV. 04</t>
  </si>
  <si>
    <t>MASONRY</t>
  </si>
  <si>
    <t>CMU</t>
  </si>
  <si>
    <t>A100, A200, A320, A600</t>
  </si>
  <si>
    <t>8" THK. CMU WALL</t>
  </si>
  <si>
    <t>DIV. 05</t>
  </si>
  <si>
    <t>METALS</t>
  </si>
  <si>
    <t>STUDS</t>
  </si>
  <si>
    <t>A100, A200, A600</t>
  </si>
  <si>
    <t>6" LIGHT GAUGE METAL STUDS @ 16" O.C.
NO. OF STUDS @8'-6" HT: 12
NO. OF STUDS @10'-6" HT: 38</t>
  </si>
  <si>
    <t>RUNNERS</t>
  </si>
  <si>
    <t>LIGHT GAUGE METAL TOP TRACK</t>
  </si>
  <si>
    <t>LIGHT GAUGE METAL BOTTOM TRACK</t>
  </si>
  <si>
    <t>FRAMING</t>
  </si>
  <si>
    <t>S1.20</t>
  </si>
  <si>
    <r>
      <t xml:space="preserve">ALLOWANCE PROVIDED FOR HSS STEEL COLUMNS
AREA: </t>
    </r>
    <r>
      <rPr>
        <b/>
        <sz val="11"/>
        <rFont val="Calibri"/>
        <family val="2"/>
      </rPr>
      <t>6575 SF</t>
    </r>
  </si>
  <si>
    <t>BEAMS</t>
  </si>
  <si>
    <t>W12X30</t>
  </si>
  <si>
    <t>L4X4X1/4</t>
  </si>
  <si>
    <t>W8X21</t>
  </si>
  <si>
    <t>W12X45</t>
  </si>
  <si>
    <t>W8X10</t>
  </si>
  <si>
    <t>W10X12</t>
  </si>
  <si>
    <t>W14X30</t>
  </si>
  <si>
    <t>L6X6X3/4"</t>
  </si>
  <si>
    <t>W12X26</t>
  </si>
  <si>
    <t>W14X74</t>
  </si>
  <si>
    <t>W16X50</t>
  </si>
  <si>
    <t>W12X96</t>
  </si>
  <si>
    <t>W21X68</t>
  </si>
  <si>
    <t>W16X26</t>
  </si>
  <si>
    <t>W10X22</t>
  </si>
  <si>
    <t>W8X15</t>
  </si>
  <si>
    <t>W16X31</t>
  </si>
  <si>
    <t>W8X13</t>
  </si>
  <si>
    <t>W24X68</t>
  </si>
  <si>
    <t>W24X84</t>
  </si>
  <si>
    <t>W18X46</t>
  </si>
  <si>
    <t>W18X60</t>
  </si>
  <si>
    <t>W12X65</t>
  </si>
  <si>
    <t>W16X36</t>
  </si>
  <si>
    <t>W16X67</t>
  </si>
  <si>
    <t>W21X62</t>
  </si>
  <si>
    <t>W12X58</t>
  </si>
  <si>
    <t>W10X39</t>
  </si>
  <si>
    <t>W21X83</t>
  </si>
  <si>
    <t>W12X22</t>
  </si>
  <si>
    <t>W21X93</t>
  </si>
  <si>
    <t>W10X15</t>
  </si>
  <si>
    <t>W18X97</t>
  </si>
  <si>
    <t>W18X86</t>
  </si>
  <si>
    <t>W14X38</t>
  </si>
  <si>
    <t>W18X50</t>
  </si>
  <si>
    <t>W21X50</t>
  </si>
  <si>
    <t>W12X40</t>
  </si>
  <si>
    <t>W12X16</t>
  </si>
  <si>
    <t>W10X17</t>
  </si>
  <si>
    <t>W8X18</t>
  </si>
  <si>
    <t>W18X55</t>
  </si>
  <si>
    <t>W12X14</t>
  </si>
  <si>
    <t>W12X19</t>
  </si>
  <si>
    <t>EXTERIOR RAILING</t>
  </si>
  <si>
    <t>A200</t>
  </si>
  <si>
    <t xml:space="preserve">3'-4"H METAL RAILING
COLOR: CHARCOAL </t>
  </si>
  <si>
    <t>DIV. 06</t>
  </si>
  <si>
    <t>WOOD, PLASTIC &amp; COMPOSITES</t>
  </si>
  <si>
    <t>FURRING</t>
  </si>
  <si>
    <t>1x3 WOOD FURRING @ 16" O.C.
NO. OF FURRINGS @8'-6" HT: 26
NO. OF FURRINGS @9'-0" HT: 137
NO. OF FURRINGS @9'-3" HT: 152
NO. OF FURRINGS @10'-6" HT: 85
NO. OF FURRINGS @10'-8" HT: 331
NO. OF FURRINGS @10'-10" HT: 110
NO. OF FURRINGS @12'-2" HT: 84</t>
  </si>
  <si>
    <t>2x4 WOOD STUDS @ 16" O.C.
NO. OF STUDS @4'-0" HT: 23
NO. OF STUDS @9'-0" HT: 1040
NO. OF STUDS @9'-2" HT: 346</t>
  </si>
  <si>
    <t>2x6 WOOD STUDS @ 16" O.C.
NO. OF STUDS @9'-0" HT: 616
NO. OF STUDS @9'-3" HT: 303
NO. OF STUDS @10'-8" HT: 642
NO. OF STUDS @10'-10" HT: 214</t>
  </si>
  <si>
    <t>PLATES</t>
  </si>
  <si>
    <t>2x4 WOOD DOUBLE PLATE AT TOP</t>
  </si>
  <si>
    <t>2x4 WOOD SINGLE PLATE AT BOTTOM</t>
  </si>
  <si>
    <t>2x6 WOOD DOUBLE PLATE AT TOP</t>
  </si>
  <si>
    <t>2x6 WOOD SINGLE PLATE AT BOTTOM</t>
  </si>
  <si>
    <t>BLOCKING</t>
  </si>
  <si>
    <t>2x4 WOOD MIDSPAN BLOCKING</t>
  </si>
  <si>
    <t>2x6 WOOD MIDSPAN BLOCKING</t>
  </si>
  <si>
    <t>SHEATHING</t>
  </si>
  <si>
    <t>1/2" EXTERIOR GRADE PLYWOOD SHEATHING AT WALLS</t>
  </si>
  <si>
    <t>3/4"THK. PLYWOOD ROOF SHEATHING</t>
  </si>
  <si>
    <t>6"THK. ZIP SYSTEM WALL SHEATHING</t>
  </si>
  <si>
    <t>INTERIOR TRIMS</t>
  </si>
  <si>
    <t>A100-A102, A520-A530</t>
  </si>
  <si>
    <t xml:space="preserve">NEW INTERIOR TRIM AT WINDOWS
</t>
  </si>
  <si>
    <t xml:space="preserve">NEW INTERIOR TRIM AT DOORS
</t>
  </si>
  <si>
    <t>MILLWORK</t>
  </si>
  <si>
    <t>A100-A102, A411, A420,A421</t>
  </si>
  <si>
    <t>1'-0''D UPPER CABNETS</t>
  </si>
  <si>
    <t>2'-0''D BASE CABNETS</t>
  </si>
  <si>
    <t>COUNTER TOP</t>
  </si>
  <si>
    <t>QUARTZ COUNTERTOP</t>
  </si>
  <si>
    <t>BACKSPLASH</t>
  </si>
  <si>
    <t>4''H BACKSPLASH</t>
  </si>
  <si>
    <t>POSTS</t>
  </si>
  <si>
    <t>S1.30-S1.40</t>
  </si>
  <si>
    <t>2X6 POST STUD, DF LARCH #2 OR BETTER @16" O.C.</t>
  </si>
  <si>
    <t>2X4 POST STUD, DF LARCH #2 OR BETTER @16" O.C.</t>
  </si>
  <si>
    <t>5.25X5.25 1.8E PSL POST</t>
  </si>
  <si>
    <t>5.25X7 1.8E PSL POST</t>
  </si>
  <si>
    <t>3.5X5.25 1.8E PSL POST</t>
  </si>
  <si>
    <t>3.5X3.5 2.0E PSL POST</t>
  </si>
  <si>
    <t>2X10 BEAM</t>
  </si>
  <si>
    <t>2X12 BEAM</t>
  </si>
  <si>
    <t>4X8 LINTEL BEAM</t>
  </si>
  <si>
    <t>3.5X11.875 PSL BEAM</t>
  </si>
  <si>
    <t>1.75X18 LVL LEDGER BEAM</t>
  </si>
  <si>
    <t xml:space="preserve">1.75X7.25 1.9E LVL BEAM </t>
  </si>
  <si>
    <t>3.5X9.25 2.0EE PSL BEAM</t>
  </si>
  <si>
    <t>3.5X11.25 2.0E PSL BEAM</t>
  </si>
  <si>
    <t>3.25X14 2.0E PSL BEAM</t>
  </si>
  <si>
    <t>3.5X16 2.0E PSL BEAM</t>
  </si>
  <si>
    <t>1.75X11.25 1.9E LVL BEAM</t>
  </si>
  <si>
    <t>1.75X9.25 2.0E LVL BEAM</t>
  </si>
  <si>
    <t>1.75X9.5 1.8E LVL BEAM</t>
  </si>
  <si>
    <t>5.25X9.25 2.0E PSL BEAM</t>
  </si>
  <si>
    <t>5.25X14 2.0E PSL BEAM</t>
  </si>
  <si>
    <t>5.25X18 2.0E PSL BEAM</t>
  </si>
  <si>
    <t>TRUSSES</t>
  </si>
  <si>
    <t>2X4 ENGINEERED WOOD TRUSS @24" O.C.</t>
  </si>
  <si>
    <t>JOISTS</t>
  </si>
  <si>
    <t>2X10 FLOOR JOIST @16" O.C.</t>
  </si>
  <si>
    <t>STRAND BOARD</t>
  </si>
  <si>
    <t>3/4" ORIENTED STRAND BOARD SUBFLOOR (GLUED &amp; SCREWED)</t>
  </si>
  <si>
    <t>RIMBOARD</t>
  </si>
  <si>
    <t>1-1/4"X18" RIMBOARD</t>
  </si>
  <si>
    <t xml:space="preserve">1-1/2"X18" RIMBOARD </t>
  </si>
  <si>
    <t>A102 DETAILS @ A301</t>
  </si>
  <si>
    <t>2X4 WOOD BLOCKING @ ROOF</t>
  </si>
  <si>
    <t xml:space="preserve">2X6 WOOD BLOCKING @ ROOF </t>
  </si>
  <si>
    <t>DIV. 07</t>
  </si>
  <si>
    <t>THERMAL &amp; MOISTURE PROTECTION</t>
  </si>
  <si>
    <t>ROOFING</t>
  </si>
  <si>
    <t>ROOFING MEMBRANE W/ SEAL ON TOP OF DRIP CAP TO COVER FASTENERS</t>
  </si>
  <si>
    <t>ICE AND WATER SHEILD</t>
  </si>
  <si>
    <t xml:space="preserve">PROVIDE ICE AND WATER SHEILD UNDER ROOF MEMBRANE </t>
  </si>
  <si>
    <t>FLASHING</t>
  </si>
  <si>
    <t>TYVEK DRAIN WRAP W/ FLASHING @ ROOF PARAPET</t>
  </si>
  <si>
    <t>COPING</t>
  </si>
  <si>
    <t>ALUMINUM COPING OVER DRIP CAP @ PARAPET</t>
  </si>
  <si>
    <t>INSULATION</t>
  </si>
  <si>
    <t>(R-19) FIBERGLASS BATT INSULATION AT WALLS</t>
  </si>
  <si>
    <t>4"THK. POLYISO RIGID SEAM TAPED INSULATION</t>
  </si>
  <si>
    <t>SEALANT</t>
  </si>
  <si>
    <t xml:space="preserve">NEW SEALANT AT DOORS
</t>
  </si>
  <si>
    <t xml:space="preserve">NEW SEALANT AT WINDOWS
</t>
  </si>
  <si>
    <t>EXTERIOR TRIMS</t>
  </si>
  <si>
    <t>A100-A102, A520</t>
  </si>
  <si>
    <t xml:space="preserve">NEW EXTERIOR TRIM AT WINDOWS
</t>
  </si>
  <si>
    <t>DIV. 08</t>
  </si>
  <si>
    <t>OPENINGS</t>
  </si>
  <si>
    <t>DOOR HARDWARE</t>
  </si>
  <si>
    <t xml:space="preserve">ALLOWANCE PROVIDED FOR DOOR HARDWARE </t>
  </si>
  <si>
    <t>DOORS</t>
  </si>
  <si>
    <t>A100-A102, A530</t>
  </si>
  <si>
    <r>
      <rPr>
        <b/>
        <sz val="11"/>
        <rFont val="Calibri"/>
        <family val="2"/>
      </rPr>
      <t xml:space="preserve">1: </t>
    </r>
    <r>
      <rPr>
        <sz val="11"/>
        <rFont val="Calibri"/>
        <family val="2"/>
      </rPr>
      <t>3'-0"W x 6'-8"H x 1-1/2"THK. TWO PANEL H/C STEEL DOOR
STYLE: F 
FINISH: PAINT
FRAME: STEEL
RATING: 20 MIN.</t>
    </r>
  </si>
  <si>
    <r>
      <rPr>
        <b/>
        <sz val="11"/>
        <rFont val="Calibri"/>
        <family val="2"/>
      </rPr>
      <t xml:space="preserve">2: </t>
    </r>
    <r>
      <rPr>
        <sz val="11"/>
        <rFont val="Calibri"/>
        <family val="2"/>
      </rPr>
      <t>3'-0"W x 6'-8"H x 1-1/2"THK. TWO PANEL SOLID DOOR
STYLE: F 
FINISH: PAINT
FRAME: WOOD</t>
    </r>
  </si>
  <si>
    <r>
      <rPr>
        <b/>
        <sz val="11"/>
        <rFont val="Calibri"/>
        <family val="2"/>
      </rPr>
      <t xml:space="preserve">3: </t>
    </r>
    <r>
      <rPr>
        <sz val="11"/>
        <rFont val="Calibri"/>
        <family val="2"/>
      </rPr>
      <t>2'-6"W x 6'-8"H x 1-1/2"THK. TWO PANEL H/C COMPOSITE DOOR
STYLE: I 
FINISH: PAINT
FRAME: WOOD</t>
    </r>
  </si>
  <si>
    <r>
      <rPr>
        <b/>
        <sz val="11"/>
        <rFont val="Calibri"/>
        <family val="2"/>
      </rPr>
      <t xml:space="preserve">4: </t>
    </r>
    <r>
      <rPr>
        <sz val="11"/>
        <rFont val="Calibri"/>
        <family val="2"/>
      </rPr>
      <t>3'-0"W x 6'-8"H x 1-1/2"THK. 2-PAN. LOUVER H/C COMPOSITE DOOR
STYLE: K 
FINISH: PAINT
FRAME: WOOD</t>
    </r>
  </si>
  <si>
    <r>
      <rPr>
        <b/>
        <sz val="11"/>
        <rFont val="Calibri"/>
        <family val="2"/>
      </rPr>
      <t xml:space="preserve">5: </t>
    </r>
    <r>
      <rPr>
        <sz val="11"/>
        <rFont val="Calibri"/>
        <family val="2"/>
      </rPr>
      <t>2'-10"W x 6'-8"H x 1-1/2"THK. TWO PANEL H/C COMPOSITE DOOR
STYLE: J 
FINISH: PAINT
FRAME: WOOD</t>
    </r>
  </si>
  <si>
    <r>
      <rPr>
        <b/>
        <sz val="11"/>
        <rFont val="Calibri"/>
        <family val="2"/>
      </rPr>
      <t xml:space="preserve">6: </t>
    </r>
    <r>
      <rPr>
        <sz val="11"/>
        <rFont val="Calibri"/>
        <family val="2"/>
      </rPr>
      <t>2'-6"W x 6'-8"H x 1-1/2"THK. 2-PAN. LOUVER H/C COMPOSITE DOOR
STYLE: H 
FINISH: PAINT
FRAME: WOOD</t>
    </r>
  </si>
  <si>
    <r>
      <rPr>
        <b/>
        <sz val="11"/>
        <rFont val="Calibri"/>
        <family val="2"/>
      </rPr>
      <t xml:space="preserve">7: </t>
    </r>
    <r>
      <rPr>
        <sz val="11"/>
        <rFont val="Calibri"/>
        <family val="2"/>
      </rPr>
      <t>3'-0"W x 6'-8"H x 1-1/2"THK. TWO PANEL SOLID DOOR
STYLE: F 
FINISH: PAINT
FRAME: WOOD</t>
    </r>
  </si>
  <si>
    <r>
      <rPr>
        <b/>
        <sz val="11"/>
        <rFont val="Calibri"/>
        <family val="2"/>
      </rPr>
      <t xml:space="preserve">8: </t>
    </r>
    <r>
      <rPr>
        <sz val="11"/>
        <rFont val="Calibri"/>
        <family val="2"/>
      </rPr>
      <t>3'-0"W x 6'-8"H x 1-1/2"THK. TWO PANEL H/C COMPOSITE DOOR
STYLE: F 
FINISH: PAINT
FRAME: WOOD</t>
    </r>
  </si>
  <si>
    <r>
      <rPr>
        <b/>
        <sz val="11"/>
        <rFont val="Calibri"/>
        <family val="2"/>
      </rPr>
      <t xml:space="preserve">9: </t>
    </r>
    <r>
      <rPr>
        <sz val="11"/>
        <rFont val="Calibri"/>
        <family val="2"/>
      </rPr>
      <t>1'-10"W x 6'-8"H x 1-1/2"THK.  TWO PANEL H/C COMPOSITE DOOR
STYLE: G 
FINISH: PAINT
FRAME: WOOD</t>
    </r>
  </si>
  <si>
    <r>
      <rPr>
        <b/>
        <sz val="11"/>
        <rFont val="Calibri"/>
        <family val="2"/>
      </rPr>
      <t xml:space="preserve">10: </t>
    </r>
    <r>
      <rPr>
        <sz val="11"/>
        <rFont val="Calibri"/>
        <family val="2"/>
      </rPr>
      <t>5'-0"W x 6'-8"H x 1-1/2"THK. TWO PANEL SLIDER H/C COMPOSITE DOOR
STYLE: E 
FINISH: PAINT
FRAME: WOOD</t>
    </r>
  </si>
  <si>
    <r>
      <rPr>
        <b/>
        <sz val="11"/>
        <rFont val="Calibri"/>
        <family val="2"/>
      </rPr>
      <t xml:space="preserve">11: </t>
    </r>
    <r>
      <rPr>
        <sz val="11"/>
        <rFont val="Calibri"/>
        <family val="2"/>
      </rPr>
      <t>3'-0"W x 6'-8"H x 1-3/4"THK. H/C STEEL FLUSH DOOR
STYLE: E 
FINISH: PAINT
FRAME: STEEL
RATING: 90 MIN.</t>
    </r>
  </si>
  <si>
    <r>
      <rPr>
        <b/>
        <sz val="11"/>
        <rFont val="Calibri"/>
        <family val="2"/>
      </rPr>
      <t xml:space="preserve">12: </t>
    </r>
    <r>
      <rPr>
        <sz val="11"/>
        <rFont val="Calibri"/>
        <family val="2"/>
      </rPr>
      <t>6'-6"W x 6'-8"H x 1-3/4"THK. GLASS SLIDER ALUMINIUM DOOR
STYLE: C 
FINISH: PAINT
FRAME: WOOD</t>
    </r>
  </si>
  <si>
    <r>
      <rPr>
        <b/>
        <sz val="11"/>
        <rFont val="Calibri"/>
        <family val="2"/>
      </rPr>
      <t xml:space="preserve">13: </t>
    </r>
    <r>
      <rPr>
        <sz val="11"/>
        <rFont val="Calibri"/>
        <family val="2"/>
      </rPr>
      <t>3'-0"W x 6'-8"H x 1-3/4"THK. TWO PANEL H/C STEEL DOOR
STYLE: B 
FINISH: PAINT
FRAME: STEEL</t>
    </r>
  </si>
  <si>
    <r>
      <rPr>
        <b/>
        <sz val="11"/>
        <rFont val="Calibri"/>
        <family val="2"/>
      </rPr>
      <t xml:space="preserve">14: </t>
    </r>
    <r>
      <rPr>
        <sz val="11"/>
        <rFont val="Calibri"/>
        <family val="2"/>
      </rPr>
      <t>3'-0"W x 6'-8"H x 1-1/2"THK. H/C STEEL FLUSH DOOR
STYLE: K 
FINISH: PAINT
FRAME: STEEL
RATING: 45 MIN.</t>
    </r>
  </si>
  <si>
    <r>
      <rPr>
        <b/>
        <sz val="11"/>
        <rFont val="Calibri"/>
        <family val="2"/>
      </rPr>
      <t xml:space="preserve">15: </t>
    </r>
    <r>
      <rPr>
        <sz val="11"/>
        <rFont val="Calibri"/>
        <family val="2"/>
      </rPr>
      <t>1'-10"W x 6'-8"H x 1-1/2"THK. H/C STEEL FLUSH DOOR
STYLE: K 
FINISH: PAINT
FRAME: STEEL</t>
    </r>
  </si>
  <si>
    <r>
      <rPr>
        <b/>
        <sz val="11"/>
        <rFont val="Calibri"/>
        <family val="2"/>
      </rPr>
      <t xml:space="preserve">17: </t>
    </r>
    <r>
      <rPr>
        <sz val="11"/>
        <rFont val="Calibri"/>
        <family val="2"/>
      </rPr>
      <t>3'-0"W x 6'-8"H x 1-3/4"THK. H/C STEEL FLUSH DOOR
STYLE: A 
FINISH: PAINT
FRAME: STEEL
RATING: 90 MIN.</t>
    </r>
  </si>
  <si>
    <r>
      <rPr>
        <b/>
        <sz val="11"/>
        <rFont val="Calibri"/>
        <family val="2"/>
      </rPr>
      <t xml:space="preserve">20: </t>
    </r>
    <r>
      <rPr>
        <sz val="11"/>
        <rFont val="Calibri"/>
        <family val="2"/>
      </rPr>
      <t>3'-0"W x 6'-8"H x 1-3/4"THK. H/C COMPOSITE FLUSH DOOR
STYLE: A 
FINISH: PAINT
FRAME: STEEL
RATING: 90 MIN.</t>
    </r>
  </si>
  <si>
    <t>2'-6" x 6'-8" PANTRY SHELF DOOR</t>
  </si>
  <si>
    <t>WINDOWS</t>
  </si>
  <si>
    <r>
      <rPr>
        <b/>
        <sz val="11"/>
        <rFont val="Calibri"/>
        <family val="2"/>
      </rPr>
      <t xml:space="preserve">A: </t>
    </r>
    <r>
      <rPr>
        <sz val="11"/>
        <rFont val="Calibri"/>
        <family val="2"/>
      </rPr>
      <t>6'-0"W X 6'-0"H WINDOW
FRAME COLOR: BLACK EXTERIOR, WHITE INTERIOR</t>
    </r>
  </si>
  <si>
    <r>
      <rPr>
        <b/>
        <sz val="11"/>
        <rFont val="Calibri"/>
        <family val="2"/>
      </rPr>
      <t xml:space="preserve">B: </t>
    </r>
    <r>
      <rPr>
        <sz val="11"/>
        <rFont val="Calibri"/>
        <family val="2"/>
      </rPr>
      <t>3'-0"W X 6'-0"H WINDOW
FRAME COLOR: BLACK EXTERIOR, WHITE INTERIOR</t>
    </r>
  </si>
  <si>
    <t xml:space="preserve">                                                                                                                                </t>
  </si>
  <si>
    <t>STOREFRONT</t>
  </si>
  <si>
    <t>16'-11" x 7'-3" STOREFRONT</t>
  </si>
  <si>
    <t>17'-10" X 9'-0" STOREFRONT</t>
  </si>
  <si>
    <t>HEADERS</t>
  </si>
  <si>
    <t xml:space="preserve">NEW 7-1/4" HEADERS AT DOORS
</t>
  </si>
  <si>
    <t xml:space="preserve">NEW 6-1/2" HEADERS AT DOORS
</t>
  </si>
  <si>
    <t xml:space="preserve">NEW 4-3/4" HEADERS AT DOORS
</t>
  </si>
  <si>
    <t xml:space="preserve">NEW HEADERS AT WINDOWS
</t>
  </si>
  <si>
    <t>JAMBS</t>
  </si>
  <si>
    <t xml:space="preserve">NEW JAMBS AT WINDOWS
</t>
  </si>
  <si>
    <t>SILL</t>
  </si>
  <si>
    <t xml:space="preserve">NEW SILL AT WINDOWS
</t>
  </si>
  <si>
    <t>ROOF VENTS</t>
  </si>
  <si>
    <t>6X6 ROOF VENTS</t>
  </si>
  <si>
    <t>DIV. 09</t>
  </si>
  <si>
    <t>FINISHES</t>
  </si>
  <si>
    <t>EXTERIOR FINISHES</t>
  </si>
  <si>
    <t>NICHIHA FIBER CEMENT BOARD &amp; BATTEN PANELS
COLOR: GREY</t>
  </si>
  <si>
    <t>CEMENT BOARD</t>
  </si>
  <si>
    <t>FIBER CEMENT BOARD &amp; BATTEN 
COLOR: GREY</t>
  </si>
  <si>
    <t>CORNICE/BAND</t>
  </si>
  <si>
    <t>FIBER GLASS CORNICE</t>
  </si>
  <si>
    <t>CAST STONE CORNICE</t>
  </si>
  <si>
    <t>A20</t>
  </si>
  <si>
    <t xml:space="preserve">CAST STONE BAND </t>
  </si>
  <si>
    <t>BRICK FINISH</t>
  </si>
  <si>
    <t>BRICKS COLOUR RED</t>
  </si>
  <si>
    <t>BRICKS COLOUR GREY</t>
  </si>
  <si>
    <t>INTERIOR FINISHES</t>
  </si>
  <si>
    <t>STUCCO</t>
  </si>
  <si>
    <t>5/8" STUCCO FINISH AT INTERIOR SIDE OF PARKING</t>
  </si>
  <si>
    <t>FLOORING</t>
  </si>
  <si>
    <t>A100-A102, A511</t>
  </si>
  <si>
    <t>EXPOSED CONCRETE W/SEALER</t>
  </si>
  <si>
    <t>LUXURY VINYL TILE</t>
  </si>
  <si>
    <t>TILE OVER DITRA XL MAT</t>
  </si>
  <si>
    <t>PORCELAIN PAVERS</t>
  </si>
  <si>
    <t>CARPET FLOOR</t>
  </si>
  <si>
    <t>FLOOR TRANSITION</t>
  </si>
  <si>
    <t>LVT TO CARPET FLOOR TRANSITION</t>
  </si>
  <si>
    <t>LVT TO EXPOSED CONCRETE FLOOR TRANSITION</t>
  </si>
  <si>
    <t>PAVERS TO LVT FLOOR TRANSITION</t>
  </si>
  <si>
    <t>TILE TO CARPET FLOOR TRANSITION</t>
  </si>
  <si>
    <t>WALL BASE</t>
  </si>
  <si>
    <t xml:space="preserve">4" COVE TILE BASE </t>
  </si>
  <si>
    <t>5" PAINT GRADE WOOD BASE</t>
  </si>
  <si>
    <t>WALL FINISHES</t>
  </si>
  <si>
    <t>CERAMIC TILE AT BATH WALLS</t>
  </si>
  <si>
    <t>LATEX PAINT AT WALLS</t>
  </si>
  <si>
    <t>CEILING MATERIAL</t>
  </si>
  <si>
    <t>SUSPENDED RIGID 'X' MATERIAL AT CEILING</t>
  </si>
  <si>
    <t>CEILING FINISHES</t>
  </si>
  <si>
    <t>ONE COAT OF PRIMER &amp; TWO COATS OF PAINT AT CEILING</t>
  </si>
  <si>
    <t>SUSPENDED CEILING TILES</t>
  </si>
  <si>
    <t>GYPSUM BOARD</t>
  </si>
  <si>
    <t>5/8" FIRE RATED GYPSUM BOARD TAPE &amp; SPACKLE AT WALLS</t>
  </si>
  <si>
    <t>NO. OF SHEETS</t>
  </si>
  <si>
    <t>ADHESIVE SEALANT (28 OZ)</t>
  </si>
  <si>
    <t>TUBES</t>
  </si>
  <si>
    <t>TAPPING</t>
  </si>
  <si>
    <t>ROLLS</t>
  </si>
  <si>
    <t>5/8" FIRE RATED MOISTURE RESISTANT GYPSUM BOARD TAPE &amp; SPACKLE AT WALLS</t>
  </si>
  <si>
    <t>A101-A102, A511</t>
  </si>
  <si>
    <t>5/8"  GYPSUM BOARD AT CEILING</t>
  </si>
  <si>
    <t>5/8" SUSPENDED GYPSUM BOARD AT CEILING</t>
  </si>
  <si>
    <t>DIV. 10</t>
  </si>
  <si>
    <t>SPECIALITIES</t>
  </si>
  <si>
    <t>TOILET ACCESSORIES</t>
  </si>
  <si>
    <t>A100,A102</t>
  </si>
  <si>
    <t>MIRRORS</t>
  </si>
  <si>
    <t>36'' L HORIZONTAL GRAB BAR</t>
  </si>
  <si>
    <t>42'' L VERTICAL GRAB BAR</t>
  </si>
  <si>
    <t>SOAP DISPENSER</t>
  </si>
  <si>
    <t>TISSUE DISPENSER</t>
  </si>
  <si>
    <t>ROBE HOOK</t>
  </si>
  <si>
    <t>CURTAIN ROD</t>
  </si>
  <si>
    <t>42'' L TUB GRAB BARS</t>
  </si>
  <si>
    <t>24'' TOWEL BAR</t>
  </si>
  <si>
    <t>DIV. 11</t>
  </si>
  <si>
    <t>EQUIPMENTS</t>
  </si>
  <si>
    <t>APPLIANCES</t>
  </si>
  <si>
    <t>P220</t>
  </si>
  <si>
    <t>DISHWASHER</t>
  </si>
  <si>
    <t>CLOTHES WASHER</t>
  </si>
  <si>
    <t>COOKING RANGE</t>
  </si>
  <si>
    <t>30'' REFRIGERATOR</t>
  </si>
  <si>
    <t>ALLOWANCE FOR ELEVATOR 1 (1-5 FLOOR)</t>
  </si>
  <si>
    <t>DIV. 22</t>
  </si>
  <si>
    <t>PLUMBING</t>
  </si>
  <si>
    <t>PLUMBING FIXTURES</t>
  </si>
  <si>
    <t>AMERICAN STANDARD WATER CLOSET</t>
  </si>
  <si>
    <t>BATHTUB</t>
  </si>
  <si>
    <t>LAVATORY</t>
  </si>
  <si>
    <t>KITCHEN SINK</t>
  </si>
  <si>
    <t>P300,P100,P120</t>
  </si>
  <si>
    <r>
      <t>SP-1:</t>
    </r>
    <r>
      <rPr>
        <sz val="11"/>
        <rFont val="Calibri"/>
        <family val="2"/>
        <scheme val="minor"/>
      </rPr>
      <t xml:space="preserve"> SUMP PUMP
FLOW RATE: 2GPM
MODEL: EPD-5MS1
SIZE: 9'' D X 18'' H
MFR: EBARA</t>
    </r>
  </si>
  <si>
    <r>
      <t xml:space="preserve">RCP-1: </t>
    </r>
    <r>
      <rPr>
        <sz val="11"/>
        <rFont val="Calibri"/>
        <family val="2"/>
        <scheme val="minor"/>
      </rPr>
      <t>RE-CIRCULATION PUMP
FLOW RATE: 50 GPM
MODEL: 009-SF5
SIZE: 7''X5''X7''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MFR: TACO</t>
    </r>
  </si>
  <si>
    <r>
      <t>DBP-1:</t>
    </r>
    <r>
      <rPr>
        <sz val="11"/>
        <rFont val="Calibri"/>
        <family val="2"/>
        <scheme val="minor"/>
      </rPr>
      <t xml:space="preserve"> BOOSTER PUMPS
FLOW RATE: 66 GPM
MODEL: PRODIGY-DUPLEX
SIZE: 30''X24''X10''
MFR: QUANTUMFLO</t>
    </r>
  </si>
  <si>
    <t>EXPANSION TANK</t>
  </si>
  <si>
    <t>WATER HEATER</t>
  </si>
  <si>
    <t>P220,A101,102</t>
  </si>
  <si>
    <t>HOT WATER HEATER
NOTE: SPECS NOT DEFINED</t>
  </si>
  <si>
    <t>PIPE WORK</t>
  </si>
  <si>
    <t>SANITARY PIPING</t>
  </si>
  <si>
    <r>
      <t xml:space="preserve">ALLOWANCE PROVIDED FOR SANITARY PIPING
</t>
    </r>
    <r>
      <rPr>
        <b/>
        <sz val="11"/>
        <rFont val="Calibri"/>
        <family val="2"/>
        <scheme val="minor"/>
      </rPr>
      <t>AREA: 35,000 SF</t>
    </r>
  </si>
  <si>
    <t>STORM PIPING</t>
  </si>
  <si>
    <r>
      <t xml:space="preserve">ALLOWANCE PROVIDED FOR STROM WATER PIPING
</t>
    </r>
    <r>
      <rPr>
        <b/>
        <sz val="11"/>
        <rFont val="Calibri"/>
        <family val="2"/>
        <scheme val="minor"/>
      </rPr>
      <t>AREA: 35,000 SF</t>
    </r>
  </si>
  <si>
    <t>GAS PIPING</t>
  </si>
  <si>
    <r>
      <t xml:space="preserve">ALLOWANCE PROVIDED FOR GAS PIPING
</t>
    </r>
    <r>
      <rPr>
        <b/>
        <sz val="11"/>
        <rFont val="Calibri"/>
        <family val="2"/>
        <scheme val="minor"/>
      </rPr>
      <t>AREA: 35,000 SF</t>
    </r>
  </si>
  <si>
    <t>WATER SUPPLY PIPING</t>
  </si>
  <si>
    <r>
      <t xml:space="preserve">ALLOWANCE PROVIDED FOR SUPPLY PIPING
</t>
    </r>
    <r>
      <rPr>
        <b/>
        <sz val="11"/>
        <rFont val="Calibri"/>
        <family val="2"/>
        <scheme val="minor"/>
      </rPr>
      <t>AREA: 35,000 SF</t>
    </r>
  </si>
  <si>
    <t>DRAINS, DEVICES AND FITTINGS</t>
  </si>
  <si>
    <r>
      <t xml:space="preserve">ALLOWANCE PROVIDED FOR DRAINS, DEVICES AND FITTINGS
</t>
    </r>
    <r>
      <rPr>
        <b/>
        <sz val="11"/>
        <rFont val="Calibri"/>
        <family val="2"/>
        <scheme val="minor"/>
      </rPr>
      <t>AREA: 35,000 SF</t>
    </r>
  </si>
  <si>
    <t>VALVES</t>
  </si>
  <si>
    <r>
      <t xml:space="preserve">ALLOWANCE PROVIDED FOR VALVES
</t>
    </r>
    <r>
      <rPr>
        <b/>
        <sz val="11"/>
        <rFont val="Calibri"/>
        <family val="2"/>
        <scheme val="minor"/>
      </rPr>
      <t>AREA: 35,000 SF</t>
    </r>
  </si>
  <si>
    <t>DIV. 23</t>
  </si>
  <si>
    <t>HEATING VENTILATION AND AIR CONDITIONING</t>
  </si>
  <si>
    <t>M100-M303</t>
  </si>
  <si>
    <t>ACU-1: AC CONDENSER AND COIL
MFR: GOODMAN
MODEL: 
           CONDENSOR:CGSX130241
           COIL: CAPF1824A6 OR EQUAL
           AHRI# 9979614</t>
  </si>
  <si>
    <t>F-1: UPFLOW HORIZONTAL FURNACE
MFR: GOODMAN
MODEL: GMEC960303ANA</t>
  </si>
  <si>
    <t>EF-1: EXHAUST FAN
MFR: PANASONIC
MODEL: WHISPER GREEN FV-11-15VK1</t>
  </si>
  <si>
    <t>EF-2: SWITCH EXHAUST FAN
MFR: PANASONIC
MODEL: WHISPER GREEN FV-05-11VK2</t>
  </si>
  <si>
    <t>EF-3: CEILING MOUNTED EXHAUST FAN
MFR: BROAN
MODEL: 673</t>
  </si>
  <si>
    <t>EF-4: CEILING MOUNTED EXHAUST FAN
MFR: BROAN
MODEL: L100</t>
  </si>
  <si>
    <t>SF-1: DIRECT DRIVE CENTRIFUGAL INLINE FAN
MFR: GREENHECK
MODEL: SQ-60-VG</t>
  </si>
  <si>
    <t>MSC-1: MULTIPLE SPLIT SYSTEM FLEX MULTI INVERTER HEAT PUMP
MFR: AB
MODEL: AB82008</t>
  </si>
  <si>
    <t>MSW-1: MULTIPLE SPLIT SYSTEM WALL UNIT
MFR: DAIKIN
MODEL: FXAQ07PVJU</t>
  </si>
  <si>
    <t>MSW-2: MULTIPLE SPLIT SYSTEM WALL UNIT
MFR: DAIKIN
MODEL: FXHQ12MVJU</t>
  </si>
  <si>
    <r>
      <t>MSW-3:</t>
    </r>
    <r>
      <rPr>
        <b/>
        <sz val="11"/>
        <rFont val="Calibri"/>
        <family val="2"/>
      </rPr>
      <t xml:space="preserve">
NOTE: SPECS NOT PROVIDED</t>
    </r>
  </si>
  <si>
    <r>
      <t>MSW-4:</t>
    </r>
    <r>
      <rPr>
        <b/>
        <sz val="11"/>
        <rFont val="Calibri"/>
        <family val="2"/>
      </rPr>
      <t xml:space="preserve">
NOTE: SPECS NOT PROVIDED</t>
    </r>
  </si>
  <si>
    <r>
      <t>MSW-5:</t>
    </r>
    <r>
      <rPr>
        <b/>
        <sz val="11"/>
        <rFont val="Calibri"/>
        <family val="2"/>
      </rPr>
      <t xml:space="preserve">
NOTE: SPECS NOT PROVIDED</t>
    </r>
  </si>
  <si>
    <r>
      <t>MSW-6:</t>
    </r>
    <r>
      <rPr>
        <b/>
        <sz val="11"/>
        <rFont val="Calibri"/>
        <family val="2"/>
      </rPr>
      <t xml:space="preserve">
NOTE: SPECS NOT PROVIDED</t>
    </r>
  </si>
  <si>
    <t>DUCT WORKS</t>
  </si>
  <si>
    <t>SUPPLY DUCT</t>
  </si>
  <si>
    <t>6" DIA FLEXIBLE DUCT</t>
  </si>
  <si>
    <t>8" DIA FLEXIBLE DUCT</t>
  </si>
  <si>
    <t>6X8 SUPPLY DUCT</t>
  </si>
  <si>
    <t>8X8 SUPPLY DUCT</t>
  </si>
  <si>
    <t>6" DIA RIGID FRESH AIR INTAKE DUCT</t>
  </si>
  <si>
    <t>8" DIA RIGID FRESH AIR INTAKE DUCT</t>
  </si>
  <si>
    <t>8X10 SUPPLY DUCT</t>
  </si>
  <si>
    <t>10X10 SUPPLY DUCT</t>
  </si>
  <si>
    <t>12X12 SUPPLY DUCT</t>
  </si>
  <si>
    <t>RETURN DUCT</t>
  </si>
  <si>
    <t>10X10 RETURN DUCT W/ 16X24 WRAG</t>
  </si>
  <si>
    <t>12X10 RETURN DUCT W/ 16X24 WRAG</t>
  </si>
  <si>
    <t>12X12 RETURN DUCT W/ 16X24 WRAG</t>
  </si>
  <si>
    <t>EXHAUST DUCT</t>
  </si>
  <si>
    <t>4" DIA EXHAUST DUCT</t>
  </si>
  <si>
    <t>24X9 EXHAUST DUCT</t>
  </si>
  <si>
    <t>24X16 EXHAUST DUCT</t>
  </si>
  <si>
    <t>24X24 EXHAUST DUCT</t>
  </si>
  <si>
    <t>DIFFUSERS</t>
  </si>
  <si>
    <t>8X8 SUPPLY REGISTER</t>
  </si>
  <si>
    <t>12x12 SUPPLY DIFFUSER</t>
  </si>
  <si>
    <t>12x12 RETURN DIFFUSER</t>
  </si>
  <si>
    <t>24x24 RETURN DIFFUSER</t>
  </si>
  <si>
    <t>12X12 CR_x000D_
CFM: 448 CFM</t>
  </si>
  <si>
    <t>14X8 CR_x000D_
CFM: 448 CFM</t>
  </si>
  <si>
    <t>GRILLS</t>
  </si>
  <si>
    <t>8X8 EXHAUST GRILL</t>
  </si>
  <si>
    <t>8X8 TRANSFER GRILL</t>
  </si>
  <si>
    <t>8X16 EXHAUST GRILL</t>
  </si>
  <si>
    <t>MISC.</t>
  </si>
  <si>
    <r>
      <t xml:space="preserve">8X8 CRAG
</t>
    </r>
    <r>
      <rPr>
        <b/>
        <sz val="11"/>
        <rFont val="Calibri"/>
        <family val="2"/>
      </rPr>
      <t>NOTE: SPECS NOTE DEFINED</t>
    </r>
  </si>
  <si>
    <t>M100</t>
  </si>
  <si>
    <t>48X48 MECHANICALLY ACTUATED LOUVER</t>
  </si>
  <si>
    <r>
      <t>SL-1: SUPPLY DIFFUSER
N</t>
    </r>
    <r>
      <rPr>
        <b/>
        <sz val="11"/>
        <rFont val="Calibri"/>
        <family val="2"/>
      </rPr>
      <t>OTE: SPECS NOT DEFINED</t>
    </r>
  </si>
  <si>
    <r>
      <t xml:space="preserve">ALLOWANCE PROVIDED FOR MECHANICAL EQUIPMENT &amp; MISC. ITEMS
</t>
    </r>
    <r>
      <rPr>
        <b/>
        <sz val="11"/>
        <rFont val="Calibri"/>
        <family val="2"/>
        <scheme val="minor"/>
      </rPr>
      <t>AREA: 31,000 SF</t>
    </r>
  </si>
  <si>
    <t>DIV. 26</t>
  </si>
  <si>
    <t>ELECTRICAL</t>
  </si>
  <si>
    <r>
      <t xml:space="preserve">ALLOWANCE PROVIDED FOR ELECTRICAL WIRING, CONDUITS ETC.
</t>
    </r>
    <r>
      <rPr>
        <b/>
        <sz val="11"/>
        <rFont val="Calibri"/>
        <family val="2"/>
        <scheme val="minor"/>
      </rPr>
      <t>AREA: 31,000 SF</t>
    </r>
  </si>
  <si>
    <t>E100,E101</t>
  </si>
  <si>
    <t>COMMON UTILITY ROOM OVERHEAD 
LIGHT FIXTURE</t>
  </si>
  <si>
    <t>COMMON STAIR OVERHEAD LIGHT FIXTURE</t>
  </si>
  <si>
    <t>CEILING MOUNTED LIGHT</t>
  </si>
  <si>
    <t>COMMON EXTERIOR BOLLARD LIGHT FIXTURE</t>
  </si>
  <si>
    <t>COMMON CORRIDOR CEILING MOUNTED 
LIGHT FIXTURE</t>
  </si>
  <si>
    <t>COMMON EXTERIOR WALL SCONCE LIGHT FIXTURE</t>
  </si>
  <si>
    <t>UNIT EXTERIOR WALL SCONCE LIGHT FIXTURE</t>
  </si>
  <si>
    <t>CORRIDOR/LIVING/DINING/CEILING MOUNTED
LIGHT FIXTURE</t>
  </si>
  <si>
    <t>BEDROOM CEILING MOUNTED LIGHT FIXTURE</t>
  </si>
  <si>
    <t>BATHROOM CEILING MOUNTED LIGHT FIXTURE</t>
  </si>
  <si>
    <t>BATHROOM WALL MOUNTED LIGHT FIXTURE</t>
  </si>
  <si>
    <t>KITCHEN CEILING MOUNTED LIGHT FIXTURE</t>
  </si>
  <si>
    <t>KITCHEN PENDANT LIGHT FIXTURE</t>
  </si>
  <si>
    <t>WALK-IN CLOSET WALL MOUNTED LIGHT FIXTURE</t>
  </si>
  <si>
    <t>MECHANICAL/LAUNDRY ROOM WALL MOUNTED
LIGHT FIXTURE</t>
  </si>
  <si>
    <t>SWITCHES</t>
  </si>
  <si>
    <t>SINGLE POLE SWITCH</t>
  </si>
  <si>
    <t>THREE WAY SWITCH</t>
  </si>
  <si>
    <t>SENSOR</t>
  </si>
  <si>
    <t>RECEPTACLE</t>
  </si>
  <si>
    <t>E110,E111</t>
  </si>
  <si>
    <t>NEW DUPLEX RECEPTACLE</t>
  </si>
  <si>
    <t>DUPLEX RECEPTACLE AT PUBLIC SPACES ,
WIRE TO KEYED SWITCH</t>
  </si>
  <si>
    <t>NEW GROUND FAULT INTERRUPTER RECEPTACLE</t>
  </si>
  <si>
    <t>NEW WATER GROUND PROOF FAULT  INTERRUPTER
RECEPTACLE</t>
  </si>
  <si>
    <t>NEW MICROWAVE RECEPTACLE</t>
  </si>
  <si>
    <t>THREE POLE RECEPTACLE</t>
  </si>
  <si>
    <t>PANELS</t>
  </si>
  <si>
    <t>ELECTRICAL PANEL</t>
  </si>
  <si>
    <t>HP-1 , 60A , 120/208V, 1PHASE</t>
  </si>
  <si>
    <t>HP-1A , 60A , 120/208V, 1PHASE</t>
  </si>
  <si>
    <t>HP-2A , 60A , 120/208V, 1PHASE</t>
  </si>
  <si>
    <t>HP-3A , 60A , 120/208V, 1PHASE</t>
  </si>
  <si>
    <t>HP-5A , 60A , 120/208V, 1PHASE</t>
  </si>
  <si>
    <t>EM-1A , 60A , 120/208V, 1PHASE</t>
  </si>
  <si>
    <t>EM-2A , 60A , 120/208V, 1PHASE</t>
  </si>
  <si>
    <t>EM-3A , 60A , 120/208V, 1PHASE</t>
  </si>
  <si>
    <t>EM-5A , 60A , 120/208V, 1PHASE</t>
  </si>
  <si>
    <t>MISC</t>
  </si>
  <si>
    <t>THERMOSTAT</t>
  </si>
  <si>
    <t>TELECPHONE JACK</t>
  </si>
  <si>
    <t>CABLE/TELEVISION</t>
  </si>
  <si>
    <t>CABLE TV/FIOS TERMINAL CABINET</t>
  </si>
  <si>
    <t>RECIRCULATING RANGE HOOD</t>
  </si>
  <si>
    <t>BASEBOARDS</t>
  </si>
  <si>
    <t>M301</t>
  </si>
  <si>
    <t>EB-1: ELECTRICAL BASEBOARD
MFR: AB
MODEL: AB82008</t>
  </si>
  <si>
    <t>EB-2: ELECTRICAL BASEBOARD
MFR: AB
MODEL: AB61501</t>
  </si>
  <si>
    <t>EB-3: ELECTRICAL BASEBOARD
MFR: AB
MODEL: AB0758</t>
  </si>
  <si>
    <t>GENERATOR</t>
  </si>
  <si>
    <t>NATURAL GAS GENERATOR, MFG: GENRAC, MODEL: SG 060, 60KW, 3-PHASE; 923 CFH GAS CONSUMPTION RATE; 1" GAS CONNECTION</t>
  </si>
  <si>
    <t>DIV. 31</t>
  </si>
  <si>
    <t>EARTHWORK</t>
  </si>
  <si>
    <t>EXCAVATION</t>
  </si>
  <si>
    <t>TOTAL EXCAVATION</t>
  </si>
  <si>
    <t>EXCAVATION FOR CONTINUOUS FOOTINGS</t>
  </si>
  <si>
    <t>EXCAVATION FOR SPREAD FOOTINGS</t>
  </si>
  <si>
    <t>EXCAVATION FOR MATT FOOTINGS</t>
  </si>
  <si>
    <t xml:space="preserve">EXCAVATION FOR BASEMENT </t>
  </si>
  <si>
    <t>EXCAVATION FOR ELEVATOR PIT</t>
  </si>
  <si>
    <t>BACKFILL</t>
  </si>
  <si>
    <t>TOTAL BACKFILL EXCAVATION</t>
  </si>
  <si>
    <t>BACKFILL FOR CONTINUOUS FOOTINGS</t>
  </si>
  <si>
    <t>BACKFILL FOR SPREAD FOOTINGS</t>
  </si>
  <si>
    <t>BACKFILL FOR MATT FOOTINGS</t>
  </si>
  <si>
    <t xml:space="preserve">BACKFILLFOR BASEMENT </t>
  </si>
  <si>
    <t>BACKFILL FOR ELEVATOR PIT</t>
  </si>
  <si>
    <t>C110 - C240</t>
  </si>
  <si>
    <t xml:space="preserve">6"THK. COMPACTED SOURSES  W/ 3/4" X 10"THK. BROKEN STONE BEDDING PROVIDED FOR UTILITIES </t>
  </si>
  <si>
    <t xml:space="preserve">TRENCHING </t>
  </si>
  <si>
    <t xml:space="preserve">TRENCHING PROVIDED FOR SITE </t>
  </si>
  <si>
    <t>DIV. 32</t>
  </si>
  <si>
    <t>EXTERIOR IMPROVMENTS</t>
  </si>
  <si>
    <t>LANDSCAPE</t>
  </si>
  <si>
    <t>TREE</t>
  </si>
  <si>
    <r>
      <rPr>
        <b/>
        <sz val="11"/>
        <rFont val="Calibri"/>
        <family val="2"/>
        <scheme val="minor"/>
      </rPr>
      <t xml:space="preserve">GB: </t>
    </r>
    <r>
      <rPr>
        <sz val="11"/>
        <rFont val="Calibri"/>
        <family val="2"/>
        <scheme val="minor"/>
      </rPr>
      <t xml:space="preserve">18' NEW TREE _x000D_
BOTAINICAL NAME: ACER PLAMATUM 'BLOODGOOD' </t>
    </r>
  </si>
  <si>
    <t>SHRUBS</t>
  </si>
  <si>
    <r>
      <rPr>
        <b/>
        <sz val="11"/>
        <rFont val="Calibri"/>
        <family val="2"/>
        <scheme val="minor"/>
      </rPr>
      <t>IG:</t>
    </r>
    <r>
      <rPr>
        <sz val="11"/>
        <rFont val="Calibri"/>
        <family val="2"/>
        <scheme val="minor"/>
      </rPr>
      <t xml:space="preserve"> 4'H INKBERRY SHRUBS _x000D_
BOTAINICAL NAME: LLEX GLABRA</t>
    </r>
  </si>
  <si>
    <t>GROUND COVERS</t>
  </si>
  <si>
    <r>
      <rPr>
        <b/>
        <sz val="11"/>
        <rFont val="Calibri"/>
        <family val="2"/>
        <scheme val="minor"/>
      </rPr>
      <t xml:space="preserve">JH: </t>
    </r>
    <r>
      <rPr>
        <sz val="11"/>
        <rFont val="Calibri"/>
        <family val="2"/>
        <scheme val="minor"/>
      </rPr>
      <t xml:space="preserve">6"BLUE RUG JUNIPER GROUND COVER  _x000D_
BOTAINICAL NAME: JUNIPERUS HORIZONTALIS 'WILTONII' </t>
    </r>
  </si>
  <si>
    <r>
      <rPr>
        <b/>
        <sz val="11"/>
        <rFont val="Calibri"/>
        <family val="2"/>
        <scheme val="minor"/>
      </rPr>
      <t>LS:</t>
    </r>
    <r>
      <rPr>
        <sz val="11"/>
        <rFont val="Calibri"/>
        <family val="2"/>
        <scheme val="minor"/>
      </rPr>
      <t xml:space="preserve"> 2'H LILLY TURF _x000D_GROUND COVER 
BOTAINICAL NAME: LIRIOPE SPICATA </t>
    </r>
  </si>
  <si>
    <t>MIXED PERENNIALS</t>
  </si>
  <si>
    <r>
      <rPr>
        <b/>
        <sz val="11"/>
        <rFont val="Calibri"/>
        <family val="2"/>
        <scheme val="minor"/>
      </rPr>
      <t>HR:</t>
    </r>
    <r>
      <rPr>
        <sz val="11"/>
        <rFont val="Calibri"/>
        <family val="2"/>
        <scheme val="minor"/>
      </rPr>
      <t xml:space="preserve"> 3'H RED DAYLILLY MIXED PERENNIALS _x000D_
BOTAINICAL NAME: HEMEROCALLUS 'RED RUM'</t>
    </r>
  </si>
  <si>
    <t>MULCHING</t>
  </si>
  <si>
    <r>
      <t xml:space="preserve">3"THK. RED MULCH W/ 8"THK. TOPSOIL TO ALL PLANTING BEDS
</t>
    </r>
    <r>
      <rPr>
        <b/>
        <sz val="11"/>
        <rFont val="Calibri"/>
        <family val="2"/>
        <scheme val="minor"/>
      </rPr>
      <t>NOTE: PROVIDE 3"THK. TRIPLE SHREDDED HARDWOOD BLACK MULCH, FREE FROM ALL CONTAMINANTS &amp; DEBRIS.</t>
    </r>
  </si>
  <si>
    <t xml:space="preserve">TREE GRATE FRAME </t>
  </si>
  <si>
    <t xml:space="preserve">BLACK POWER COATED TREE GRATE FRAME W/ 16 SHEAR STUDS 
GRATE MODEL NO.: T94601
FRATE FRAME MODEL: TF60
MFR.: WABASH VALLEY/ BOYCE ASSOCIATES 
W/ 4"THK. BROWN PEA GRAVEL UNDER TREE GRATE &amp; CONCRETE CURB @ PERIMETER </t>
  </si>
  <si>
    <t>SOIL EROSION &amp; SEDIMENT CONTROL</t>
  </si>
  <si>
    <t>CRUSHEDSTONE CLEANING BED</t>
  </si>
  <si>
    <t>C-140</t>
  </si>
  <si>
    <t xml:space="preserve">2 1/2"THK. CRUSHED STONE CLEANING BED </t>
  </si>
  <si>
    <t>FENCE</t>
  </si>
  <si>
    <t>TEMPORARY CONSTRUCTION FILTER FENCE W/ 2" X 2" POSTS @ 8'-0" O.C.</t>
  </si>
  <si>
    <t>STOCKPILE</t>
  </si>
  <si>
    <t>TEMPORARY STOCKPILE/ PUBLIC R.O.W &amp; TRANSITION</t>
  </si>
  <si>
    <t>SITE PREPARATION</t>
  </si>
  <si>
    <t xml:space="preserve">CURB </t>
  </si>
  <si>
    <t>C-120</t>
  </si>
  <si>
    <t xml:space="preserve">9"THK. X 20"D CONCRETE CURB </t>
  </si>
  <si>
    <t>DEPRESSED CURB AND CONCRETE APRON</t>
  </si>
  <si>
    <t>SIDEWALK</t>
  </si>
  <si>
    <t xml:space="preserve">4"THK. CONCRETE SIDEWALK W/ 6" X 6" W1.4X W1.4 W.W.F. REINFORCEMENT </t>
  </si>
  <si>
    <t>4"THK. "TYPE-5, CLASS A" GRANULAR SUBBASE W/ COMPACTED SUBGRADE</t>
  </si>
  <si>
    <t>1/2"THK. NON-EXTRUDABLE, FIBROUS BITUMASTIC MATERIAL</t>
  </si>
  <si>
    <t>6'-0"H VINYL FENCE</t>
  </si>
  <si>
    <t xml:space="preserve">STORM AVENUE </t>
  </si>
  <si>
    <t>MILLED AND PAVED STORM AVENUE</t>
  </si>
  <si>
    <t>DIV. 33</t>
  </si>
  <si>
    <t>UTILITIES</t>
  </si>
  <si>
    <t xml:space="preserve">UTILITY LINES </t>
  </si>
  <si>
    <t>C-130</t>
  </si>
  <si>
    <t xml:space="preserve">GAS METER LINE </t>
  </si>
  <si>
    <t xml:space="preserve">8"DIA. WATER MAIN </t>
  </si>
  <si>
    <t xml:space="preserve">24"DIA.HDPE SOLID PIPE SYSTEM </t>
  </si>
  <si>
    <t xml:space="preserve">24"DIA.HDPF SOLID PIPE </t>
  </si>
  <si>
    <t>6"DIA. HDPE PIPE</t>
  </si>
  <si>
    <t>12" TRENCH DRAIN</t>
  </si>
  <si>
    <t>8"DIA. SDR PIPE</t>
  </si>
  <si>
    <t xml:space="preserve">35" X 25" OVAL SEWER MAIN </t>
  </si>
  <si>
    <t xml:space="preserve">6"DIA. PVC SANITARY SEWER LINE </t>
  </si>
  <si>
    <t xml:space="preserve">6"DIA. D.I.P. COMBINED DOM. SPRINKLER WATER LINE </t>
  </si>
  <si>
    <t xml:space="preserve">UNDERGROUND ELECTRIC SERVICE </t>
  </si>
  <si>
    <t>MANHOL/DRAINS/VALVES</t>
  </si>
  <si>
    <t>DRAINS W/ DRAINAGE GRATE</t>
  </si>
  <si>
    <t>DOGHOUSE MANHOLE</t>
  </si>
  <si>
    <t>GAS METER BANK (4 METER STACK)</t>
  </si>
  <si>
    <t>CONTROL OUTLET</t>
  </si>
  <si>
    <t xml:space="preserve">CURB VALVE </t>
  </si>
  <si>
    <t>TOTAL BID</t>
  </si>
  <si>
    <t>HT</t>
  </si>
  <si>
    <t>NET SF</t>
  </si>
  <si>
    <t>NET LF</t>
  </si>
  <si>
    <t>GYP- THK. TYPE</t>
  </si>
  <si>
    <t>GYP SIDES</t>
  </si>
  <si>
    <t>TOTAL GYP</t>
  </si>
  <si>
    <t>TYPE-1</t>
  </si>
  <si>
    <t>5/8" PAPERLESS</t>
  </si>
  <si>
    <t>TYPE-2</t>
  </si>
  <si>
    <t>TYPE-2A</t>
  </si>
  <si>
    <t>TYPE-5</t>
  </si>
  <si>
    <t>5/8" X TYPE</t>
  </si>
  <si>
    <t>DP01 DEMO (E) STAIR AND LANDING, PATCH AND REPAIRE ADJACENT WALL.</t>
  </si>
  <si>
    <t>DEMOLITION</t>
  </si>
  <si>
    <t>DP02 DEMO (E) WALL, PATCH AND REPAIR ADJACENT AREA.</t>
  </si>
  <si>
    <t>DP03 DEMO (E) WALL FOR NEW DOOR/ GATE OPENING.</t>
  </si>
  <si>
    <t>DP04 DEMO (E) WALL ABOVE (N) ADA PARKING STALL AREA TO RECEIVE (N) SLAB, PATCH AND REPAIR ADJACENT AREA.</t>
  </si>
  <si>
    <t>DP05 DEMO (E) CHAINLINK FENCE.</t>
  </si>
  <si>
    <t>DP06 DEMO (E) FLOOR SLAB FOR NEW PLUMBING TRENCH AND PIPES,
PATCH AND REPAIR ADJACENT AREA.</t>
  </si>
  <si>
    <t>DP07 DEMO (E) DOOR, INFILL OPENING, PATCH AND REPAIRE ADJACENT
WALL.</t>
  </si>
  <si>
    <t>DP08 DEMO (E) FLOOR SLAB.</t>
  </si>
  <si>
    <t>DP09 DEMO (E) ABOVE AND BELOW GRADE STRUCTURE AND FOUNDATION
ON SITE, SEE GENERAL NOTES FOR DETAILS.</t>
  </si>
  <si>
    <t>DP11 REMOVER (E) PARKING STRIP FOR RE-STRIPING.</t>
  </si>
  <si>
    <t>DP22 DEMO (E) PLASTER FENCE WALL AND GATE AT (E) TRANSFORMER.</t>
  </si>
  <si>
    <t>DP23 DEMO (E) TRANSFORER PAD AND FLOOR SLAB; SEE ELEC. AND ST.DWGS.</t>
  </si>
  <si>
    <t>DP24 DEMO (E) WOOD FENCE, TYP.</t>
  </si>
  <si>
    <t>DP25 DEMO (E) EXISTING CURB CUT, GUTTER AND AC PAVER. SEE CIVIL
DWGS.</t>
  </si>
  <si>
    <t>DP26 (E) CMU WALL TO REMAIN. REMOVE (E) WOOD FENCE (WHERE
OCCURS) AND PREPARE FOR EXTENSION OF (E) CMU WALL.</t>
  </si>
  <si>
    <t>SP02 REMOVE EXISTING CURB CUT, PATCH AND REPAIR TO MATCH ADJACENT.</t>
  </si>
  <si>
    <t>EL01 CUSTOM DECORATIVE STEEL SCREEN PANELS W/ VARYING DENSITY PATTERN, PAINTED FINISH - COLOR TBD, SEE SHEET A9.4 FOR MORE INFO.</t>
  </si>
  <si>
    <t>EL02 WHITE CORRUGATED METAL RAIN SCREEN, KYNAR FINISH,
PERFORATION/PATTERN TBD, SEE SHEET A9.5 FOR MORE INFO.</t>
  </si>
  <si>
    <t>EL03 VERTICAL STANDING SEAM METAL PANEL SYSTEM RHEINZINK OR
PAINTED FACTORY FINISH - COLOR TBD</t>
  </si>
  <si>
    <t>EL04 WINDOW WITH DECORATIVE METAL PANEL W/ FACTORY FINISH,
CONTRASTING COLOR TBD</t>
  </si>
  <si>
    <t>EL06 WINDOW SYSTEM W/ FACTORY APPLIED KYNAR FINISH, COLOR T.B.D. SEE SHEET A9.3 FOR MORE INFO.</t>
  </si>
  <si>
    <t>EL07 MECH. LOUVER INTERGRATED WITH (CURTAIN WALL) WINDOW SYSTEM W/ FACTORY APPLIED KYNAR FINISHE, COLOR TO MATCH WINODW FRAME.</t>
  </si>
  <si>
    <t>EL08 CANOPY WITIH METAL CLADDING PANEL WITH FACTORY APPLIED FINISH, COLOR: T.B.D. WITH INTERGRATED LIGHTING FIXTURES.</t>
  </si>
  <si>
    <t>EL09 CONCRETE PARAPET WALL WITH INTERGRATED LIGHTING FIXTURES WHERE OCCURS, SEE ELEC. DRAWING FOR MORE INFO.</t>
  </si>
  <si>
    <t>EL10 GREEN ROOF/ PLANTER, DRAINAGE AND IRRIGATION SYSTEM RAISED OVER WATERPROOFED CAST IN PLACE CONCRETE SLAB</t>
  </si>
  <si>
    <t>EL15 PAINTED HOLLOW METAL DOOR, COLOR: T.B.D. SEE SHEET A9.1 FOR MORE INFO.</t>
  </si>
  <si>
    <t>EL16 GREEN WALL/PUBLIC ART PROJECT</t>
  </si>
  <si>
    <t>EL17 CUSTOM DECORATIVE STEEL SCREEN PANELS, PAINTED FINISH - COLOR TBD</t>
  </si>
  <si>
    <t>EL18 ELEVATOR DOORS STAINLESS STEEL ELEVATOR DOORS AND FRAMES</t>
  </si>
  <si>
    <t>EL19 CAST IN PLACE CONCRETE STAIRS</t>
  </si>
  <si>
    <t>EL26 GREEN WALL WITH IRRIGATION SYSTEM AND SUBFRAME SYSTEM</t>
  </si>
  <si>
    <t>EL27 MECH. LOUVER W/ FACTORY APPLIED KYNAR FINISHE, COLOR: T.B.D.SEE A9.3 &amp; MECH. DRAWING FOR MORE INFO.</t>
  </si>
  <si>
    <t>EL31 OUTDOOR SEATING AREA WITH DECORATIVE METAL RAIL (FINISH: T.B.D.) AND PLANTER.</t>
  </si>
  <si>
    <t>EL32 SOUTH ALLEY CONTROL GATE WITH PANIC HARDWARE AND CLOSER.</t>
  </si>
  <si>
    <t>EL34 ACCESS PANEL.</t>
  </si>
  <si>
    <t>EL35 BACK LIT METAL BUILDING SIGNAGE.</t>
  </si>
  <si>
    <t>EP02 DECORATIVE ALUMINUM SCREEN WALL WITH FACTORY APPLIED FINISH. COLOR: T.B.D. SEE A9.4 FOR PAN EL SCHEDULE</t>
  </si>
  <si>
    <t>EP06 COMBINATION PIPE GUARDRAIL WITH 36" HIGH HANDRAIL. END OF HANDRAIL EXTENSIONRETURN TO GUARD</t>
  </si>
  <si>
    <t>EP07 GLASS GUARDRAIL</t>
  </si>
  <si>
    <t>EP09 36" HIGH PIPE HANDRAIL, WALLMOUNTED</t>
  </si>
  <si>
    <t>116 STORMS AVENUE, LOTS: 32.01</t>
  </si>
  <si>
    <t>SUBMISSION: 3/18/2020</t>
  </si>
  <si>
    <t>Hidden</t>
  </si>
  <si>
    <t>Client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</si>
</sst>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"/>
    <numFmt numFmtId="169" formatCode="_(&quot;$&quot;* #,##0_);_(&quot;$&quot;* \(#,##0\);_(&quot;$&quot;* &quot;-&quot;??_);_(@_)"/>
    <numFmt numFmtId="170" formatCode="_(&quot;$&quot;* #,##0.0_);_(&quot;$&quot;* \(#,##0.0\);_(&quot;$&quot;* &quot;-&quot;??_);_(@_)"/>
    <numFmt numFmtId="171" formatCode="0.0"/>
    <numFmt numFmtId="172" formatCode="_(* #,##0.0_);_(* \(#,##0.0\);_(* &quot;-&quot;_);_(@_)"/>
  </numFmts>
  <fonts count="39" x14ac:knownFonts="1">
    <font>
      <sz val="12"/>
      <name val="Arial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sz val="14"/>
      <color rgb="FF92D050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2"/>
      <color theme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</borders>
  <cellStyleXfs count="96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67" fontId="2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5" fillId="0" borderId="0"/>
    <xf numFmtId="0" fontId="24" fillId="0" borderId="0"/>
    <xf numFmtId="0" fontId="6" fillId="0" borderId="0"/>
    <xf numFmtId="0" fontId="25" fillId="0" borderId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6" fillId="0" borderId="0"/>
    <xf numFmtId="167" fontId="6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166" fontId="6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179">
    <xf numFmtId="0" fontId="0" fillId="0" borderId="0" xfId="0"/>
    <xf numFmtId="0" fontId="31" fillId="0" borderId="0" xfId="0" applyFont="1"/>
    <xf numFmtId="9" fontId="32" fillId="0" borderId="0" xfId="0" applyNumberFormat="1" applyFont="1" applyBorder="1" applyAlignment="1">
      <alignment vertical="center"/>
    </xf>
    <xf numFmtId="169" fontId="32" fillId="0" borderId="0" xfId="0" applyNumberFormat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wrapText="1"/>
    </xf>
    <xf numFmtId="165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2" fontId="33" fillId="0" borderId="0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30" fillId="24" borderId="14" xfId="0" applyFont="1" applyFill="1" applyBorder="1" applyAlignment="1">
      <alignment horizontal="center" vertical="center"/>
    </xf>
    <xf numFmtId="0" fontId="30" fillId="24" borderId="13" xfId="0" applyFont="1" applyFill="1" applyBorder="1" applyAlignment="1">
      <alignment horizontal="center" vertical="center"/>
    </xf>
    <xf numFmtId="0" fontId="30" fillId="24" borderId="13" xfId="0" applyFont="1" applyFill="1" applyBorder="1" applyAlignment="1">
      <alignment horizontal="center" vertical="center" wrapText="1"/>
    </xf>
    <xf numFmtId="0" fontId="30" fillId="24" borderId="15" xfId="0" applyFont="1" applyFill="1" applyBorder="1" applyAlignment="1">
      <alignment horizontal="center" vertical="center" wrapText="1"/>
    </xf>
    <xf numFmtId="0" fontId="30" fillId="24" borderId="16" xfId="0" applyFont="1" applyFill="1" applyBorder="1" applyAlignment="1">
      <alignment horizontal="center" vertical="center" wrapText="1"/>
    </xf>
    <xf numFmtId="0" fontId="30" fillId="24" borderId="15" xfId="0" applyFont="1" applyFill="1" applyBorder="1" applyAlignment="1">
      <alignment horizontal="center" vertical="center"/>
    </xf>
    <xf numFmtId="0" fontId="30" fillId="24" borderId="16" xfId="0" applyFont="1" applyFill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vertical="center" wrapText="1"/>
    </xf>
    <xf numFmtId="0" fontId="34" fillId="24" borderId="10" xfId="0" applyFont="1" applyFill="1" applyBorder="1" applyAlignment="1">
      <alignment horizontal="center" vertical="center"/>
    </xf>
    <xf numFmtId="0" fontId="35" fillId="24" borderId="10" xfId="0" applyFont="1" applyFill="1" applyBorder="1" applyAlignment="1">
      <alignment horizontal="center" vertical="center"/>
    </xf>
    <xf numFmtId="0" fontId="35" fillId="24" borderId="1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0" fontId="34" fillId="24" borderId="0" xfId="0" applyFont="1" applyFill="1" applyBorder="1" applyAlignment="1">
      <alignment vertical="center"/>
    </xf>
    <xf numFmtId="0" fontId="34" fillId="24" borderId="12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7" fillId="0" borderId="0" xfId="0" applyFont="1" applyFill="1" applyAlignment="1">
      <alignment vertical="center"/>
    </xf>
    <xf numFmtId="0" fontId="34" fillId="0" borderId="0" xfId="0" applyFont="1" applyFill="1" applyBorder="1" applyAlignment="1">
      <alignment horizontal="left" vertical="center" wrapText="1"/>
    </xf>
    <xf numFmtId="1" fontId="32" fillId="24" borderId="11" xfId="0" applyNumberFormat="1" applyFont="1" applyFill="1" applyBorder="1" applyAlignment="1">
      <alignment horizontal="center" vertical="center"/>
    </xf>
    <xf numFmtId="1" fontId="32" fillId="24" borderId="11" xfId="0" applyNumberFormat="1" applyFont="1" applyFill="1" applyBorder="1" applyAlignment="1">
      <alignment vertical="center" wrapText="1"/>
    </xf>
    <xf numFmtId="0" fontId="32" fillId="24" borderId="0" xfId="0" applyFont="1" applyFill="1" applyBorder="1" applyAlignment="1">
      <alignment vertical="center"/>
    </xf>
    <xf numFmtId="0" fontId="30" fillId="24" borderId="0" xfId="0" applyFont="1" applyFill="1" applyBorder="1" applyAlignment="1">
      <alignment horizontal="left" vertical="center" wrapText="1"/>
    </xf>
    <xf numFmtId="1" fontId="32" fillId="0" borderId="0" xfId="0" applyNumberFormat="1" applyFont="1" applyBorder="1" applyAlignment="1">
      <alignment vertical="center"/>
    </xf>
    <xf numFmtId="170" fontId="32" fillId="0" borderId="0" xfId="0" applyNumberFormat="1" applyFont="1" applyBorder="1" applyAlignment="1">
      <alignment vertical="center"/>
    </xf>
    <xf numFmtId="1" fontId="32" fillId="0" borderId="11" xfId="0" applyNumberFormat="1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left" vertical="center" wrapText="1"/>
    </xf>
    <xf numFmtId="9" fontId="32" fillId="0" borderId="0" xfId="0" applyNumberFormat="1" applyFont="1" applyFill="1" applyBorder="1" applyAlignment="1">
      <alignment vertical="center"/>
    </xf>
    <xf numFmtId="1" fontId="32" fillId="0" borderId="0" xfId="0" applyNumberFormat="1" applyFont="1" applyFill="1" applyBorder="1" applyAlignment="1">
      <alignment vertical="center"/>
    </xf>
    <xf numFmtId="170" fontId="32" fillId="0" borderId="0" xfId="0" applyNumberFormat="1" applyFont="1" applyFill="1" applyBorder="1" applyAlignment="1">
      <alignment vertical="center"/>
    </xf>
    <xf numFmtId="169" fontId="32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2" fillId="0" borderId="0" xfId="0" applyFont="1" applyFill="1" applyBorder="1" applyAlignment="1">
      <alignment horizontal="left" vertical="center" wrapText="1"/>
    </xf>
    <xf numFmtId="0" fontId="30" fillId="24" borderId="12" xfId="0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horizontal="center" vertical="center"/>
    </xf>
    <xf numFmtId="0" fontId="27" fillId="24" borderId="10" xfId="0" applyFont="1" applyFill="1" applyBorder="1" applyAlignment="1">
      <alignment vertical="center"/>
    </xf>
    <xf numFmtId="0" fontId="32" fillId="24" borderId="10" xfId="0" applyFont="1" applyFill="1" applyBorder="1" applyAlignment="1">
      <alignment vertical="center"/>
    </xf>
    <xf numFmtId="0" fontId="30" fillId="0" borderId="1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" fontId="32" fillId="24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0" fontId="32" fillId="0" borderId="0" xfId="0" applyFont="1" applyFill="1" applyBorder="1" applyAlignment="1">
      <alignment horizontal="justify" vertical="center" wrapText="1"/>
    </xf>
    <xf numFmtId="1" fontId="3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justify" vertical="center" wrapText="1"/>
    </xf>
    <xf numFmtId="0" fontId="3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166" fontId="0" fillId="0" borderId="0" xfId="0" applyNumberFormat="1"/>
    <xf numFmtId="0" fontId="2" fillId="24" borderId="1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right" vertical="center"/>
    </xf>
    <xf numFmtId="9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69" fontId="2" fillId="0" borderId="0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70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  <xf numFmtId="169" fontId="2" fillId="0" borderId="0" xfId="0" applyNumberFormat="1" applyFont="1" applyFill="1" applyBorder="1" applyAlignment="1">
      <alignment vertical="center"/>
    </xf>
    <xf numFmtId="0" fontId="2" fillId="24" borderId="0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vertical="center"/>
    </xf>
    <xf numFmtId="171" fontId="2" fillId="0" borderId="0" xfId="0" applyNumberFormat="1" applyFont="1" applyBorder="1" applyAlignment="1">
      <alignment vertical="center"/>
    </xf>
    <xf numFmtId="172" fontId="2" fillId="0" borderId="0" xfId="0" applyNumberFormat="1" applyFont="1" applyFill="1" applyBorder="1" applyAlignment="1">
      <alignment horizontal="right" vertical="center"/>
    </xf>
    <xf numFmtId="1" fontId="2" fillId="24" borderId="0" xfId="0" applyNumberFormat="1" applyFont="1" applyFill="1" applyBorder="1" applyAlignment="1">
      <alignment vertical="center" wrapText="1"/>
    </xf>
    <xf numFmtId="0" fontId="2" fillId="24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" fontId="2" fillId="24" borderId="11" xfId="0" applyNumberFormat="1" applyFont="1" applyFill="1" applyBorder="1" applyAlignment="1">
      <alignment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1" fontId="2" fillId="0" borderId="11" xfId="0" applyNumberFormat="1" applyFont="1" applyFill="1" applyBorder="1" applyAlignment="1">
      <alignment vertical="center"/>
    </xf>
    <xf numFmtId="1" fontId="32" fillId="0" borderId="11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1" fontId="32" fillId="0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8" fillId="0" borderId="17" xfId="0" applyFont="1" applyBorder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28" fillId="0" borderId="19" xfId="0" applyFont="1" applyBorder="1" applyAlignment="1">
      <alignment vertical="center"/>
    </xf>
    <xf numFmtId="0" fontId="29" fillId="0" borderId="21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14" fontId="31" fillId="0" borderId="0" xfId="0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1" fontId="32" fillId="0" borderId="23" xfId="0" applyNumberFormat="1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34" fillId="24" borderId="15" xfId="0" applyFont="1" applyFill="1" applyBorder="1" applyAlignment="1">
      <alignment horizontal="center" vertical="center"/>
    </xf>
    <xf numFmtId="169" fontId="34" fillId="24" borderId="16" xfId="0" applyNumberFormat="1" applyFont="1" applyFill="1" applyBorder="1" applyAlignment="1">
      <alignment vertical="center"/>
    </xf>
    <xf numFmtId="1" fontId="2" fillId="0" borderId="23" xfId="0" applyNumberFormat="1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1" fontId="2" fillId="0" borderId="21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1" fontId="2" fillId="0" borderId="25" xfId="0" applyNumberFormat="1" applyFont="1" applyFill="1" applyBorder="1" applyAlignment="1">
      <alignment horizontal="center" vertical="center"/>
    </xf>
    <xf numFmtId="169" fontId="30" fillId="24" borderId="16" xfId="0" applyNumberFormat="1" applyFont="1" applyFill="1" applyBorder="1" applyAlignment="1">
      <alignment vertical="center"/>
    </xf>
    <xf numFmtId="0" fontId="30" fillId="0" borderId="21" xfId="0" applyFont="1" applyFill="1" applyBorder="1" applyAlignment="1">
      <alignment horizontal="center" vertical="center"/>
    </xf>
    <xf numFmtId="169" fontId="30" fillId="0" borderId="24" xfId="0" applyNumberFormat="1" applyFont="1" applyFill="1" applyBorder="1" applyAlignment="1">
      <alignment vertical="center"/>
    </xf>
    <xf numFmtId="1" fontId="32" fillId="24" borderId="21" xfId="0" applyNumberFormat="1" applyFont="1" applyFill="1" applyBorder="1" applyAlignment="1">
      <alignment horizontal="center" vertical="center"/>
    </xf>
    <xf numFmtId="1" fontId="32" fillId="0" borderId="21" xfId="0" applyNumberFormat="1" applyFont="1" applyBorder="1" applyAlignment="1">
      <alignment horizontal="center" vertical="center"/>
    </xf>
    <xf numFmtId="0" fontId="0" fillId="0" borderId="0" xfId="0" applyBorder="1"/>
    <xf numFmtId="0" fontId="34" fillId="24" borderId="26" xfId="0" applyFont="1" applyFill="1" applyBorder="1" applyAlignment="1">
      <alignment horizontal="center" vertical="center"/>
    </xf>
    <xf numFmtId="1" fontId="2" fillId="24" borderId="23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1" fontId="32" fillId="24" borderId="23" xfId="0" applyNumberFormat="1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vertical="center"/>
    </xf>
    <xf numFmtId="1" fontId="2" fillId="24" borderId="23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38" fillId="0" borderId="0" xfId="95" applyBorder="1" applyAlignment="1">
      <alignment horizontal="left" vertical="top" wrapText="1"/>
    </xf>
    <xf numFmtId="169" fontId="34" fillId="0" borderId="24" xfId="0" applyNumberFormat="1" applyFont="1" applyFill="1" applyBorder="1" applyAlignment="1">
      <alignment vertical="center"/>
    </xf>
    <xf numFmtId="1" fontId="2" fillId="24" borderId="21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Border="1" applyAlignment="1">
      <alignment horizontal="right" vertical="center"/>
    </xf>
    <xf numFmtId="0" fontId="32" fillId="0" borderId="21" xfId="0" applyFont="1" applyBorder="1" applyAlignment="1">
      <alignment horizontal="center" vertical="center"/>
    </xf>
    <xf numFmtId="1" fontId="32" fillId="0" borderId="2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26" fillId="0" borderId="28" xfId="0" applyFont="1" applyFill="1" applyBorder="1" applyAlignment="1">
      <alignment vertical="center"/>
    </xf>
    <xf numFmtId="168" fontId="26" fillId="0" borderId="28" xfId="0" applyNumberFormat="1" applyFont="1" applyFill="1" applyBorder="1" applyAlignment="1" applyProtection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164" fontId="27" fillId="0" borderId="28" xfId="0" applyNumberFormat="1" applyFont="1" applyFill="1" applyBorder="1" applyAlignment="1">
      <alignment vertical="center"/>
    </xf>
    <xf numFmtId="164" fontId="27" fillId="0" borderId="29" xfId="0" applyNumberFormat="1" applyFont="1" applyFill="1" applyBorder="1" applyAlignment="1">
      <alignment vertical="center"/>
    </xf>
    <xf numFmtId="1" fontId="32" fillId="0" borderId="11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0" fontId="27" fillId="0" borderId="28" xfId="0" applyFont="1" applyFill="1" applyBorder="1" applyAlignment="1">
      <alignment horizontal="center" vertical="center"/>
    </xf>
    <xf numFmtId="1" fontId="32" fillId="0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14" fontId="31" fillId="0" borderId="0" xfId="0" applyNumberFormat="1" applyFont="1" applyBorder="1" applyAlignment="1">
      <alignment horizontal="center" vertical="center"/>
    </xf>
    <xf numFmtId="14" fontId="31" fillId="0" borderId="22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96"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omma 2" xfId="55"/>
    <cellStyle name="Comma 2 2" xfId="90"/>
    <cellStyle name="Currency 2" xfId="94"/>
    <cellStyle name="Explanatory Text 2" xfId="56"/>
    <cellStyle name="Explanatory Text 3" xfId="57"/>
    <cellStyle name="Good 2" xfId="58"/>
    <cellStyle name="Good 3" xfId="59"/>
    <cellStyle name="Heading 1 2" xfId="60"/>
    <cellStyle name="Heading 1 3" xfId="61"/>
    <cellStyle name="Heading 2 2" xfId="62"/>
    <cellStyle name="Heading 2 3" xfId="63"/>
    <cellStyle name="Heading 3 2" xfId="64"/>
    <cellStyle name="Heading 3 3" xfId="65"/>
    <cellStyle name="Heading 4 2" xfId="66"/>
    <cellStyle name="Heading 4 3" xfId="67"/>
    <cellStyle name="Hyperlink" xfId="95" builtinId="8"/>
    <cellStyle name="Input 2" xfId="68"/>
    <cellStyle name="Input 3" xfId="69"/>
    <cellStyle name="Linked Cell 2" xfId="70"/>
    <cellStyle name="Linked Cell 3" xfId="71"/>
    <cellStyle name="Neutral 2" xfId="72"/>
    <cellStyle name="Neutral 3" xfId="73"/>
    <cellStyle name="Normal" xfId="0" builtinId="0"/>
    <cellStyle name="Normal 2" xfId="89"/>
    <cellStyle name="Normal 2 2" xfId="74"/>
    <cellStyle name="Normal 2 3" xfId="75"/>
    <cellStyle name="Normal 2 3 2" xfId="91"/>
    <cellStyle name="Normal 3" xfId="76"/>
    <cellStyle name="Normal 4" xfId="88"/>
    <cellStyle name="Normal 4 2" xfId="93"/>
    <cellStyle name="Normal 6" xfId="77"/>
    <cellStyle name="Normal 6 2" xfId="92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dxfs count="0"/>
  <tableStyles count="0" defaultTableStyle="TableStyleMedium9" defaultPivotStyle="PivotStyleLight16"/>
  <colors>
    <mruColors>
      <color rgb="FFFFFFFF"/>
      <color rgb="FF2DC8FF"/>
      <color rgb="FF6DD9FF"/>
      <color rgb="FF48B8E0"/>
      <color rgb="FFD4F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DA-409B-ACBA-00AF4DB5D24B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651208"/>
        <c:axId val="474650816"/>
      </c:barChart>
      <c:catAx>
        <c:axId val="47465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74650816"/>
        <c:crosses val="autoZero"/>
        <c:auto val="1"/>
        <c:lblAlgn val="ctr"/>
        <c:lblOffset val="100"/>
        <c:noMultiLvlLbl val="0"/>
      </c:catAx>
      <c:valAx>
        <c:axId val="474650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74651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1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865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1</xdr:row>
      <xdr:rowOff>114300</xdr:rowOff>
    </xdr:from>
    <xdr:to>
      <xdr:col>13</xdr:col>
      <xdr:colOff>399785</xdr:colOff>
      <xdr:row>8</xdr:row>
      <xdr:rowOff>75967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53650" y="495300"/>
          <a:ext cx="2123810" cy="1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827"/>
  <sheetViews>
    <sheetView tabSelected="1" view="pageBreakPreview" zoomScaleSheetLayoutView="100" workbookViewId="0">
      <selection activeCell="B2" sqref="B2"/>
    </sheetView>
  </sheetViews>
  <sheetFormatPr defaultColWidth="8.88671875" defaultRowHeight="15" x14ac:dyDescent="0.2"/>
  <cols>
    <col min="1" max="1" width="4.88671875" style="32" customWidth="1"/>
    <col min="2" max="2" width="16.33203125" style="20" customWidth="1"/>
    <col min="3" max="3" width="8.33203125" style="5" customWidth="1"/>
    <col min="4" max="4" width="39.21875" style="5" customWidth="1"/>
    <col min="5" max="5" width="8.109375" style="5" customWidth="1"/>
    <col min="6" max="6" width="8.5546875" style="5" customWidth="1"/>
    <col min="7" max="7" width="9.33203125" style="5" customWidth="1"/>
    <col min="8" max="8" width="10.77734375" style="31" customWidth="1"/>
    <col min="9" max="9" width="10.5546875" style="5" customWidth="1"/>
    <col min="10" max="10" width="11.21875" style="5" bestFit="1" customWidth="1"/>
    <col min="11" max="11" width="11" style="21" customWidth="1"/>
    <col min="12" max="16384" width="8.88671875" style="5"/>
  </cols>
  <sheetData>
    <row r="1" spans="1:12" ht="42" customHeight="1" x14ac:dyDescent="0.2">
      <c r="A1" s="115"/>
      <c r="B1" s="116" t="s">
        <v>598</v>
      </c>
      <c r="C1" s="117" t="s">
        <v>597</v>
      </c>
      <c r="D1" s="118"/>
      <c r="E1" s="118"/>
      <c r="F1" s="118"/>
      <c r="G1" s="119"/>
      <c r="H1" s="172" t="s">
        <v>0</v>
      </c>
      <c r="I1" s="172"/>
      <c r="J1" s="172"/>
      <c r="K1" s="173"/>
    </row>
    <row r="2" spans="1:12" ht="32.25" customHeight="1" x14ac:dyDescent="0.2">
      <c r="A2" s="120"/>
      <c r="B2" s="19"/>
      <c r="C2" s="22"/>
      <c r="D2" s="22"/>
      <c r="E2" s="22"/>
      <c r="F2" s="22"/>
      <c r="G2" s="121"/>
      <c r="H2" s="176" t="s">
        <v>595</v>
      </c>
      <c r="I2" s="176"/>
      <c r="J2" s="176"/>
      <c r="K2" s="177"/>
    </row>
    <row r="3" spans="1:12" ht="18.75" x14ac:dyDescent="0.2">
      <c r="A3" s="120"/>
      <c r="B3" s="19"/>
      <c r="C3" s="22"/>
      <c r="D3" s="22"/>
      <c r="E3" s="22"/>
      <c r="F3" s="22"/>
      <c r="G3" s="121"/>
      <c r="H3" s="174" t="s">
        <v>596</v>
      </c>
      <c r="I3" s="174"/>
      <c r="J3" s="174"/>
      <c r="K3" s="175"/>
      <c r="L3" s="14"/>
    </row>
    <row r="4" spans="1:12" ht="19.5" thickBot="1" x14ac:dyDescent="0.25">
      <c r="A4" s="122"/>
      <c r="C4" s="22"/>
      <c r="D4" s="15"/>
      <c r="E4" s="22"/>
      <c r="F4" s="22"/>
      <c r="G4" s="22"/>
      <c r="H4" s="17"/>
      <c r="I4" s="123"/>
      <c r="J4" s="124"/>
      <c r="K4" s="125"/>
    </row>
    <row r="5" spans="1:12" ht="30.75" customHeight="1" thickBot="1" x14ac:dyDescent="0.25">
      <c r="A5" s="28" t="s">
        <v>1</v>
      </c>
      <c r="B5" s="29" t="s">
        <v>2</v>
      </c>
      <c r="C5" s="23" t="s">
        <v>3</v>
      </c>
      <c r="D5" s="24" t="s">
        <v>4</v>
      </c>
      <c r="E5" s="24" t="s">
        <v>5</v>
      </c>
      <c r="F5" s="25" t="s">
        <v>6</v>
      </c>
      <c r="G5" s="25" t="s">
        <v>7</v>
      </c>
      <c r="H5" s="25" t="s">
        <v>8</v>
      </c>
      <c r="I5" s="24" t="s">
        <v>9</v>
      </c>
      <c r="J5" s="26" t="s">
        <v>10</v>
      </c>
      <c r="K5" s="27" t="s">
        <v>11</v>
      </c>
      <c r="L5" s="16"/>
    </row>
    <row r="6" spans="1:12" s="17" customFormat="1" ht="15.75" thickBot="1" x14ac:dyDescent="0.25">
      <c r="A6" s="126"/>
      <c r="B6" s="30"/>
      <c r="K6" s="127"/>
    </row>
    <row r="7" spans="1:12" s="39" customFormat="1" ht="16.5" thickBot="1" x14ac:dyDescent="0.25">
      <c r="A7" s="128" t="str">
        <f>IF(H7&lt;&gt;"",1+MAX(#REF!),"")</f>
        <v/>
      </c>
      <c r="B7" s="42"/>
      <c r="C7" s="37" t="s">
        <v>12</v>
      </c>
      <c r="D7" s="38" t="s">
        <v>13</v>
      </c>
      <c r="E7" s="84"/>
      <c r="F7" s="84"/>
      <c r="G7" s="84"/>
      <c r="H7" s="84"/>
      <c r="I7" s="84"/>
      <c r="J7" s="84"/>
      <c r="K7" s="129"/>
    </row>
    <row r="8" spans="1:12" s="39" customFormat="1" ht="15.75" x14ac:dyDescent="0.2">
      <c r="A8" s="130" t="str">
        <f>IF(H8&lt;&gt;"",1+MAX($A7:A$9),"")</f>
        <v/>
      </c>
      <c r="B8" s="110"/>
      <c r="C8" s="85"/>
      <c r="D8" s="81"/>
      <c r="E8" s="86"/>
      <c r="F8" s="87"/>
      <c r="G8" s="88"/>
      <c r="H8" s="79"/>
      <c r="I8" s="89"/>
      <c r="J8" s="90"/>
      <c r="K8" s="131"/>
    </row>
    <row r="9" spans="1:12" s="40" customFormat="1" ht="30" x14ac:dyDescent="0.2">
      <c r="A9" s="132">
        <f>IF(G9&lt;&gt;"",1+MAX($A$1:A8),"")</f>
        <v>1</v>
      </c>
      <c r="B9" s="91"/>
      <c r="C9" s="85"/>
      <c r="D9" s="82" t="s">
        <v>14</v>
      </c>
      <c r="E9" s="86">
        <v>1</v>
      </c>
      <c r="F9" s="87">
        <v>0</v>
      </c>
      <c r="G9" s="86">
        <f>E9*(1+F9)</f>
        <v>1</v>
      </c>
      <c r="H9" s="79" t="s">
        <v>15</v>
      </c>
      <c r="I9" s="92"/>
      <c r="J9" s="90"/>
      <c r="K9" s="133"/>
      <c r="L9" s="85"/>
    </row>
    <row r="10" spans="1:12" s="39" customFormat="1" ht="16.5" thickBot="1" x14ac:dyDescent="0.25">
      <c r="A10" s="134" t="str">
        <f>IF(G10&lt;&gt;"",1+MAX($A$1:A9),"")</f>
        <v/>
      </c>
      <c r="B10" s="93"/>
      <c r="C10" s="85"/>
      <c r="D10" s="81"/>
      <c r="E10" s="85"/>
      <c r="F10" s="94"/>
      <c r="G10" s="95"/>
      <c r="H10" s="79"/>
      <c r="I10" s="92"/>
      <c r="J10" s="96"/>
      <c r="K10" s="133"/>
    </row>
    <row r="11" spans="1:12" ht="16.5" thickBot="1" x14ac:dyDescent="0.25">
      <c r="A11" s="28" t="str">
        <f>IF(H11&lt;&gt;"",1+MAX($A$1:A10),"")</f>
        <v/>
      </c>
      <c r="B11" s="65"/>
      <c r="C11" s="66" t="s">
        <v>16</v>
      </c>
      <c r="D11" s="67" t="s">
        <v>17</v>
      </c>
      <c r="E11" s="68"/>
      <c r="F11" s="68"/>
      <c r="G11" s="68"/>
      <c r="H11" s="68"/>
      <c r="I11" s="68"/>
      <c r="J11" s="68"/>
      <c r="K11" s="135">
        <f>SUM(J12:J18)</f>
        <v>0</v>
      </c>
    </row>
    <row r="12" spans="1:12" s="63" customFormat="1" ht="15.75" x14ac:dyDescent="0.2">
      <c r="A12" s="136"/>
      <c r="B12" s="69"/>
      <c r="C12" s="70"/>
      <c r="D12" s="71"/>
      <c r="E12" s="57"/>
      <c r="F12" s="57"/>
      <c r="G12" s="57"/>
      <c r="H12" s="57"/>
      <c r="I12" s="57"/>
      <c r="J12" s="57"/>
      <c r="K12" s="137"/>
    </row>
    <row r="13" spans="1:12" x14ac:dyDescent="0.2">
      <c r="A13" s="138" t="str">
        <f>IF(H13&lt;&gt;"",1+MAX($A$1:A11),"")</f>
        <v/>
      </c>
      <c r="B13" s="50"/>
      <c r="C13" s="52"/>
      <c r="D13" s="53" t="s">
        <v>18</v>
      </c>
      <c r="E13" s="8"/>
      <c r="F13" s="59"/>
      <c r="G13" s="60"/>
      <c r="H13" s="18"/>
      <c r="I13" s="61"/>
      <c r="J13" s="3"/>
      <c r="K13" s="127"/>
    </row>
    <row r="14" spans="1:12" x14ac:dyDescent="0.2">
      <c r="A14" s="139">
        <f>IF(H14&lt;&gt;"",1+MAX($A$1:A13),"")</f>
        <v>2</v>
      </c>
      <c r="B14" s="163" t="s">
        <v>19</v>
      </c>
      <c r="C14" s="17"/>
      <c r="D14" s="64" t="s">
        <v>20</v>
      </c>
      <c r="E14" s="86">
        <v>2</v>
      </c>
      <c r="F14" s="2">
        <v>0</v>
      </c>
      <c r="G14" s="86">
        <f t="shared" ref="G14:G17" si="0">E14*(1+F14)</f>
        <v>2</v>
      </c>
      <c r="H14" s="18" t="s">
        <v>21</v>
      </c>
      <c r="I14" s="55"/>
      <c r="J14" s="3"/>
      <c r="K14" s="127"/>
    </row>
    <row r="15" spans="1:12" x14ac:dyDescent="0.2">
      <c r="A15" s="139">
        <f>IF(H15&lt;&gt;"",1+MAX($A$1:A14),"")</f>
        <v>3</v>
      </c>
      <c r="B15" s="163"/>
      <c r="C15" s="17"/>
      <c r="D15" s="64" t="s">
        <v>22</v>
      </c>
      <c r="E15" s="86">
        <v>419.8</v>
      </c>
      <c r="F15" s="2">
        <v>0</v>
      </c>
      <c r="G15" s="86">
        <f t="shared" si="0"/>
        <v>419.8</v>
      </c>
      <c r="H15" s="18" t="s">
        <v>23</v>
      </c>
      <c r="I15" s="55"/>
      <c r="J15" s="3"/>
      <c r="K15" s="127"/>
    </row>
    <row r="16" spans="1:12" x14ac:dyDescent="0.2">
      <c r="A16" s="139">
        <f>IF(H16&lt;&gt;"",1+MAX($A$1:A15),"")</f>
        <v>4</v>
      </c>
      <c r="B16" s="163"/>
      <c r="C16" s="17"/>
      <c r="D16" s="64" t="s">
        <v>24</v>
      </c>
      <c r="E16" s="86">
        <v>6749.15</v>
      </c>
      <c r="F16" s="2">
        <v>0</v>
      </c>
      <c r="G16" s="86">
        <f t="shared" si="0"/>
        <v>6749.15</v>
      </c>
      <c r="H16" s="18" t="s">
        <v>25</v>
      </c>
      <c r="I16" s="55"/>
      <c r="J16" s="3"/>
      <c r="K16" s="127"/>
    </row>
    <row r="17" spans="1:11" ht="45" x14ac:dyDescent="0.2">
      <c r="A17" s="139">
        <f>IF(H17&lt;&gt;"",1+MAX($A$1:A16),"")</f>
        <v>5</v>
      </c>
      <c r="B17" s="109" t="s">
        <v>26</v>
      </c>
      <c r="C17" s="17"/>
      <c r="D17" s="64" t="s">
        <v>27</v>
      </c>
      <c r="E17" s="86">
        <v>943.59</v>
      </c>
      <c r="F17" s="2">
        <v>0</v>
      </c>
      <c r="G17" s="86">
        <f t="shared" si="0"/>
        <v>943.59</v>
      </c>
      <c r="H17" s="18" t="s">
        <v>25</v>
      </c>
      <c r="I17" s="55"/>
      <c r="J17" s="3"/>
      <c r="K17" s="127"/>
    </row>
    <row r="18" spans="1:11" ht="15.75" thickBot="1" x14ac:dyDescent="0.25">
      <c r="A18" s="139"/>
      <c r="B18" s="56"/>
      <c r="C18" s="17"/>
      <c r="D18" s="140"/>
      <c r="E18" s="140"/>
      <c r="F18" s="2"/>
      <c r="G18" s="54"/>
      <c r="H18" s="18"/>
      <c r="I18" s="55"/>
      <c r="J18" s="3"/>
      <c r="K18" s="127"/>
    </row>
    <row r="19" spans="1:11" s="39" customFormat="1" ht="16.5" thickBot="1" x14ac:dyDescent="0.25">
      <c r="A19" s="141" t="str">
        <f>IF(H19&lt;&gt;"",1+MAX(#REF!),"")</f>
        <v/>
      </c>
      <c r="B19" s="36"/>
      <c r="C19" s="37" t="s">
        <v>28</v>
      </c>
      <c r="D19" s="38" t="s">
        <v>29</v>
      </c>
      <c r="E19" s="84"/>
      <c r="F19" s="84"/>
      <c r="G19" s="84"/>
      <c r="H19" s="84"/>
      <c r="I19" s="84"/>
      <c r="J19" s="84"/>
      <c r="K19" s="129">
        <f>SUM(J20:J57)</f>
        <v>0</v>
      </c>
    </row>
    <row r="20" spans="1:11" s="40" customFormat="1" x14ac:dyDescent="0.2">
      <c r="A20" s="130" t="str">
        <f>IF(H20&lt;&gt;"",1+MAX($A$1:A19),"")</f>
        <v/>
      </c>
      <c r="B20" s="114"/>
      <c r="C20" s="85"/>
      <c r="D20" s="85"/>
      <c r="E20" s="85"/>
      <c r="F20" s="85"/>
      <c r="G20" s="85"/>
      <c r="H20" s="85"/>
      <c r="I20" s="85"/>
      <c r="J20" s="85"/>
      <c r="K20" s="133"/>
    </row>
    <row r="21" spans="1:11" s="40" customFormat="1" x14ac:dyDescent="0.2">
      <c r="A21" s="142"/>
      <c r="B21" s="97"/>
      <c r="C21" s="98"/>
      <c r="D21" s="41" t="s">
        <v>30</v>
      </c>
      <c r="E21" s="85"/>
      <c r="F21" s="85"/>
      <c r="G21" s="85"/>
      <c r="H21" s="85"/>
      <c r="I21" s="85"/>
      <c r="J21" s="85"/>
      <c r="K21" s="133"/>
    </row>
    <row r="22" spans="1:11" s="39" customFormat="1" ht="15.75" x14ac:dyDescent="0.2">
      <c r="A22" s="130">
        <f>IF(G22&lt;&gt;"",1+MAX($A$1:A21),"")</f>
        <v>6</v>
      </c>
      <c r="B22" s="110" t="s">
        <v>31</v>
      </c>
      <c r="C22" s="85"/>
      <c r="D22" s="81" t="s">
        <v>32</v>
      </c>
      <c r="E22" s="99">
        <f>138*1*9.5/27</f>
        <v>48.555555555555557</v>
      </c>
      <c r="F22" s="87">
        <v>0.1</v>
      </c>
      <c r="G22" s="100">
        <f>E22*(1+F22)</f>
        <v>53.411111111111119</v>
      </c>
      <c r="H22" s="79" t="s">
        <v>33</v>
      </c>
      <c r="I22" s="92"/>
      <c r="J22" s="90"/>
      <c r="K22" s="133"/>
    </row>
    <row r="23" spans="1:11" s="40" customFormat="1" x14ac:dyDescent="0.2">
      <c r="A23" s="130" t="str">
        <f>IF(H23&lt;&gt;"",1+MAX($A$1:A22),"")</f>
        <v/>
      </c>
      <c r="B23" s="114"/>
      <c r="C23" s="85"/>
      <c r="D23" s="85"/>
      <c r="E23" s="85"/>
      <c r="F23" s="85"/>
      <c r="G23" s="85"/>
      <c r="H23" s="85"/>
      <c r="I23" s="85"/>
      <c r="J23" s="85"/>
      <c r="K23" s="133"/>
    </row>
    <row r="24" spans="1:11" s="40" customFormat="1" x14ac:dyDescent="0.2">
      <c r="A24" s="142"/>
      <c r="B24" s="97"/>
      <c r="C24" s="98"/>
      <c r="D24" s="41" t="s">
        <v>34</v>
      </c>
      <c r="E24" s="85"/>
      <c r="F24" s="85"/>
      <c r="G24" s="85"/>
      <c r="H24" s="85"/>
      <c r="I24" s="85"/>
      <c r="J24" s="85"/>
      <c r="K24" s="133"/>
    </row>
    <row r="25" spans="1:11" s="40" customFormat="1" x14ac:dyDescent="0.2">
      <c r="A25" s="130" t="str">
        <f>IF(G25&lt;&gt;"",1+MAX($A$1:A24),"")</f>
        <v/>
      </c>
      <c r="B25" s="114"/>
      <c r="C25" s="85"/>
      <c r="D25" s="85"/>
      <c r="E25" s="85"/>
      <c r="F25" s="85"/>
      <c r="G25" s="85"/>
      <c r="H25" s="85"/>
      <c r="I25" s="85"/>
      <c r="J25" s="85"/>
      <c r="K25" s="133"/>
    </row>
    <row r="26" spans="1:11" s="40" customFormat="1" x14ac:dyDescent="0.2">
      <c r="A26" s="130" t="str">
        <f>IF(G26&lt;&gt;"",1+MAX($A$1:A25),"")</f>
        <v/>
      </c>
      <c r="B26" s="169" t="s">
        <v>35</v>
      </c>
      <c r="C26" s="85"/>
      <c r="D26" s="47" t="s">
        <v>36</v>
      </c>
      <c r="E26" s="85"/>
      <c r="F26" s="85"/>
      <c r="G26" s="85"/>
      <c r="H26" s="85"/>
      <c r="I26" s="85"/>
      <c r="J26" s="85"/>
      <c r="K26" s="133"/>
    </row>
    <row r="27" spans="1:11" s="39" customFormat="1" ht="45" x14ac:dyDescent="0.2">
      <c r="A27" s="132">
        <f>IF(G27&lt;&gt;"",1+MAX($A$1:A26),"")</f>
        <v>7</v>
      </c>
      <c r="B27" s="169"/>
      <c r="C27" s="85"/>
      <c r="D27" s="49" t="s">
        <v>37</v>
      </c>
      <c r="E27" s="99">
        <f>293*2*1.5/27</f>
        <v>32.555555555555557</v>
      </c>
      <c r="F27" s="87">
        <v>0.1</v>
      </c>
      <c r="G27" s="100">
        <f>E27*(1+F27)</f>
        <v>35.811111111111117</v>
      </c>
      <c r="H27" s="79" t="s">
        <v>33</v>
      </c>
      <c r="I27" s="92"/>
      <c r="J27" s="90"/>
      <c r="K27" s="133"/>
    </row>
    <row r="28" spans="1:11" s="40" customFormat="1" x14ac:dyDescent="0.2">
      <c r="A28" s="132" t="str">
        <f>IF(G28&lt;&gt;"",1+MAX($A$1:A27),"")</f>
        <v/>
      </c>
      <c r="B28" s="169"/>
      <c r="C28" s="85"/>
      <c r="D28" s="85"/>
      <c r="E28" s="85"/>
      <c r="F28" s="85"/>
      <c r="G28" s="85"/>
      <c r="H28" s="85"/>
      <c r="I28" s="85"/>
      <c r="J28" s="85"/>
      <c r="K28" s="131"/>
    </row>
    <row r="29" spans="1:11" s="40" customFormat="1" x14ac:dyDescent="0.2">
      <c r="A29" s="132" t="str">
        <f>IF(G29&lt;&gt;"",1+MAX($A$1:A28),"")</f>
        <v/>
      </c>
      <c r="B29" s="169"/>
      <c r="C29" s="85"/>
      <c r="D29" s="47" t="s">
        <v>38</v>
      </c>
      <c r="E29" s="85"/>
      <c r="F29" s="85"/>
      <c r="G29" s="85"/>
      <c r="H29" s="85"/>
      <c r="I29" s="85"/>
      <c r="J29" s="85"/>
      <c r="K29" s="131"/>
    </row>
    <row r="30" spans="1:11" s="39" customFormat="1" ht="30" x14ac:dyDescent="0.2">
      <c r="A30" s="132">
        <f>IF(G30&lt;&gt;"",1+MAX($A$1:A29),"")</f>
        <v>8</v>
      </c>
      <c r="B30" s="169"/>
      <c r="C30" s="85"/>
      <c r="D30" s="49" t="s">
        <v>39</v>
      </c>
      <c r="E30" s="99">
        <f>26.17*29.42*2.5/27</f>
        <v>71.289018518518532</v>
      </c>
      <c r="F30" s="87">
        <v>0.1</v>
      </c>
      <c r="G30" s="100">
        <f>E30*(1+F30)</f>
        <v>78.417920370370396</v>
      </c>
      <c r="H30" s="79" t="s">
        <v>33</v>
      </c>
      <c r="I30" s="92"/>
      <c r="J30" s="90"/>
      <c r="K30" s="133"/>
    </row>
    <row r="31" spans="1:11" s="39" customFormat="1" ht="30" x14ac:dyDescent="0.2">
      <c r="A31" s="132">
        <f>IF(G31&lt;&gt;"",1+MAX($A$1:A30),"")</f>
        <v>9</v>
      </c>
      <c r="B31" s="169"/>
      <c r="C31" s="85"/>
      <c r="D31" s="49" t="s">
        <v>40</v>
      </c>
      <c r="E31" s="99">
        <f>23.25*17.75*1.5/27</f>
        <v>22.927083333333332</v>
      </c>
      <c r="F31" s="87">
        <v>0.1</v>
      </c>
      <c r="G31" s="100">
        <f t="shared" ref="G31:G32" si="1">E31*(1+F31)</f>
        <v>25.219791666666666</v>
      </c>
      <c r="H31" s="79" t="s">
        <v>33</v>
      </c>
      <c r="I31" s="92"/>
      <c r="J31" s="90"/>
      <c r="K31" s="133"/>
    </row>
    <row r="32" spans="1:11" s="39" customFormat="1" ht="30" x14ac:dyDescent="0.2">
      <c r="A32" s="132">
        <f>IF(G32&lt;&gt;"",1+MAX($A$1:A31),"")</f>
        <v>10</v>
      </c>
      <c r="B32" s="169"/>
      <c r="C32" s="85"/>
      <c r="D32" s="49" t="s">
        <v>41</v>
      </c>
      <c r="E32" s="99">
        <f>10*13.08*1.5/27</f>
        <v>7.2666666666666675</v>
      </c>
      <c r="F32" s="87">
        <v>0.1</v>
      </c>
      <c r="G32" s="100">
        <f t="shared" si="1"/>
        <v>7.993333333333335</v>
      </c>
      <c r="H32" s="79" t="s">
        <v>33</v>
      </c>
      <c r="I32" s="92"/>
      <c r="J32" s="90"/>
      <c r="K32" s="133"/>
    </row>
    <row r="33" spans="1:11" s="40" customFormat="1" x14ac:dyDescent="0.2">
      <c r="A33" s="132" t="str">
        <f>IF(G33&lt;&gt;"",1+MAX($A$1:A32),"")</f>
        <v/>
      </c>
      <c r="B33" s="169"/>
      <c r="C33" s="85"/>
      <c r="D33" s="85"/>
      <c r="E33" s="85"/>
      <c r="F33" s="85"/>
      <c r="G33" s="85"/>
      <c r="H33" s="85"/>
      <c r="I33" s="85"/>
      <c r="J33" s="85"/>
      <c r="K33" s="131"/>
    </row>
    <row r="34" spans="1:11" s="40" customFormat="1" x14ac:dyDescent="0.2">
      <c r="A34" s="132" t="str">
        <f>IF(G34&lt;&gt;"",1+MAX($A$1:A33),"")</f>
        <v/>
      </c>
      <c r="B34" s="169"/>
      <c r="C34" s="85"/>
      <c r="D34" s="47" t="s">
        <v>42</v>
      </c>
      <c r="E34" s="85"/>
      <c r="F34" s="85"/>
      <c r="G34" s="85"/>
      <c r="H34" s="85"/>
      <c r="I34" s="85"/>
      <c r="J34" s="85"/>
      <c r="K34" s="131"/>
    </row>
    <row r="35" spans="1:11" s="39" customFormat="1" ht="30" x14ac:dyDescent="0.2">
      <c r="A35" s="132">
        <f>IF(G35&lt;&gt;"",1+MAX($A$1:A34),"")</f>
        <v>11</v>
      </c>
      <c r="B35" s="169"/>
      <c r="C35" s="85"/>
      <c r="D35" s="49" t="s">
        <v>43</v>
      </c>
      <c r="E35" s="99">
        <f>(6*6*1.5)*9/27</f>
        <v>18</v>
      </c>
      <c r="F35" s="87">
        <v>0.1</v>
      </c>
      <c r="G35" s="100">
        <f t="shared" ref="G35:G37" si="2">E35*(1+F35)</f>
        <v>19.8</v>
      </c>
      <c r="H35" s="79" t="s">
        <v>33</v>
      </c>
      <c r="I35" s="92"/>
      <c r="J35" s="90"/>
      <c r="K35" s="133"/>
    </row>
    <row r="36" spans="1:11" s="39" customFormat="1" ht="30" x14ac:dyDescent="0.2">
      <c r="A36" s="132">
        <f>IF(G36&lt;&gt;"",1+MAX($A$1:A35),"")</f>
        <v>12</v>
      </c>
      <c r="B36" s="169"/>
      <c r="C36" s="85"/>
      <c r="D36" s="49" t="s">
        <v>44</v>
      </c>
      <c r="E36" s="99">
        <f>(7*7*1.5)*7/27</f>
        <v>19.055555555555557</v>
      </c>
      <c r="F36" s="87">
        <v>0.1</v>
      </c>
      <c r="G36" s="100">
        <f t="shared" si="2"/>
        <v>20.961111111111116</v>
      </c>
      <c r="H36" s="79" t="s">
        <v>33</v>
      </c>
      <c r="I36" s="92"/>
      <c r="J36" s="90"/>
      <c r="K36" s="133"/>
    </row>
    <row r="37" spans="1:11" s="39" customFormat="1" ht="30" x14ac:dyDescent="0.2">
      <c r="A37" s="132">
        <f>IF(G37&lt;&gt;"",1+MAX($A$1:A36),"")</f>
        <v>13</v>
      </c>
      <c r="B37" s="169"/>
      <c r="C37" s="85"/>
      <c r="D37" s="49" t="s">
        <v>45</v>
      </c>
      <c r="E37" s="99">
        <f>(8*8*1.5)*2/27</f>
        <v>7.1111111111111107</v>
      </c>
      <c r="F37" s="87">
        <v>0.1</v>
      </c>
      <c r="G37" s="100">
        <f t="shared" si="2"/>
        <v>7.8222222222222229</v>
      </c>
      <c r="H37" s="79" t="s">
        <v>33</v>
      </c>
      <c r="I37" s="92"/>
      <c r="J37" s="90"/>
      <c r="K37" s="133"/>
    </row>
    <row r="38" spans="1:11" s="40" customFormat="1" x14ac:dyDescent="0.2">
      <c r="A38" s="132" t="str">
        <f>IF(G38&lt;&gt;"",1+MAX($A$1:A37),"")</f>
        <v/>
      </c>
      <c r="B38" s="114"/>
      <c r="C38" s="85"/>
      <c r="D38" s="85"/>
      <c r="E38" s="85"/>
      <c r="F38" s="85"/>
      <c r="G38" s="85"/>
      <c r="H38" s="85"/>
      <c r="I38" s="85"/>
      <c r="J38" s="85"/>
      <c r="K38" s="131"/>
    </row>
    <row r="39" spans="1:11" s="40" customFormat="1" x14ac:dyDescent="0.2">
      <c r="A39" s="142"/>
      <c r="B39" s="97"/>
      <c r="C39" s="98"/>
      <c r="D39" s="41" t="s">
        <v>46</v>
      </c>
      <c r="E39" s="85"/>
      <c r="F39" s="85"/>
      <c r="G39" s="85"/>
      <c r="H39" s="85"/>
      <c r="I39" s="85"/>
      <c r="J39" s="85"/>
      <c r="K39" s="133"/>
    </row>
    <row r="40" spans="1:11" s="39" customFormat="1" ht="60" x14ac:dyDescent="0.2">
      <c r="A40" s="132">
        <f>IF(G40&lt;&gt;"",1+MAX($A$1:A39),"")</f>
        <v>14</v>
      </c>
      <c r="B40" s="169" t="s">
        <v>35</v>
      </c>
      <c r="C40" s="85"/>
      <c r="D40" s="49" t="s">
        <v>47</v>
      </c>
      <c r="E40" s="99">
        <f>((2*2*9.5*12)+(2*2*12.17*3))/27</f>
        <v>22.297777777777778</v>
      </c>
      <c r="F40" s="87">
        <v>0.1</v>
      </c>
      <c r="G40" s="100">
        <f t="shared" ref="G40:G41" si="3">E40*(1+F40)</f>
        <v>24.527555555555558</v>
      </c>
      <c r="H40" s="79" t="s">
        <v>33</v>
      </c>
      <c r="I40" s="92"/>
      <c r="J40" s="90"/>
      <c r="K40" s="133"/>
    </row>
    <row r="41" spans="1:11" s="39" customFormat="1" ht="60" x14ac:dyDescent="0.2">
      <c r="A41" s="132">
        <f>IF(G41&lt;&gt;"",1+MAX($A$1:A40),"")</f>
        <v>15</v>
      </c>
      <c r="B41" s="169"/>
      <c r="C41" s="85"/>
      <c r="D41" s="49" t="s">
        <v>48</v>
      </c>
      <c r="E41" s="99">
        <f>((1.33*1.33*9.5*3)+(1.33*1.33*12.17*3))/27</f>
        <v>4.2591181111111114</v>
      </c>
      <c r="F41" s="87">
        <v>0.1</v>
      </c>
      <c r="G41" s="100">
        <f t="shared" si="3"/>
        <v>4.6850299222222231</v>
      </c>
      <c r="H41" s="79" t="s">
        <v>33</v>
      </c>
      <c r="I41" s="92"/>
      <c r="J41" s="90"/>
      <c r="K41" s="133"/>
    </row>
    <row r="42" spans="1:11" s="40" customFormat="1" x14ac:dyDescent="0.2">
      <c r="A42" s="143"/>
      <c r="B42" s="114"/>
      <c r="C42" s="85"/>
      <c r="D42" s="85"/>
      <c r="E42" s="85"/>
      <c r="F42" s="85"/>
      <c r="G42" s="85"/>
      <c r="H42" s="85"/>
      <c r="I42" s="85"/>
      <c r="J42" s="85"/>
      <c r="K42" s="131"/>
    </row>
    <row r="43" spans="1:11" s="40" customFormat="1" x14ac:dyDescent="0.2">
      <c r="A43" s="142"/>
      <c r="B43" s="97"/>
      <c r="C43" s="98"/>
      <c r="D43" s="41" t="s">
        <v>49</v>
      </c>
      <c r="E43" s="85"/>
      <c r="F43" s="85"/>
      <c r="G43" s="85"/>
      <c r="H43" s="85"/>
      <c r="I43" s="85"/>
      <c r="J43" s="85"/>
      <c r="K43" s="133"/>
    </row>
    <row r="44" spans="1:11" s="39" customFormat="1" ht="15.75" x14ac:dyDescent="0.2">
      <c r="A44" s="132">
        <f>IF(G44&lt;&gt;"",1+MAX($A$1:A43),"")</f>
        <v>16</v>
      </c>
      <c r="B44" s="169" t="s">
        <v>50</v>
      </c>
      <c r="C44" s="85"/>
      <c r="D44" s="81" t="s">
        <v>51</v>
      </c>
      <c r="E44" s="86">
        <f>913</f>
        <v>913</v>
      </c>
      <c r="F44" s="87">
        <v>0.1</v>
      </c>
      <c r="G44" s="86">
        <f t="shared" ref="G44:G46" si="4">E44*(1+F44)</f>
        <v>1004.3000000000001</v>
      </c>
      <c r="H44" s="79" t="s">
        <v>25</v>
      </c>
      <c r="I44" s="92"/>
      <c r="J44" s="90"/>
      <c r="K44" s="133"/>
    </row>
    <row r="45" spans="1:11" s="39" customFormat="1" ht="15.75" x14ac:dyDescent="0.2">
      <c r="A45" s="132">
        <f>IF(G45&lt;&gt;"",1+MAX($A$1:A44),"")</f>
        <v>17</v>
      </c>
      <c r="B45" s="169"/>
      <c r="C45" s="85"/>
      <c r="D45" s="81" t="s">
        <v>52</v>
      </c>
      <c r="E45" s="86">
        <f>663</f>
        <v>663</v>
      </c>
      <c r="F45" s="87">
        <v>0.1</v>
      </c>
      <c r="G45" s="86">
        <f t="shared" si="4"/>
        <v>729.30000000000007</v>
      </c>
      <c r="H45" s="79" t="s">
        <v>25</v>
      </c>
      <c r="I45" s="92"/>
      <c r="J45" s="90"/>
      <c r="K45" s="133"/>
    </row>
    <row r="46" spans="1:11" s="39" customFormat="1" ht="15.75" x14ac:dyDescent="0.2">
      <c r="A46" s="132">
        <f>IF(G46&lt;&gt;"",1+MAX($A$1:A45),"")</f>
        <v>18</v>
      </c>
      <c r="B46" s="169"/>
      <c r="C46" s="85"/>
      <c r="D46" s="81" t="s">
        <v>53</v>
      </c>
      <c r="E46" s="86">
        <f>5524</f>
        <v>5524</v>
      </c>
      <c r="F46" s="87">
        <v>0.1</v>
      </c>
      <c r="G46" s="86">
        <f t="shared" si="4"/>
        <v>6076.4000000000005</v>
      </c>
      <c r="H46" s="79" t="s">
        <v>25</v>
      </c>
      <c r="I46" s="92"/>
      <c r="J46" s="90"/>
      <c r="K46" s="133"/>
    </row>
    <row r="47" spans="1:11" s="39" customFormat="1" ht="15.75" x14ac:dyDescent="0.2">
      <c r="A47" s="130" t="str">
        <f>IF(G47&lt;&gt;"",1+MAX($A$1:A46),"")</f>
        <v/>
      </c>
      <c r="B47" s="91"/>
      <c r="C47" s="85"/>
      <c r="D47" s="81"/>
      <c r="E47" s="86"/>
      <c r="F47" s="87"/>
      <c r="G47" s="86"/>
      <c r="H47" s="79"/>
      <c r="I47" s="92"/>
      <c r="J47" s="90"/>
      <c r="K47" s="133"/>
    </row>
    <row r="48" spans="1:11" s="40" customFormat="1" x14ac:dyDescent="0.2">
      <c r="A48" s="142"/>
      <c r="B48" s="98"/>
      <c r="C48" s="98"/>
      <c r="D48" s="41" t="s">
        <v>54</v>
      </c>
      <c r="E48" s="86"/>
      <c r="F48" s="85"/>
      <c r="G48" s="86"/>
      <c r="H48" s="85"/>
      <c r="I48" s="85"/>
      <c r="J48" s="85"/>
      <c r="K48" s="133"/>
    </row>
    <row r="49" spans="1:11" s="39" customFormat="1" ht="15.75" x14ac:dyDescent="0.2">
      <c r="A49" s="132">
        <f>IF(G49&lt;&gt;"",1+MAX($A$1:A48),"")</f>
        <v>19</v>
      </c>
      <c r="B49" s="169" t="s">
        <v>55</v>
      </c>
      <c r="C49" s="85"/>
      <c r="D49" s="81" t="s">
        <v>56</v>
      </c>
      <c r="E49" s="86">
        <f>695</f>
        <v>695</v>
      </c>
      <c r="F49" s="87">
        <v>0.1</v>
      </c>
      <c r="G49" s="86">
        <f t="shared" ref="G49:G50" si="5">E49*(1+F49)</f>
        <v>764.50000000000011</v>
      </c>
      <c r="H49" s="79" t="s">
        <v>25</v>
      </c>
      <c r="I49" s="92"/>
      <c r="J49" s="90"/>
      <c r="K49" s="133"/>
    </row>
    <row r="50" spans="1:11" s="39" customFormat="1" ht="30" x14ac:dyDescent="0.2">
      <c r="A50" s="132">
        <f>IF(G50&lt;&gt;"",1+MAX($A$1:A49),"")</f>
        <v>20</v>
      </c>
      <c r="B50" s="169"/>
      <c r="C50" s="85"/>
      <c r="D50" s="81" t="s">
        <v>57</v>
      </c>
      <c r="E50" s="86">
        <f>6557</f>
        <v>6557</v>
      </c>
      <c r="F50" s="87">
        <v>0.1</v>
      </c>
      <c r="G50" s="86">
        <f t="shared" si="5"/>
        <v>7212.7000000000007</v>
      </c>
      <c r="H50" s="79" t="s">
        <v>25</v>
      </c>
      <c r="I50" s="92"/>
      <c r="J50" s="90"/>
      <c r="K50" s="133"/>
    </row>
    <row r="51" spans="1:11" s="40" customFormat="1" x14ac:dyDescent="0.2">
      <c r="A51" s="143"/>
      <c r="B51" s="114"/>
      <c r="C51" s="85"/>
      <c r="D51" s="85"/>
      <c r="E51" s="86"/>
      <c r="F51" s="85"/>
      <c r="G51" s="86"/>
      <c r="H51" s="85"/>
      <c r="I51" s="85"/>
      <c r="J51" s="85"/>
      <c r="K51" s="131"/>
    </row>
    <row r="52" spans="1:11" s="40" customFormat="1" x14ac:dyDescent="0.2">
      <c r="A52" s="142"/>
      <c r="B52" s="97"/>
      <c r="C52" s="98"/>
      <c r="D52" s="41" t="s">
        <v>58</v>
      </c>
      <c r="E52" s="86"/>
      <c r="F52" s="85"/>
      <c r="G52" s="86"/>
      <c r="H52" s="85"/>
      <c r="I52" s="85"/>
      <c r="J52" s="85"/>
      <c r="K52" s="133"/>
    </row>
    <row r="53" spans="1:11" s="39" customFormat="1" ht="15.75" x14ac:dyDescent="0.2">
      <c r="A53" s="132">
        <f>IF(G53&lt;&gt;"",1+MAX($A$1:A52),"")</f>
        <v>21</v>
      </c>
      <c r="B53" s="169" t="s">
        <v>35</v>
      </c>
      <c r="C53" s="85"/>
      <c r="D53" s="81" t="s">
        <v>59</v>
      </c>
      <c r="E53" s="86">
        <f>1534</f>
        <v>1534</v>
      </c>
      <c r="F53" s="87">
        <v>0.1</v>
      </c>
      <c r="G53" s="86">
        <f t="shared" ref="G53:G55" si="6">E53*(1+F53)</f>
        <v>1687.4</v>
      </c>
      <c r="H53" s="79" t="s">
        <v>25</v>
      </c>
      <c r="I53" s="92"/>
      <c r="J53" s="90"/>
      <c r="K53" s="133"/>
    </row>
    <row r="54" spans="1:11" s="39" customFormat="1" ht="15.75" x14ac:dyDescent="0.2">
      <c r="A54" s="132">
        <f>IF(G54&lt;&gt;"",1+MAX($A$1:A53),"")</f>
        <v>22</v>
      </c>
      <c r="B54" s="169"/>
      <c r="C54" s="85"/>
      <c r="D54" s="81" t="s">
        <v>60</v>
      </c>
      <c r="E54" s="86">
        <f>1550</f>
        <v>1550</v>
      </c>
      <c r="F54" s="87">
        <v>0.1</v>
      </c>
      <c r="G54" s="86">
        <f t="shared" si="6"/>
        <v>1705.0000000000002</v>
      </c>
      <c r="H54" s="79" t="s">
        <v>25</v>
      </c>
      <c r="I54" s="92"/>
      <c r="J54" s="90"/>
      <c r="K54" s="133"/>
    </row>
    <row r="55" spans="1:11" s="39" customFormat="1" ht="15.75" x14ac:dyDescent="0.2">
      <c r="A55" s="132">
        <f>IF(G55&lt;&gt;"",1+MAX($A$1:A54),"")</f>
        <v>23</v>
      </c>
      <c r="B55" s="169"/>
      <c r="C55" s="85"/>
      <c r="D55" s="81" t="s">
        <v>61</v>
      </c>
      <c r="E55" s="86">
        <f>6187</f>
        <v>6187</v>
      </c>
      <c r="F55" s="87">
        <v>0.1</v>
      </c>
      <c r="G55" s="86">
        <f t="shared" si="6"/>
        <v>6805.7000000000007</v>
      </c>
      <c r="H55" s="79" t="s">
        <v>25</v>
      </c>
      <c r="I55" s="92"/>
      <c r="J55" s="90"/>
      <c r="K55" s="133"/>
    </row>
    <row r="56" spans="1:11" s="39" customFormat="1" ht="15.75" x14ac:dyDescent="0.2">
      <c r="A56" s="132">
        <f>IF(G56&lt;&gt;"",1+MAX($A$1:A55),"")</f>
        <v>24</v>
      </c>
      <c r="B56" s="110" t="s">
        <v>31</v>
      </c>
      <c r="C56" s="85"/>
      <c r="D56" s="81" t="s">
        <v>62</v>
      </c>
      <c r="E56" s="86">
        <f>138*9.5*2</f>
        <v>2622</v>
      </c>
      <c r="F56" s="87">
        <v>0.1</v>
      </c>
      <c r="G56" s="86">
        <f>E56*(1+F56)</f>
        <v>2884.2000000000003</v>
      </c>
      <c r="H56" s="79" t="s">
        <v>25</v>
      </c>
      <c r="I56" s="92"/>
      <c r="J56" s="90"/>
      <c r="K56" s="133"/>
    </row>
    <row r="57" spans="1:11" s="40" customFormat="1" ht="15.75" thickBot="1" x14ac:dyDescent="0.25">
      <c r="A57" s="132" t="str">
        <f>IF(G57&lt;&gt;"",1+MAX($A$1:A56),"")</f>
        <v/>
      </c>
      <c r="B57" s="114"/>
      <c r="C57" s="85"/>
      <c r="D57" s="85"/>
      <c r="E57" s="85"/>
      <c r="F57" s="85"/>
      <c r="G57" s="85"/>
      <c r="H57" s="85"/>
      <c r="I57" s="85"/>
      <c r="J57" s="85"/>
      <c r="K57" s="131"/>
    </row>
    <row r="58" spans="1:11" s="39" customFormat="1" ht="16.5" thickBot="1" x14ac:dyDescent="0.25">
      <c r="A58" s="141" t="str">
        <f>IF(H58&lt;&gt;"",1+MAX(#REF!),"")</f>
        <v/>
      </c>
      <c r="B58" s="36"/>
      <c r="C58" s="37" t="s">
        <v>63</v>
      </c>
      <c r="D58" s="38" t="s">
        <v>64</v>
      </c>
      <c r="E58" s="84"/>
      <c r="F58" s="84"/>
      <c r="G58" s="84"/>
      <c r="H58" s="84"/>
      <c r="I58" s="84"/>
      <c r="J58" s="84"/>
      <c r="K58" s="129">
        <f>SUM(J59:J62)</f>
        <v>0</v>
      </c>
    </row>
    <row r="59" spans="1:11" s="40" customFormat="1" x14ac:dyDescent="0.2">
      <c r="A59" s="130" t="str">
        <f>IF(H59&lt;&gt;"",1+MAX($A$1:A58),"")</f>
        <v/>
      </c>
      <c r="B59" s="114"/>
      <c r="C59" s="85"/>
      <c r="D59" s="85"/>
      <c r="E59" s="85"/>
      <c r="F59" s="85"/>
      <c r="G59" s="85"/>
      <c r="H59" s="85"/>
      <c r="I59" s="85"/>
      <c r="J59" s="85"/>
      <c r="K59" s="133"/>
    </row>
    <row r="60" spans="1:11" s="40" customFormat="1" x14ac:dyDescent="0.2">
      <c r="A60" s="142"/>
      <c r="B60" s="97"/>
      <c r="C60" s="98"/>
      <c r="D60" s="41" t="s">
        <v>65</v>
      </c>
      <c r="E60" s="85"/>
      <c r="F60" s="85"/>
      <c r="G60" s="85"/>
      <c r="H60" s="85"/>
      <c r="I60" s="85"/>
      <c r="J60" s="85"/>
      <c r="K60" s="133"/>
    </row>
    <row r="61" spans="1:11" s="39" customFormat="1" ht="15.75" x14ac:dyDescent="0.2">
      <c r="A61" s="130">
        <f>IF(G61&lt;&gt;"",1+MAX($A$1:A60),"")</f>
        <v>25</v>
      </c>
      <c r="B61" s="110" t="s">
        <v>66</v>
      </c>
      <c r="C61" s="85"/>
      <c r="D61" s="81" t="s">
        <v>67</v>
      </c>
      <c r="E61" s="86">
        <f>(32.5*10.67*3)+(32.5*10.83*1)+(359*12.17)+(141*9.25)+(64*10.67*3)+(64*10.83*1)+(35.5*8.5)+(60.75*9*3)+(60.75*9.17*1)+(113.5*10.5)+(19*10.67*3)+(19*10.83*1)+(112*12.17)</f>
        <v>15675.1675</v>
      </c>
      <c r="F61" s="87">
        <v>0.1</v>
      </c>
      <c r="G61" s="86">
        <f>E61*(1+F61)</f>
        <v>17242.684250000002</v>
      </c>
      <c r="H61" s="79" t="s">
        <v>25</v>
      </c>
      <c r="I61" s="92"/>
      <c r="J61" s="90"/>
      <c r="K61" s="133"/>
    </row>
    <row r="62" spans="1:11" s="39" customFormat="1" ht="16.5" thickBot="1" x14ac:dyDescent="0.25">
      <c r="A62" s="134" t="str">
        <f>IF(G62&lt;&gt;"",1+MAX($A$1:A23),"")</f>
        <v/>
      </c>
      <c r="B62" s="93"/>
      <c r="C62" s="85"/>
      <c r="D62" s="81"/>
      <c r="E62" s="85"/>
      <c r="F62" s="94"/>
      <c r="G62" s="95"/>
      <c r="H62" s="79"/>
      <c r="I62" s="92"/>
      <c r="J62" s="96"/>
      <c r="K62" s="133"/>
    </row>
    <row r="63" spans="1:11" s="39" customFormat="1" ht="16.5" thickBot="1" x14ac:dyDescent="0.25">
      <c r="A63" s="141" t="str">
        <f>IF(H63&lt;&gt;"",1+MAX(#REF!),"")</f>
        <v/>
      </c>
      <c r="B63" s="36"/>
      <c r="C63" s="37" t="s">
        <v>68</v>
      </c>
      <c r="D63" s="38" t="s">
        <v>69</v>
      </c>
      <c r="E63" s="84"/>
      <c r="F63" s="84"/>
      <c r="G63" s="84"/>
      <c r="H63" s="84"/>
      <c r="I63" s="84"/>
      <c r="J63" s="84"/>
      <c r="K63" s="129">
        <f>SUM(J64:J124)</f>
        <v>0</v>
      </c>
    </row>
    <row r="64" spans="1:11" s="40" customFormat="1" x14ac:dyDescent="0.2">
      <c r="A64" s="130" t="str">
        <f>IF(H64&lt;&gt;"",1+MAX($A$1:A63),"")</f>
        <v/>
      </c>
      <c r="B64" s="114"/>
      <c r="C64" s="85"/>
      <c r="D64" s="85"/>
      <c r="E64" s="85"/>
      <c r="F64" s="85"/>
      <c r="G64" s="85"/>
      <c r="H64" s="85"/>
      <c r="I64" s="85"/>
      <c r="J64" s="85"/>
      <c r="K64" s="133"/>
    </row>
    <row r="65" spans="1:11" s="40" customFormat="1" x14ac:dyDescent="0.2">
      <c r="A65" s="142"/>
      <c r="B65" s="97"/>
      <c r="C65" s="98"/>
      <c r="D65" s="41" t="s">
        <v>70</v>
      </c>
      <c r="E65" s="85"/>
      <c r="F65" s="85"/>
      <c r="G65" s="85"/>
      <c r="H65" s="85"/>
      <c r="I65" s="85"/>
      <c r="J65" s="85"/>
      <c r="K65" s="133"/>
    </row>
    <row r="66" spans="1:11" s="39" customFormat="1" ht="45" x14ac:dyDescent="0.2">
      <c r="A66" s="130">
        <f>IF(G66&lt;&gt;"",1+MAX($A$1:A65),"")</f>
        <v>26</v>
      </c>
      <c r="B66" s="110" t="s">
        <v>71</v>
      </c>
      <c r="C66" s="85"/>
      <c r="D66" s="81" t="s">
        <v>72</v>
      </c>
      <c r="E66" s="86">
        <f>12*8.5+38*10.5</f>
        <v>501</v>
      </c>
      <c r="F66" s="87">
        <v>0.1</v>
      </c>
      <c r="G66" s="86">
        <f>E66*(1+F66)</f>
        <v>551.1</v>
      </c>
      <c r="H66" s="79" t="s">
        <v>23</v>
      </c>
      <c r="I66" s="92"/>
      <c r="J66" s="90"/>
      <c r="K66" s="133"/>
    </row>
    <row r="67" spans="1:11" s="40" customFormat="1" x14ac:dyDescent="0.2">
      <c r="A67" s="130" t="str">
        <f>IF(H67&lt;&gt;"",1+MAX($A$1:A66),"")</f>
        <v/>
      </c>
      <c r="B67" s="114"/>
      <c r="C67" s="85"/>
      <c r="D67" s="85"/>
      <c r="E67" s="86"/>
      <c r="F67" s="85"/>
      <c r="G67" s="86"/>
      <c r="H67" s="85"/>
      <c r="I67" s="85"/>
      <c r="J67" s="85"/>
      <c r="K67" s="133"/>
    </row>
    <row r="68" spans="1:11" s="40" customFormat="1" x14ac:dyDescent="0.2">
      <c r="A68" s="142"/>
      <c r="B68" s="97"/>
      <c r="C68" s="98"/>
      <c r="D68" s="41" t="s">
        <v>73</v>
      </c>
      <c r="E68" s="86"/>
      <c r="F68" s="85"/>
      <c r="G68" s="86"/>
      <c r="H68" s="85"/>
      <c r="I68" s="85"/>
      <c r="J68" s="85"/>
      <c r="K68" s="133"/>
    </row>
    <row r="69" spans="1:11" s="39" customFormat="1" ht="15.75" x14ac:dyDescent="0.2">
      <c r="A69" s="130">
        <f>IF(G69&lt;&gt;"",1+MAX($A$1:A67),"")</f>
        <v>27</v>
      </c>
      <c r="B69" s="164" t="s">
        <v>71</v>
      </c>
      <c r="C69" s="85"/>
      <c r="D69" s="81" t="s">
        <v>74</v>
      </c>
      <c r="E69" s="86">
        <f>(16+50.75)</f>
        <v>66.75</v>
      </c>
      <c r="F69" s="87">
        <v>0.1</v>
      </c>
      <c r="G69" s="86">
        <f>E69*(1+F69)</f>
        <v>73.425000000000011</v>
      </c>
      <c r="H69" s="79" t="s">
        <v>23</v>
      </c>
      <c r="I69" s="92"/>
      <c r="J69" s="90"/>
      <c r="K69" s="133"/>
    </row>
    <row r="70" spans="1:11" s="39" customFormat="1" ht="15.75" x14ac:dyDescent="0.2">
      <c r="A70" s="130">
        <f>IF(G70&lt;&gt;"",1+MAX($A$1:A69),"")</f>
        <v>28</v>
      </c>
      <c r="B70" s="164"/>
      <c r="C70" s="85"/>
      <c r="D70" s="81" t="s">
        <v>75</v>
      </c>
      <c r="E70" s="86">
        <f>(16+50.75)</f>
        <v>66.75</v>
      </c>
      <c r="F70" s="87">
        <v>0.1</v>
      </c>
      <c r="G70" s="86">
        <f>E70*(1+F70)</f>
        <v>73.425000000000011</v>
      </c>
      <c r="H70" s="79" t="s">
        <v>23</v>
      </c>
      <c r="I70" s="92"/>
      <c r="J70" s="90"/>
      <c r="K70" s="133"/>
    </row>
    <row r="71" spans="1:11" s="39" customFormat="1" ht="15.75" x14ac:dyDescent="0.2">
      <c r="A71" s="130" t="str">
        <f>IF(G71&lt;&gt;"",1+MAX($A$1:A70),"")</f>
        <v/>
      </c>
      <c r="B71" s="93"/>
      <c r="C71" s="85"/>
      <c r="D71" s="81"/>
      <c r="E71" s="86"/>
      <c r="F71" s="94"/>
      <c r="G71" s="86"/>
      <c r="H71" s="79"/>
      <c r="I71" s="92"/>
      <c r="J71" s="96"/>
      <c r="K71" s="133"/>
    </row>
    <row r="72" spans="1:11" s="46" customFormat="1" x14ac:dyDescent="0.2">
      <c r="A72" s="142" t="str">
        <f>IF(G72&lt;&gt;"",1+MAX($A$1:A71),"")</f>
        <v/>
      </c>
      <c r="B72" s="101"/>
      <c r="C72" s="102"/>
      <c r="D72" s="41" t="s">
        <v>76</v>
      </c>
      <c r="E72" s="86"/>
      <c r="F72" s="94"/>
      <c r="G72" s="86"/>
      <c r="H72" s="79"/>
      <c r="I72" s="92"/>
      <c r="J72" s="96"/>
      <c r="K72" s="133"/>
    </row>
    <row r="73" spans="1:11" s="40" customFormat="1" x14ac:dyDescent="0.2">
      <c r="A73" s="130" t="str">
        <f>IF(G73&lt;&gt;"",1+MAX($A$1:A72),"")</f>
        <v/>
      </c>
      <c r="B73" s="114"/>
      <c r="C73" s="85"/>
      <c r="D73" s="85"/>
      <c r="E73" s="86"/>
      <c r="F73" s="85"/>
      <c r="G73" s="86"/>
      <c r="H73" s="85"/>
      <c r="I73" s="85"/>
      <c r="J73" s="85"/>
      <c r="K73" s="131"/>
    </row>
    <row r="74" spans="1:11" s="40" customFormat="1" ht="30" x14ac:dyDescent="0.2">
      <c r="A74" s="132">
        <f>IF(G74&lt;&gt;"",1+MAX($A$1:A73),"")</f>
        <v>29</v>
      </c>
      <c r="B74" s="169" t="s">
        <v>77</v>
      </c>
      <c r="C74" s="85"/>
      <c r="D74" s="82" t="s">
        <v>78</v>
      </c>
      <c r="E74" s="86">
        <v>1</v>
      </c>
      <c r="F74" s="87">
        <f>0%</f>
        <v>0</v>
      </c>
      <c r="G74" s="86">
        <f>E74+F74*E74</f>
        <v>1</v>
      </c>
      <c r="H74" s="79" t="s">
        <v>15</v>
      </c>
      <c r="I74" s="89"/>
      <c r="J74" s="90"/>
      <c r="K74" s="131"/>
    </row>
    <row r="75" spans="1:11" s="40" customFormat="1" x14ac:dyDescent="0.2">
      <c r="A75" s="132" t="str">
        <f>IF(G75&lt;&gt;"",1+MAX($A$1:A74),"")</f>
        <v/>
      </c>
      <c r="B75" s="169"/>
      <c r="C75" s="85"/>
      <c r="D75" s="82"/>
      <c r="E75" s="86"/>
      <c r="F75" s="85"/>
      <c r="G75" s="86"/>
      <c r="H75" s="85"/>
      <c r="I75" s="85"/>
      <c r="J75" s="85"/>
      <c r="K75" s="131"/>
    </row>
    <row r="76" spans="1:11" s="40" customFormat="1" x14ac:dyDescent="0.2">
      <c r="A76" s="132" t="str">
        <f>IF(G76&lt;&gt;"",1+MAX($A$1:A75),"")</f>
        <v/>
      </c>
      <c r="B76" s="169"/>
      <c r="C76" s="85"/>
      <c r="D76" s="47" t="s">
        <v>79</v>
      </c>
      <c r="E76" s="86"/>
      <c r="F76" s="85"/>
      <c r="G76" s="86"/>
      <c r="H76" s="85"/>
      <c r="I76" s="85"/>
      <c r="J76" s="85"/>
      <c r="K76" s="131"/>
    </row>
    <row r="77" spans="1:11" s="46" customFormat="1" ht="15" customHeight="1" x14ac:dyDescent="0.2">
      <c r="A77" s="132">
        <f>IF(G77&lt;&gt;"",1+MAX($A$1:A76),"")</f>
        <v>30</v>
      </c>
      <c r="B77" s="169"/>
      <c r="C77" s="103"/>
      <c r="D77" s="144" t="s">
        <v>80</v>
      </c>
      <c r="E77" s="86">
        <f>65</f>
        <v>65</v>
      </c>
      <c r="F77" s="87">
        <f>10%</f>
        <v>0.1</v>
      </c>
      <c r="G77" s="86">
        <f>E77+F77*E77</f>
        <v>71.5</v>
      </c>
      <c r="H77" s="79" t="s">
        <v>23</v>
      </c>
      <c r="I77" s="89"/>
      <c r="J77" s="90"/>
      <c r="K77" s="133"/>
    </row>
    <row r="78" spans="1:11" s="46" customFormat="1" ht="15" customHeight="1" x14ac:dyDescent="0.2">
      <c r="A78" s="132">
        <f>IF(G78&lt;&gt;"",1+MAX($A$1:A77),"")</f>
        <v>31</v>
      </c>
      <c r="B78" s="169"/>
      <c r="C78" s="103"/>
      <c r="D78" s="144" t="s">
        <v>81</v>
      </c>
      <c r="E78" s="86">
        <f>79</f>
        <v>79</v>
      </c>
      <c r="F78" s="87">
        <f>10%</f>
        <v>0.1</v>
      </c>
      <c r="G78" s="86">
        <f t="shared" ref="G78:G120" si="7">E78+F78*E78</f>
        <v>86.9</v>
      </c>
      <c r="H78" s="79" t="s">
        <v>23</v>
      </c>
      <c r="I78" s="89"/>
      <c r="J78" s="90"/>
      <c r="K78" s="133"/>
    </row>
    <row r="79" spans="1:11" s="46" customFormat="1" ht="15" customHeight="1" x14ac:dyDescent="0.2">
      <c r="A79" s="132">
        <f>IF(G79&lt;&gt;"",1+MAX($A$1:A78),"")</f>
        <v>32</v>
      </c>
      <c r="B79" s="169"/>
      <c r="C79" s="103"/>
      <c r="D79" s="144" t="s">
        <v>82</v>
      </c>
      <c r="E79" s="86">
        <f>38</f>
        <v>38</v>
      </c>
      <c r="F79" s="87">
        <f>10%</f>
        <v>0.1</v>
      </c>
      <c r="G79" s="86">
        <f t="shared" si="7"/>
        <v>41.8</v>
      </c>
      <c r="H79" s="79" t="s">
        <v>23</v>
      </c>
      <c r="I79" s="89"/>
      <c r="J79" s="90"/>
      <c r="K79" s="133"/>
    </row>
    <row r="80" spans="1:11" s="46" customFormat="1" ht="15" customHeight="1" x14ac:dyDescent="0.2">
      <c r="A80" s="132">
        <f>IF(G80&lt;&gt;"",1+MAX($A$1:A79),"")</f>
        <v>33</v>
      </c>
      <c r="B80" s="169"/>
      <c r="C80" s="103"/>
      <c r="D80" s="144" t="s">
        <v>83</v>
      </c>
      <c r="E80" s="86">
        <f>26</f>
        <v>26</v>
      </c>
      <c r="F80" s="87">
        <f>10%</f>
        <v>0.1</v>
      </c>
      <c r="G80" s="86">
        <f t="shared" si="7"/>
        <v>28.6</v>
      </c>
      <c r="H80" s="79" t="s">
        <v>23</v>
      </c>
      <c r="I80" s="89"/>
      <c r="J80" s="90"/>
      <c r="K80" s="133"/>
    </row>
    <row r="81" spans="1:11" s="46" customFormat="1" ht="15" customHeight="1" x14ac:dyDescent="0.2">
      <c r="A81" s="132">
        <f>IF(G81&lt;&gt;"",1+MAX($A$1:A80),"")</f>
        <v>34</v>
      </c>
      <c r="B81" s="169"/>
      <c r="C81" s="103"/>
      <c r="D81" s="144" t="s">
        <v>84</v>
      </c>
      <c r="E81" s="86">
        <f>170</f>
        <v>170</v>
      </c>
      <c r="F81" s="87">
        <f>10%</f>
        <v>0.1</v>
      </c>
      <c r="G81" s="86">
        <f t="shared" si="7"/>
        <v>187</v>
      </c>
      <c r="H81" s="79" t="s">
        <v>23</v>
      </c>
      <c r="I81" s="89"/>
      <c r="J81" s="90"/>
      <c r="K81" s="133"/>
    </row>
    <row r="82" spans="1:11" s="46" customFormat="1" ht="15" customHeight="1" x14ac:dyDescent="0.2">
      <c r="A82" s="132">
        <f>IF(G82&lt;&gt;"",1+MAX($A$1:A81),"")</f>
        <v>35</v>
      </c>
      <c r="B82" s="169"/>
      <c r="C82" s="103"/>
      <c r="D82" s="144" t="s">
        <v>85</v>
      </c>
      <c r="E82" s="86">
        <f>60</f>
        <v>60</v>
      </c>
      <c r="F82" s="87">
        <f>10%</f>
        <v>0.1</v>
      </c>
      <c r="G82" s="86">
        <f t="shared" si="7"/>
        <v>66</v>
      </c>
      <c r="H82" s="79" t="s">
        <v>23</v>
      </c>
      <c r="I82" s="89"/>
      <c r="J82" s="90"/>
      <c r="K82" s="133"/>
    </row>
    <row r="83" spans="1:11" s="46" customFormat="1" ht="15" customHeight="1" x14ac:dyDescent="0.2">
      <c r="A83" s="132">
        <f>IF(G83&lt;&gt;"",1+MAX($A$1:A82),"")</f>
        <v>36</v>
      </c>
      <c r="B83" s="169"/>
      <c r="C83" s="103"/>
      <c r="D83" s="144" t="s">
        <v>86</v>
      </c>
      <c r="E83" s="86">
        <f>22</f>
        <v>22</v>
      </c>
      <c r="F83" s="87">
        <f>10%</f>
        <v>0.1</v>
      </c>
      <c r="G83" s="86">
        <f t="shared" si="7"/>
        <v>24.2</v>
      </c>
      <c r="H83" s="79" t="s">
        <v>23</v>
      </c>
      <c r="I83" s="89"/>
      <c r="J83" s="90"/>
      <c r="K83" s="133"/>
    </row>
    <row r="84" spans="1:11" s="46" customFormat="1" ht="15" customHeight="1" x14ac:dyDescent="0.2">
      <c r="A84" s="132">
        <f>IF(G84&lt;&gt;"",1+MAX($A$1:A83),"")</f>
        <v>37</v>
      </c>
      <c r="B84" s="169"/>
      <c r="C84" s="103"/>
      <c r="D84" s="144" t="s">
        <v>87</v>
      </c>
      <c r="E84" s="86">
        <f>81</f>
        <v>81</v>
      </c>
      <c r="F84" s="87">
        <f>10%</f>
        <v>0.1</v>
      </c>
      <c r="G84" s="86">
        <f t="shared" si="7"/>
        <v>89.1</v>
      </c>
      <c r="H84" s="79" t="s">
        <v>23</v>
      </c>
      <c r="I84" s="89"/>
      <c r="J84" s="90"/>
      <c r="K84" s="133"/>
    </row>
    <row r="85" spans="1:11" s="46" customFormat="1" ht="15" customHeight="1" x14ac:dyDescent="0.2">
      <c r="A85" s="132">
        <f>IF(G85&lt;&gt;"",1+MAX($A$1:A84),"")</f>
        <v>38</v>
      </c>
      <c r="B85" s="169"/>
      <c r="C85" s="103"/>
      <c r="D85" s="144" t="s">
        <v>88</v>
      </c>
      <c r="E85" s="86">
        <f>49</f>
        <v>49</v>
      </c>
      <c r="F85" s="87">
        <f>10%</f>
        <v>0.1</v>
      </c>
      <c r="G85" s="86">
        <f t="shared" si="7"/>
        <v>53.9</v>
      </c>
      <c r="H85" s="79" t="s">
        <v>23</v>
      </c>
      <c r="I85" s="89"/>
      <c r="J85" s="90"/>
      <c r="K85" s="133"/>
    </row>
    <row r="86" spans="1:11" s="46" customFormat="1" ht="15" customHeight="1" x14ac:dyDescent="0.2">
      <c r="A86" s="132">
        <f>IF(G86&lt;&gt;"",1+MAX($A$1:A85),"")</f>
        <v>39</v>
      </c>
      <c r="B86" s="169"/>
      <c r="C86" s="103"/>
      <c r="D86" s="144" t="s">
        <v>89</v>
      </c>
      <c r="E86" s="86">
        <f>48</f>
        <v>48</v>
      </c>
      <c r="F86" s="87">
        <f>10%</f>
        <v>0.1</v>
      </c>
      <c r="G86" s="86">
        <f t="shared" si="7"/>
        <v>52.8</v>
      </c>
      <c r="H86" s="79" t="s">
        <v>23</v>
      </c>
      <c r="I86" s="89"/>
      <c r="J86" s="90"/>
      <c r="K86" s="133"/>
    </row>
    <row r="87" spans="1:11" s="46" customFormat="1" ht="15" customHeight="1" x14ac:dyDescent="0.2">
      <c r="A87" s="132">
        <f>IF(G87&lt;&gt;"",1+MAX($A$1:A86),"")</f>
        <v>40</v>
      </c>
      <c r="B87" s="169"/>
      <c r="C87" s="103"/>
      <c r="D87" s="144" t="s">
        <v>90</v>
      </c>
      <c r="E87" s="86">
        <f>33</f>
        <v>33</v>
      </c>
      <c r="F87" s="87">
        <f>10%</f>
        <v>0.1</v>
      </c>
      <c r="G87" s="86">
        <f t="shared" si="7"/>
        <v>36.299999999999997</v>
      </c>
      <c r="H87" s="79" t="s">
        <v>23</v>
      </c>
      <c r="I87" s="89"/>
      <c r="J87" s="90"/>
      <c r="K87" s="133"/>
    </row>
    <row r="88" spans="1:11" s="46" customFormat="1" ht="15" customHeight="1" x14ac:dyDescent="0.2">
      <c r="A88" s="132">
        <f>IF(G88&lt;&gt;"",1+MAX($A$1:A87),"")</f>
        <v>41</v>
      </c>
      <c r="B88" s="169"/>
      <c r="C88" s="103"/>
      <c r="D88" s="144" t="s">
        <v>91</v>
      </c>
      <c r="E88" s="86">
        <f>24</f>
        <v>24</v>
      </c>
      <c r="F88" s="87">
        <f>10%</f>
        <v>0.1</v>
      </c>
      <c r="G88" s="86">
        <f t="shared" si="7"/>
        <v>26.4</v>
      </c>
      <c r="H88" s="79" t="s">
        <v>23</v>
      </c>
      <c r="I88" s="89"/>
      <c r="J88" s="90"/>
      <c r="K88" s="133"/>
    </row>
    <row r="89" spans="1:11" s="46" customFormat="1" ht="15" customHeight="1" x14ac:dyDescent="0.2">
      <c r="A89" s="132">
        <f>IF(G89&lt;&gt;"",1+MAX($A$1:A88),"")</f>
        <v>42</v>
      </c>
      <c r="B89" s="169"/>
      <c r="C89" s="103"/>
      <c r="D89" s="144" t="s">
        <v>92</v>
      </c>
      <c r="E89" s="86">
        <f>21</f>
        <v>21</v>
      </c>
      <c r="F89" s="87">
        <f>10%</f>
        <v>0.1</v>
      </c>
      <c r="G89" s="86">
        <f t="shared" si="7"/>
        <v>23.1</v>
      </c>
      <c r="H89" s="79" t="s">
        <v>23</v>
      </c>
      <c r="I89" s="89"/>
      <c r="J89" s="90"/>
      <c r="K89" s="133"/>
    </row>
    <row r="90" spans="1:11" s="46" customFormat="1" ht="15" customHeight="1" x14ac:dyDescent="0.2">
      <c r="A90" s="132">
        <f>IF(G90&lt;&gt;"",1+MAX($A$1:A89),"")</f>
        <v>43</v>
      </c>
      <c r="B90" s="169"/>
      <c r="C90" s="103"/>
      <c r="D90" s="144" t="s">
        <v>93</v>
      </c>
      <c r="E90" s="86">
        <f>46</f>
        <v>46</v>
      </c>
      <c r="F90" s="87">
        <f>10%</f>
        <v>0.1</v>
      </c>
      <c r="G90" s="86">
        <f t="shared" si="7"/>
        <v>50.6</v>
      </c>
      <c r="H90" s="79" t="s">
        <v>23</v>
      </c>
      <c r="I90" s="89"/>
      <c r="J90" s="90"/>
      <c r="K90" s="133"/>
    </row>
    <row r="91" spans="1:11" s="46" customFormat="1" ht="15" customHeight="1" x14ac:dyDescent="0.2">
      <c r="A91" s="132">
        <f>IF(G91&lt;&gt;"",1+MAX($A$1:A90),"")</f>
        <v>44</v>
      </c>
      <c r="B91" s="169"/>
      <c r="C91" s="103"/>
      <c r="D91" s="144" t="s">
        <v>94</v>
      </c>
      <c r="E91" s="86">
        <f>5</f>
        <v>5</v>
      </c>
      <c r="F91" s="87">
        <f>10%</f>
        <v>0.1</v>
      </c>
      <c r="G91" s="86">
        <f t="shared" si="7"/>
        <v>5.5</v>
      </c>
      <c r="H91" s="79" t="s">
        <v>23</v>
      </c>
      <c r="I91" s="89"/>
      <c r="J91" s="90"/>
      <c r="K91" s="133"/>
    </row>
    <row r="92" spans="1:11" s="46" customFormat="1" ht="15" customHeight="1" x14ac:dyDescent="0.2">
      <c r="A92" s="132">
        <f>IF(G92&lt;&gt;"",1+MAX($A$1:A91),"")</f>
        <v>45</v>
      </c>
      <c r="B92" s="169"/>
      <c r="C92" s="103"/>
      <c r="D92" s="144" t="s">
        <v>95</v>
      </c>
      <c r="E92" s="86">
        <f>15</f>
        <v>15</v>
      </c>
      <c r="F92" s="87">
        <f>10%</f>
        <v>0.1</v>
      </c>
      <c r="G92" s="86">
        <f t="shared" si="7"/>
        <v>16.5</v>
      </c>
      <c r="H92" s="79" t="s">
        <v>23</v>
      </c>
      <c r="I92" s="89"/>
      <c r="J92" s="90"/>
      <c r="K92" s="133"/>
    </row>
    <row r="93" spans="1:11" s="46" customFormat="1" ht="15" customHeight="1" x14ac:dyDescent="0.2">
      <c r="A93" s="132">
        <f>IF(G93&lt;&gt;"",1+MAX($A$1:A92),"")</f>
        <v>46</v>
      </c>
      <c r="B93" s="169"/>
      <c r="C93" s="103"/>
      <c r="D93" s="144" t="s">
        <v>96</v>
      </c>
      <c r="E93" s="86">
        <v>56</v>
      </c>
      <c r="F93" s="87">
        <f>10%</f>
        <v>0.1</v>
      </c>
      <c r="G93" s="86">
        <f t="shared" si="7"/>
        <v>61.6</v>
      </c>
      <c r="H93" s="79" t="s">
        <v>23</v>
      </c>
      <c r="I93" s="89"/>
      <c r="J93" s="90"/>
      <c r="K93" s="133"/>
    </row>
    <row r="94" spans="1:11" s="46" customFormat="1" ht="15" customHeight="1" x14ac:dyDescent="0.2">
      <c r="A94" s="132">
        <f>IF(G94&lt;&gt;"",1+MAX($A$1:A93),"")</f>
        <v>47</v>
      </c>
      <c r="B94" s="169"/>
      <c r="C94" s="103"/>
      <c r="D94" s="144" t="s">
        <v>97</v>
      </c>
      <c r="E94" s="86">
        <f>15</f>
        <v>15</v>
      </c>
      <c r="F94" s="87">
        <f>10%</f>
        <v>0.1</v>
      </c>
      <c r="G94" s="86">
        <f t="shared" si="7"/>
        <v>16.5</v>
      </c>
      <c r="H94" s="79" t="s">
        <v>23</v>
      </c>
      <c r="I94" s="89"/>
      <c r="J94" s="90"/>
      <c r="K94" s="133"/>
    </row>
    <row r="95" spans="1:11" s="46" customFormat="1" ht="15" customHeight="1" x14ac:dyDescent="0.2">
      <c r="A95" s="132">
        <f>IF(G95&lt;&gt;"",1+MAX($A$1:A94),"")</f>
        <v>48</v>
      </c>
      <c r="B95" s="169"/>
      <c r="C95" s="103"/>
      <c r="D95" s="144" t="s">
        <v>98</v>
      </c>
      <c r="E95" s="86">
        <f>53</f>
        <v>53</v>
      </c>
      <c r="F95" s="87">
        <f>10%</f>
        <v>0.1</v>
      </c>
      <c r="G95" s="86">
        <f t="shared" si="7"/>
        <v>58.3</v>
      </c>
      <c r="H95" s="79" t="s">
        <v>23</v>
      </c>
      <c r="I95" s="89"/>
      <c r="J95" s="90"/>
      <c r="K95" s="133"/>
    </row>
    <row r="96" spans="1:11" s="46" customFormat="1" ht="15" customHeight="1" x14ac:dyDescent="0.2">
      <c r="A96" s="132">
        <f>IF(G96&lt;&gt;"",1+MAX($A$1:A95),"")</f>
        <v>49</v>
      </c>
      <c r="B96" s="169"/>
      <c r="C96" s="103"/>
      <c r="D96" s="144" t="s">
        <v>99</v>
      </c>
      <c r="E96" s="86">
        <f>27</f>
        <v>27</v>
      </c>
      <c r="F96" s="87">
        <f>10%</f>
        <v>0.1</v>
      </c>
      <c r="G96" s="86">
        <f t="shared" si="7"/>
        <v>29.7</v>
      </c>
      <c r="H96" s="79" t="s">
        <v>23</v>
      </c>
      <c r="I96" s="89"/>
      <c r="J96" s="90"/>
      <c r="K96" s="133"/>
    </row>
    <row r="97" spans="1:11" s="46" customFormat="1" ht="15" customHeight="1" x14ac:dyDescent="0.2">
      <c r="A97" s="132">
        <f>IF(G97&lt;&gt;"",1+MAX($A$1:A96),"")</f>
        <v>50</v>
      </c>
      <c r="B97" s="169"/>
      <c r="C97" s="103"/>
      <c r="D97" s="144" t="s">
        <v>100</v>
      </c>
      <c r="E97" s="86">
        <v>44</v>
      </c>
      <c r="F97" s="87">
        <f>10%</f>
        <v>0.1</v>
      </c>
      <c r="G97" s="86">
        <f t="shared" si="7"/>
        <v>48.4</v>
      </c>
      <c r="H97" s="79" t="s">
        <v>23</v>
      </c>
      <c r="I97" s="89"/>
      <c r="J97" s="90"/>
      <c r="K97" s="133"/>
    </row>
    <row r="98" spans="1:11" s="46" customFormat="1" ht="15" customHeight="1" x14ac:dyDescent="0.2">
      <c r="A98" s="132">
        <f>IF(G98&lt;&gt;"",1+MAX($A$1:A97),"")</f>
        <v>51</v>
      </c>
      <c r="B98" s="169"/>
      <c r="C98" s="103"/>
      <c r="D98" s="144" t="s">
        <v>101</v>
      </c>
      <c r="E98" s="86">
        <f>27</f>
        <v>27</v>
      </c>
      <c r="F98" s="87">
        <f>10%</f>
        <v>0.1</v>
      </c>
      <c r="G98" s="86">
        <f t="shared" si="7"/>
        <v>29.7</v>
      </c>
      <c r="H98" s="79" t="s">
        <v>23</v>
      </c>
      <c r="I98" s="89"/>
      <c r="J98" s="90"/>
      <c r="K98" s="133"/>
    </row>
    <row r="99" spans="1:11" s="46" customFormat="1" ht="15" customHeight="1" x14ac:dyDescent="0.2">
      <c r="A99" s="132">
        <f>IF(G99&lt;&gt;"",1+MAX($A$1:A98),"")</f>
        <v>52</v>
      </c>
      <c r="B99" s="169"/>
      <c r="C99" s="103"/>
      <c r="D99" s="144" t="s">
        <v>102</v>
      </c>
      <c r="E99" s="86">
        <f>15</f>
        <v>15</v>
      </c>
      <c r="F99" s="87">
        <f>10%</f>
        <v>0.1</v>
      </c>
      <c r="G99" s="86">
        <f t="shared" si="7"/>
        <v>16.5</v>
      </c>
      <c r="H99" s="79" t="s">
        <v>23</v>
      </c>
      <c r="I99" s="89"/>
      <c r="J99" s="90"/>
      <c r="K99" s="133"/>
    </row>
    <row r="100" spans="1:11" s="46" customFormat="1" ht="15" customHeight="1" x14ac:dyDescent="0.2">
      <c r="A100" s="132">
        <f>IF(G100&lt;&gt;"",1+MAX($A$1:A99),"")</f>
        <v>53</v>
      </c>
      <c r="B100" s="169"/>
      <c r="C100" s="103"/>
      <c r="D100" s="144" t="s">
        <v>103</v>
      </c>
      <c r="E100" s="86">
        <f>15</f>
        <v>15</v>
      </c>
      <c r="F100" s="87">
        <f>10%</f>
        <v>0.1</v>
      </c>
      <c r="G100" s="86">
        <f t="shared" si="7"/>
        <v>16.5</v>
      </c>
      <c r="H100" s="79" t="s">
        <v>23</v>
      </c>
      <c r="I100" s="89"/>
      <c r="J100" s="90"/>
      <c r="K100" s="133"/>
    </row>
    <row r="101" spans="1:11" s="46" customFormat="1" ht="15" customHeight="1" x14ac:dyDescent="0.2">
      <c r="A101" s="132">
        <f>IF(G101&lt;&gt;"",1+MAX($A$1:A100),"")</f>
        <v>54</v>
      </c>
      <c r="B101" s="169"/>
      <c r="C101" s="103"/>
      <c r="D101" s="144" t="s">
        <v>104</v>
      </c>
      <c r="E101" s="86">
        <f>37</f>
        <v>37</v>
      </c>
      <c r="F101" s="87">
        <f>10%</f>
        <v>0.1</v>
      </c>
      <c r="G101" s="86">
        <f t="shared" si="7"/>
        <v>40.700000000000003</v>
      </c>
      <c r="H101" s="79" t="s">
        <v>23</v>
      </c>
      <c r="I101" s="89"/>
      <c r="J101" s="90"/>
      <c r="K101" s="133"/>
    </row>
    <row r="102" spans="1:11" s="46" customFormat="1" ht="15" customHeight="1" x14ac:dyDescent="0.2">
      <c r="A102" s="132">
        <f>IF(G102&lt;&gt;"",1+MAX($A$1:A101),"")</f>
        <v>55</v>
      </c>
      <c r="B102" s="169"/>
      <c r="C102" s="103"/>
      <c r="D102" s="144" t="s">
        <v>105</v>
      </c>
      <c r="E102" s="86">
        <f>22</f>
        <v>22</v>
      </c>
      <c r="F102" s="87">
        <f>10%</f>
        <v>0.1</v>
      </c>
      <c r="G102" s="86">
        <f t="shared" si="7"/>
        <v>24.2</v>
      </c>
      <c r="H102" s="79" t="s">
        <v>23</v>
      </c>
      <c r="I102" s="89"/>
      <c r="J102" s="90"/>
      <c r="K102" s="133"/>
    </row>
    <row r="103" spans="1:11" s="46" customFormat="1" ht="15" customHeight="1" x14ac:dyDescent="0.2">
      <c r="A103" s="132">
        <f>IF(G103&lt;&gt;"",1+MAX($A$1:A102),"")</f>
        <v>56</v>
      </c>
      <c r="B103" s="169"/>
      <c r="C103" s="103"/>
      <c r="D103" s="144" t="s">
        <v>106</v>
      </c>
      <c r="E103" s="86">
        <f>14</f>
        <v>14</v>
      </c>
      <c r="F103" s="87">
        <f>10%</f>
        <v>0.1</v>
      </c>
      <c r="G103" s="86">
        <f t="shared" si="7"/>
        <v>15.4</v>
      </c>
      <c r="H103" s="79" t="s">
        <v>23</v>
      </c>
      <c r="I103" s="89"/>
      <c r="J103" s="90"/>
      <c r="K103" s="133"/>
    </row>
    <row r="104" spans="1:11" s="46" customFormat="1" ht="15" customHeight="1" x14ac:dyDescent="0.2">
      <c r="A104" s="132">
        <f>IF(G104&lt;&gt;"",1+MAX($A$1:A103),"")</f>
        <v>57</v>
      </c>
      <c r="B104" s="169"/>
      <c r="C104" s="103"/>
      <c r="D104" s="144" t="s">
        <v>107</v>
      </c>
      <c r="E104" s="86">
        <f>40</f>
        <v>40</v>
      </c>
      <c r="F104" s="87">
        <f>10%</f>
        <v>0.1</v>
      </c>
      <c r="G104" s="86">
        <f t="shared" si="7"/>
        <v>44</v>
      </c>
      <c r="H104" s="79" t="s">
        <v>23</v>
      </c>
      <c r="I104" s="89"/>
      <c r="J104" s="90"/>
      <c r="K104" s="133"/>
    </row>
    <row r="105" spans="1:11" s="46" customFormat="1" ht="15" customHeight="1" x14ac:dyDescent="0.2">
      <c r="A105" s="132">
        <f>IF(G105&lt;&gt;"",1+MAX($A$1:A104),"")</f>
        <v>58</v>
      </c>
      <c r="B105" s="169"/>
      <c r="C105" s="103"/>
      <c r="D105" s="144" t="s">
        <v>108</v>
      </c>
      <c r="E105" s="86">
        <f>60</f>
        <v>60</v>
      </c>
      <c r="F105" s="87">
        <f>10%</f>
        <v>0.1</v>
      </c>
      <c r="G105" s="86">
        <f t="shared" si="7"/>
        <v>66</v>
      </c>
      <c r="H105" s="79" t="s">
        <v>23</v>
      </c>
      <c r="I105" s="89"/>
      <c r="J105" s="90"/>
      <c r="K105" s="133"/>
    </row>
    <row r="106" spans="1:11" s="46" customFormat="1" ht="15" customHeight="1" x14ac:dyDescent="0.2">
      <c r="A106" s="132">
        <f>IF(G106&lt;&gt;"",1+MAX($A$1:A105),"")</f>
        <v>59</v>
      </c>
      <c r="B106" s="169"/>
      <c r="C106" s="103"/>
      <c r="D106" s="144" t="s">
        <v>109</v>
      </c>
      <c r="E106" s="86">
        <f>58</f>
        <v>58</v>
      </c>
      <c r="F106" s="87">
        <f>10%</f>
        <v>0.1</v>
      </c>
      <c r="G106" s="86">
        <f t="shared" si="7"/>
        <v>63.8</v>
      </c>
      <c r="H106" s="79" t="s">
        <v>23</v>
      </c>
      <c r="I106" s="89"/>
      <c r="J106" s="90"/>
      <c r="K106" s="133"/>
    </row>
    <row r="107" spans="1:11" s="46" customFormat="1" ht="15" customHeight="1" x14ac:dyDescent="0.2">
      <c r="A107" s="132">
        <f>IF(G107&lt;&gt;"",1+MAX($A$1:A106),"")</f>
        <v>60</v>
      </c>
      <c r="B107" s="169"/>
      <c r="C107" s="103"/>
      <c r="D107" s="144" t="s">
        <v>110</v>
      </c>
      <c r="E107" s="86">
        <f>19</f>
        <v>19</v>
      </c>
      <c r="F107" s="87">
        <f>10%</f>
        <v>0.1</v>
      </c>
      <c r="G107" s="86">
        <f t="shared" si="7"/>
        <v>20.9</v>
      </c>
      <c r="H107" s="79" t="s">
        <v>23</v>
      </c>
      <c r="I107" s="89"/>
      <c r="J107" s="90"/>
      <c r="K107" s="133"/>
    </row>
    <row r="108" spans="1:11" s="46" customFormat="1" ht="15" customHeight="1" x14ac:dyDescent="0.2">
      <c r="A108" s="132">
        <f>IF(G108&lt;&gt;"",1+MAX($A$1:A107),"")</f>
        <v>61</v>
      </c>
      <c r="B108" s="169"/>
      <c r="C108" s="103"/>
      <c r="D108" s="144" t="s">
        <v>111</v>
      </c>
      <c r="E108" s="86">
        <f>14</f>
        <v>14</v>
      </c>
      <c r="F108" s="87">
        <f>10%</f>
        <v>0.1</v>
      </c>
      <c r="G108" s="86">
        <f t="shared" si="7"/>
        <v>15.4</v>
      </c>
      <c r="H108" s="79" t="s">
        <v>23</v>
      </c>
      <c r="I108" s="89"/>
      <c r="J108" s="90"/>
      <c r="K108" s="133"/>
    </row>
    <row r="109" spans="1:11" s="46" customFormat="1" ht="15" customHeight="1" x14ac:dyDescent="0.2">
      <c r="A109" s="132">
        <f>IF(G109&lt;&gt;"",1+MAX($A$1:A108),"")</f>
        <v>62</v>
      </c>
      <c r="B109" s="169"/>
      <c r="C109" s="103"/>
      <c r="D109" s="144" t="s">
        <v>112</v>
      </c>
      <c r="E109" s="86">
        <f>20</f>
        <v>20</v>
      </c>
      <c r="F109" s="87">
        <f>10%</f>
        <v>0.1</v>
      </c>
      <c r="G109" s="86">
        <f t="shared" si="7"/>
        <v>22</v>
      </c>
      <c r="H109" s="79" t="s">
        <v>23</v>
      </c>
      <c r="I109" s="89"/>
      <c r="J109" s="90"/>
      <c r="K109" s="133"/>
    </row>
    <row r="110" spans="1:11" s="46" customFormat="1" ht="15" customHeight="1" x14ac:dyDescent="0.2">
      <c r="A110" s="132">
        <f>IF(G110&lt;&gt;"",1+MAX($A$1:A109),"")</f>
        <v>63</v>
      </c>
      <c r="B110" s="169"/>
      <c r="C110" s="103"/>
      <c r="D110" s="144" t="s">
        <v>113</v>
      </c>
      <c r="E110" s="86">
        <f>38</f>
        <v>38</v>
      </c>
      <c r="F110" s="87">
        <f>10%</f>
        <v>0.1</v>
      </c>
      <c r="G110" s="86">
        <f t="shared" si="7"/>
        <v>41.8</v>
      </c>
      <c r="H110" s="79" t="s">
        <v>23</v>
      </c>
      <c r="I110" s="89"/>
      <c r="J110" s="90"/>
      <c r="K110" s="133"/>
    </row>
    <row r="111" spans="1:11" s="46" customFormat="1" ht="15" customHeight="1" x14ac:dyDescent="0.2">
      <c r="A111" s="132">
        <f>IF(G111&lt;&gt;"",1+MAX($A$1:A110),"")</f>
        <v>64</v>
      </c>
      <c r="B111" s="169"/>
      <c r="C111" s="103"/>
      <c r="D111" s="144" t="s">
        <v>114</v>
      </c>
      <c r="E111" s="86">
        <f>19</f>
        <v>19</v>
      </c>
      <c r="F111" s="87">
        <f>10%</f>
        <v>0.1</v>
      </c>
      <c r="G111" s="86">
        <f t="shared" si="7"/>
        <v>20.9</v>
      </c>
      <c r="H111" s="79" t="s">
        <v>23</v>
      </c>
      <c r="I111" s="89"/>
      <c r="J111" s="90"/>
      <c r="K111" s="133"/>
    </row>
    <row r="112" spans="1:11" s="46" customFormat="1" ht="15" customHeight="1" x14ac:dyDescent="0.2">
      <c r="A112" s="132">
        <f>IF(G112&lt;&gt;"",1+MAX($A$1:A111),"")</f>
        <v>65</v>
      </c>
      <c r="B112" s="169"/>
      <c r="C112" s="103"/>
      <c r="D112" s="144" t="s">
        <v>115</v>
      </c>
      <c r="E112" s="86">
        <f>18</f>
        <v>18</v>
      </c>
      <c r="F112" s="87">
        <f>10%</f>
        <v>0.1</v>
      </c>
      <c r="G112" s="86">
        <f t="shared" si="7"/>
        <v>19.8</v>
      </c>
      <c r="H112" s="79" t="s">
        <v>23</v>
      </c>
      <c r="I112" s="89"/>
      <c r="J112" s="90"/>
      <c r="K112" s="133"/>
    </row>
    <row r="113" spans="1:11" s="46" customFormat="1" ht="15" customHeight="1" x14ac:dyDescent="0.2">
      <c r="A113" s="132">
        <f>IF(G113&lt;&gt;"",1+MAX($A$1:A112),"")</f>
        <v>66</v>
      </c>
      <c r="B113" s="169"/>
      <c r="C113" s="103"/>
      <c r="D113" s="144" t="s">
        <v>116</v>
      </c>
      <c r="E113" s="86">
        <f>20</f>
        <v>20</v>
      </c>
      <c r="F113" s="87">
        <f>10%</f>
        <v>0.1</v>
      </c>
      <c r="G113" s="86">
        <f t="shared" si="7"/>
        <v>22</v>
      </c>
      <c r="H113" s="79" t="s">
        <v>23</v>
      </c>
      <c r="I113" s="89"/>
      <c r="J113" s="90"/>
      <c r="K113" s="133"/>
    </row>
    <row r="114" spans="1:11" s="46" customFormat="1" ht="15" customHeight="1" x14ac:dyDescent="0.2">
      <c r="A114" s="132">
        <f>IF(G114&lt;&gt;"",1+MAX($A$1:A113),"")</f>
        <v>67</v>
      </c>
      <c r="B114" s="169"/>
      <c r="C114" s="103"/>
      <c r="D114" s="144" t="s">
        <v>117</v>
      </c>
      <c r="E114" s="86">
        <f>17</f>
        <v>17</v>
      </c>
      <c r="F114" s="87">
        <f>10%</f>
        <v>0.1</v>
      </c>
      <c r="G114" s="86">
        <f t="shared" si="7"/>
        <v>18.7</v>
      </c>
      <c r="H114" s="79" t="s">
        <v>23</v>
      </c>
      <c r="I114" s="89"/>
      <c r="J114" s="90"/>
      <c r="K114" s="133"/>
    </row>
    <row r="115" spans="1:11" s="46" customFormat="1" ht="15" customHeight="1" x14ac:dyDescent="0.2">
      <c r="A115" s="132">
        <f>IF(G115&lt;&gt;"",1+MAX($A$1:A114),"")</f>
        <v>68</v>
      </c>
      <c r="B115" s="169"/>
      <c r="C115" s="103"/>
      <c r="D115" s="144" t="s">
        <v>118</v>
      </c>
      <c r="E115" s="86">
        <f>14</f>
        <v>14</v>
      </c>
      <c r="F115" s="87">
        <f>10%</f>
        <v>0.1</v>
      </c>
      <c r="G115" s="86">
        <f t="shared" si="7"/>
        <v>15.4</v>
      </c>
      <c r="H115" s="79" t="s">
        <v>23</v>
      </c>
      <c r="I115" s="89"/>
      <c r="J115" s="90"/>
      <c r="K115" s="133"/>
    </row>
    <row r="116" spans="1:11" s="46" customFormat="1" ht="15" customHeight="1" x14ac:dyDescent="0.2">
      <c r="A116" s="132">
        <f>IF(G116&lt;&gt;"",1+MAX($A$1:A115),"")</f>
        <v>69</v>
      </c>
      <c r="B116" s="169"/>
      <c r="C116" s="103"/>
      <c r="D116" s="144" t="s">
        <v>119</v>
      </c>
      <c r="E116" s="86">
        <f>18</f>
        <v>18</v>
      </c>
      <c r="F116" s="87">
        <f>10%</f>
        <v>0.1</v>
      </c>
      <c r="G116" s="86">
        <f t="shared" si="7"/>
        <v>19.8</v>
      </c>
      <c r="H116" s="79" t="s">
        <v>23</v>
      </c>
      <c r="I116" s="89"/>
      <c r="J116" s="90"/>
      <c r="K116" s="133"/>
    </row>
    <row r="117" spans="1:11" s="46" customFormat="1" ht="15" customHeight="1" x14ac:dyDescent="0.2">
      <c r="A117" s="132">
        <f>IF(G117&lt;&gt;"",1+MAX($A$1:A116),"")</f>
        <v>70</v>
      </c>
      <c r="B117" s="169"/>
      <c r="C117" s="103"/>
      <c r="D117" s="144" t="s">
        <v>120</v>
      </c>
      <c r="E117" s="86">
        <f>18</f>
        <v>18</v>
      </c>
      <c r="F117" s="87">
        <f>10%</f>
        <v>0.1</v>
      </c>
      <c r="G117" s="86">
        <f t="shared" si="7"/>
        <v>19.8</v>
      </c>
      <c r="H117" s="79" t="s">
        <v>23</v>
      </c>
      <c r="I117" s="89"/>
      <c r="J117" s="90"/>
      <c r="K117" s="133"/>
    </row>
    <row r="118" spans="1:11" s="46" customFormat="1" ht="15" customHeight="1" x14ac:dyDescent="0.2">
      <c r="A118" s="132">
        <f>IF(G118&lt;&gt;"",1+MAX($A$1:A117),"")</f>
        <v>71</v>
      </c>
      <c r="B118" s="169"/>
      <c r="C118" s="103"/>
      <c r="D118" s="144" t="s">
        <v>121</v>
      </c>
      <c r="E118" s="86">
        <f>17</f>
        <v>17</v>
      </c>
      <c r="F118" s="87">
        <f>10%</f>
        <v>0.1</v>
      </c>
      <c r="G118" s="86">
        <f t="shared" si="7"/>
        <v>18.7</v>
      </c>
      <c r="H118" s="79" t="s">
        <v>23</v>
      </c>
      <c r="I118" s="89"/>
      <c r="J118" s="90"/>
      <c r="K118" s="133"/>
    </row>
    <row r="119" spans="1:11" s="46" customFormat="1" ht="15" customHeight="1" x14ac:dyDescent="0.2">
      <c r="A119" s="132">
        <f>IF(G119&lt;&gt;"",1+MAX($A$1:A118),"")</f>
        <v>72</v>
      </c>
      <c r="B119" s="169"/>
      <c r="C119" s="103"/>
      <c r="D119" s="144" t="s">
        <v>122</v>
      </c>
      <c r="E119" s="86">
        <f>26</f>
        <v>26</v>
      </c>
      <c r="F119" s="87">
        <f>10%</f>
        <v>0.1</v>
      </c>
      <c r="G119" s="86">
        <f t="shared" si="7"/>
        <v>28.6</v>
      </c>
      <c r="H119" s="79" t="s">
        <v>23</v>
      </c>
      <c r="I119" s="89"/>
      <c r="J119" s="90"/>
      <c r="K119" s="133"/>
    </row>
    <row r="120" spans="1:11" s="46" customFormat="1" ht="15" customHeight="1" x14ac:dyDescent="0.2">
      <c r="A120" s="132">
        <f>IF(G120&lt;&gt;"",1+MAX($A$1:A119),"")</f>
        <v>73</v>
      </c>
      <c r="B120" s="169"/>
      <c r="C120" s="103"/>
      <c r="D120" s="144" t="s">
        <v>123</v>
      </c>
      <c r="E120" s="86">
        <f>15</f>
        <v>15</v>
      </c>
      <c r="F120" s="87">
        <f>10%</f>
        <v>0.1</v>
      </c>
      <c r="G120" s="86">
        <f t="shared" si="7"/>
        <v>16.5</v>
      </c>
      <c r="H120" s="79" t="s">
        <v>23</v>
      </c>
      <c r="I120" s="89"/>
      <c r="J120" s="90"/>
      <c r="K120" s="133"/>
    </row>
    <row r="121" spans="1:11" s="40" customFormat="1" x14ac:dyDescent="0.2">
      <c r="A121" s="130" t="str">
        <f>IF(H121&lt;&gt;"",1+MAX($A$1:A120),"")</f>
        <v/>
      </c>
      <c r="B121" s="114"/>
      <c r="C121" s="85"/>
      <c r="D121" s="85"/>
      <c r="E121" s="86"/>
      <c r="F121" s="85"/>
      <c r="G121" s="86"/>
      <c r="H121" s="85"/>
      <c r="I121" s="85"/>
      <c r="J121" s="85"/>
      <c r="K121" s="133"/>
    </row>
    <row r="122" spans="1:11" x14ac:dyDescent="0.2">
      <c r="A122" s="145"/>
      <c r="B122" s="72"/>
      <c r="C122" s="52"/>
      <c r="D122" s="53" t="s">
        <v>124</v>
      </c>
      <c r="E122" s="86"/>
      <c r="F122" s="2"/>
      <c r="G122" s="86"/>
      <c r="H122" s="18"/>
      <c r="I122" s="61"/>
      <c r="J122" s="3"/>
      <c r="K122" s="146"/>
    </row>
    <row r="123" spans="1:11" ht="30" x14ac:dyDescent="0.2">
      <c r="A123" s="126">
        <f>IF(G123&lt;&gt;"",1+MAX($A$1:A122),"")</f>
        <v>74</v>
      </c>
      <c r="B123" s="75" t="s">
        <v>125</v>
      </c>
      <c r="C123" s="17"/>
      <c r="D123" s="64" t="s">
        <v>126</v>
      </c>
      <c r="E123" s="86">
        <v>86</v>
      </c>
      <c r="F123" s="2">
        <v>0</v>
      </c>
      <c r="G123" s="86">
        <f t="shared" ref="G123" si="8">E123*(1+F123)</f>
        <v>86</v>
      </c>
      <c r="H123" s="18" t="s">
        <v>23</v>
      </c>
      <c r="I123" s="61"/>
      <c r="J123" s="3"/>
      <c r="K123" s="146"/>
    </row>
    <row r="124" spans="1:11" ht="15.75" thickBot="1" x14ac:dyDescent="0.25">
      <c r="A124" s="126"/>
      <c r="B124" s="75"/>
      <c r="C124" s="17"/>
      <c r="D124" s="64"/>
      <c r="E124" s="54"/>
      <c r="F124" s="2"/>
      <c r="G124" s="8"/>
      <c r="H124" s="18"/>
      <c r="I124" s="61"/>
      <c r="J124" s="3"/>
      <c r="K124" s="146"/>
    </row>
    <row r="125" spans="1:11" s="39" customFormat="1" ht="16.5" thickBot="1" x14ac:dyDescent="0.25">
      <c r="A125" s="141" t="str">
        <f>IF(H125&lt;&gt;"",1+MAX(#REF!),"")</f>
        <v/>
      </c>
      <c r="B125" s="36"/>
      <c r="C125" s="37" t="s">
        <v>127</v>
      </c>
      <c r="D125" s="38" t="s">
        <v>128</v>
      </c>
      <c r="E125" s="84"/>
      <c r="F125" s="84"/>
      <c r="G125" s="84"/>
      <c r="H125" s="84"/>
      <c r="I125" s="84"/>
      <c r="J125" s="84"/>
      <c r="K125" s="129">
        <f>SUM(J126:J206)</f>
        <v>0</v>
      </c>
    </row>
    <row r="126" spans="1:11" s="40" customFormat="1" x14ac:dyDescent="0.2">
      <c r="A126" s="130" t="str">
        <f>IF(H126&lt;&gt;"",1+MAX($A$1:A125),"")</f>
        <v/>
      </c>
      <c r="B126" s="114"/>
      <c r="C126" s="85"/>
      <c r="D126" s="85"/>
      <c r="E126" s="85"/>
      <c r="F126" s="85"/>
      <c r="G126" s="85"/>
      <c r="H126" s="85"/>
      <c r="I126" s="85"/>
      <c r="J126" s="85"/>
      <c r="K126" s="133"/>
    </row>
    <row r="127" spans="1:11" s="40" customFormat="1" x14ac:dyDescent="0.2">
      <c r="A127" s="142"/>
      <c r="B127" s="97"/>
      <c r="C127" s="98"/>
      <c r="D127" s="41" t="s">
        <v>129</v>
      </c>
      <c r="E127" s="85"/>
      <c r="F127" s="85"/>
      <c r="G127" s="85"/>
      <c r="H127" s="85"/>
      <c r="I127" s="85"/>
      <c r="J127" s="85"/>
      <c r="K127" s="133"/>
    </row>
    <row r="128" spans="1:11" s="39" customFormat="1" ht="120" x14ac:dyDescent="0.2">
      <c r="A128" s="132">
        <f>IF(G128&lt;&gt;"",1+MAX($A$1:A127),"")</f>
        <v>75</v>
      </c>
      <c r="B128" s="110" t="s">
        <v>71</v>
      </c>
      <c r="C128" s="85"/>
      <c r="D128" s="81" t="s">
        <v>130</v>
      </c>
      <c r="E128" s="86">
        <f>26*8.5+137*9+152*9.25+85*10.5+331*10.67+110*10.83+84*12.17</f>
        <v>9497.85</v>
      </c>
      <c r="F128" s="87">
        <v>0.1</v>
      </c>
      <c r="G128" s="86">
        <f>E128*(1+F128)</f>
        <v>10447.635000000002</v>
      </c>
      <c r="H128" s="79" t="s">
        <v>23</v>
      </c>
      <c r="I128" s="92"/>
      <c r="J128" s="90"/>
      <c r="K128" s="133"/>
    </row>
    <row r="129" spans="1:11" s="40" customFormat="1" x14ac:dyDescent="0.2">
      <c r="A129" s="130" t="str">
        <f>IF(H129&lt;&gt;"",1+MAX($A$1:A128),"")</f>
        <v/>
      </c>
      <c r="B129" s="114"/>
      <c r="C129" s="85"/>
      <c r="D129" s="85"/>
      <c r="E129" s="86"/>
      <c r="F129" s="85"/>
      <c r="G129" s="85"/>
      <c r="H129" s="85"/>
      <c r="I129" s="85"/>
      <c r="J129" s="85"/>
      <c r="K129" s="133"/>
    </row>
    <row r="130" spans="1:11" s="40" customFormat="1" x14ac:dyDescent="0.2">
      <c r="A130" s="142"/>
      <c r="B130" s="97"/>
      <c r="C130" s="98"/>
      <c r="D130" s="41" t="s">
        <v>70</v>
      </c>
      <c r="E130" s="86"/>
      <c r="F130" s="85"/>
      <c r="G130" s="85"/>
      <c r="H130" s="85"/>
      <c r="I130" s="85"/>
      <c r="J130" s="85"/>
      <c r="K130" s="133"/>
    </row>
    <row r="131" spans="1:11" s="39" customFormat="1" ht="60" x14ac:dyDescent="0.2">
      <c r="A131" s="132">
        <f>IF(G131&lt;&gt;"",1+MAX($A$1:A130),"")</f>
        <v>76</v>
      </c>
      <c r="B131" s="164" t="s">
        <v>71</v>
      </c>
      <c r="C131" s="85"/>
      <c r="D131" s="81" t="s">
        <v>131</v>
      </c>
      <c r="E131" s="86">
        <f>23*4+1040*9+346*9.17</f>
        <v>12624.82</v>
      </c>
      <c r="F131" s="87">
        <v>0.1</v>
      </c>
      <c r="G131" s="86">
        <f>E131*(1+F131)</f>
        <v>13887.302000000001</v>
      </c>
      <c r="H131" s="79" t="s">
        <v>23</v>
      </c>
      <c r="I131" s="92"/>
      <c r="J131" s="90"/>
      <c r="K131" s="133"/>
    </row>
    <row r="132" spans="1:11" s="39" customFormat="1" ht="75" x14ac:dyDescent="0.2">
      <c r="A132" s="132">
        <f>IF(G132&lt;&gt;"",1+MAX($A$1:A131),"")</f>
        <v>77</v>
      </c>
      <c r="B132" s="164"/>
      <c r="C132" s="85"/>
      <c r="D132" s="81" t="s">
        <v>132</v>
      </c>
      <c r="E132" s="86">
        <f>616*9+303*9.25+642*10.67+214*10.83</f>
        <v>17514.509999999998</v>
      </c>
      <c r="F132" s="87">
        <v>0.1</v>
      </c>
      <c r="G132" s="86">
        <f>E132*(1+F132)</f>
        <v>19265.960999999999</v>
      </c>
      <c r="H132" s="79" t="s">
        <v>23</v>
      </c>
      <c r="I132" s="92"/>
      <c r="J132" s="90"/>
      <c r="K132" s="133"/>
    </row>
    <row r="133" spans="1:11" s="40" customFormat="1" x14ac:dyDescent="0.2">
      <c r="A133" s="132" t="str">
        <f>IF(G133&lt;&gt;"",1+MAX($A$1:A132),"")</f>
        <v/>
      </c>
      <c r="B133" s="114"/>
      <c r="C133" s="85"/>
      <c r="D133" s="85"/>
      <c r="E133" s="85"/>
      <c r="F133" s="85"/>
      <c r="G133" s="85"/>
      <c r="H133" s="85"/>
      <c r="I133" s="85"/>
      <c r="J133" s="85"/>
      <c r="K133" s="133"/>
    </row>
    <row r="134" spans="1:11" s="40" customFormat="1" x14ac:dyDescent="0.2">
      <c r="A134" s="142"/>
      <c r="B134" s="97"/>
      <c r="C134" s="98"/>
      <c r="D134" s="41" t="s">
        <v>133</v>
      </c>
      <c r="E134" s="85"/>
      <c r="F134" s="85"/>
      <c r="G134" s="85"/>
      <c r="H134" s="85"/>
      <c r="I134" s="85"/>
      <c r="J134" s="85"/>
      <c r="K134" s="133"/>
    </row>
    <row r="135" spans="1:11" s="39" customFormat="1" ht="15.75" customHeight="1" x14ac:dyDescent="0.2">
      <c r="A135" s="130">
        <f>IF(G135&lt;&gt;"",1+MAX($A$1:A134),"")</f>
        <v>78</v>
      </c>
      <c r="B135" s="164" t="s">
        <v>71</v>
      </c>
      <c r="C135" s="85"/>
      <c r="D135" s="81" t="s">
        <v>134</v>
      </c>
      <c r="E135" s="86">
        <f>((440.75+7.5)*4)*2</f>
        <v>3586</v>
      </c>
      <c r="F135" s="87">
        <v>0.1</v>
      </c>
      <c r="G135" s="86">
        <f>E135*(1+F135)</f>
        <v>3944.6000000000004</v>
      </c>
      <c r="H135" s="79" t="s">
        <v>23</v>
      </c>
      <c r="I135" s="92"/>
      <c r="J135" s="90"/>
      <c r="K135" s="133"/>
    </row>
    <row r="136" spans="1:11" s="39" customFormat="1" ht="15.75" customHeight="1" x14ac:dyDescent="0.2">
      <c r="A136" s="130">
        <f>IF(G136&lt;&gt;"",1+MAX($A$1:A135),"")</f>
        <v>79</v>
      </c>
      <c r="B136" s="164"/>
      <c r="C136" s="85"/>
      <c r="D136" s="81" t="s">
        <v>135</v>
      </c>
      <c r="E136" s="86">
        <f>(440.75+7.5)*4</f>
        <v>1793</v>
      </c>
      <c r="F136" s="87">
        <v>0.1</v>
      </c>
      <c r="G136" s="86">
        <f>E136*(1+F136)</f>
        <v>1972.3000000000002</v>
      </c>
      <c r="H136" s="79" t="s">
        <v>23</v>
      </c>
      <c r="I136" s="92"/>
      <c r="J136" s="90"/>
      <c r="K136" s="133"/>
    </row>
    <row r="137" spans="1:11" s="39" customFormat="1" ht="15.75" customHeight="1" x14ac:dyDescent="0.2">
      <c r="A137" s="130">
        <f>IF(G137&lt;&gt;"",1+MAX($A$1:A136),"")</f>
        <v>80</v>
      </c>
      <c r="B137" s="164"/>
      <c r="C137" s="85"/>
      <c r="D137" s="81" t="s">
        <v>136</v>
      </c>
      <c r="E137" s="86">
        <f>((130.33)*1+(273+284.5)*4)*2</f>
        <v>4720.66</v>
      </c>
      <c r="F137" s="87">
        <v>0.1</v>
      </c>
      <c r="G137" s="86">
        <f>E137*(1+F137)</f>
        <v>5192.7260000000006</v>
      </c>
      <c r="H137" s="79" t="s">
        <v>23</v>
      </c>
      <c r="I137" s="92"/>
      <c r="J137" s="90"/>
      <c r="K137" s="133"/>
    </row>
    <row r="138" spans="1:11" s="39" customFormat="1" ht="15.75" customHeight="1" x14ac:dyDescent="0.2">
      <c r="A138" s="130">
        <f>IF(G138&lt;&gt;"",1+MAX($A$1:A137),"")</f>
        <v>81</v>
      </c>
      <c r="B138" s="164"/>
      <c r="C138" s="85"/>
      <c r="D138" s="81" t="s">
        <v>137</v>
      </c>
      <c r="E138" s="86">
        <f>(130.33)*1+(273+284.5)*4</f>
        <v>2360.33</v>
      </c>
      <c r="F138" s="87">
        <v>0.1</v>
      </c>
      <c r="G138" s="86">
        <f>E138*(1+F138)</f>
        <v>2596.3630000000003</v>
      </c>
      <c r="H138" s="79" t="s">
        <v>23</v>
      </c>
      <c r="I138" s="92"/>
      <c r="J138" s="90"/>
      <c r="K138" s="133"/>
    </row>
    <row r="139" spans="1:11" s="40" customFormat="1" x14ac:dyDescent="0.2">
      <c r="A139" s="130" t="str">
        <f>IF(G139&lt;&gt;"",1+MAX($A$1:A138),"")</f>
        <v/>
      </c>
      <c r="B139" s="114"/>
      <c r="C139" s="85"/>
      <c r="D139" s="85"/>
      <c r="E139" s="86"/>
      <c r="F139" s="85"/>
      <c r="G139" s="85"/>
      <c r="H139" s="85"/>
      <c r="I139" s="85"/>
      <c r="J139" s="85"/>
      <c r="K139" s="133"/>
    </row>
    <row r="140" spans="1:11" s="40" customFormat="1" x14ac:dyDescent="0.2">
      <c r="A140" s="142"/>
      <c r="B140" s="97"/>
      <c r="C140" s="98"/>
      <c r="D140" s="41" t="s">
        <v>138</v>
      </c>
      <c r="E140" s="86"/>
      <c r="F140" s="85"/>
      <c r="G140" s="85"/>
      <c r="H140" s="85"/>
      <c r="I140" s="85"/>
      <c r="J140" s="85"/>
      <c r="K140" s="133"/>
    </row>
    <row r="141" spans="1:11" s="39" customFormat="1" ht="15.75" customHeight="1" x14ac:dyDescent="0.2">
      <c r="A141" s="130">
        <f>IF(G141&lt;&gt;"",1+MAX($A$1:A140),"")</f>
        <v>82</v>
      </c>
      <c r="B141" s="164" t="s">
        <v>71</v>
      </c>
      <c r="C141" s="85"/>
      <c r="D141" s="81" t="s">
        <v>139</v>
      </c>
      <c r="E141" s="86">
        <f>(440.75)*4</f>
        <v>1763</v>
      </c>
      <c r="F141" s="87">
        <v>0.1</v>
      </c>
      <c r="G141" s="86">
        <f>E141*(1+F141)</f>
        <v>1939.3000000000002</v>
      </c>
      <c r="H141" s="79" t="s">
        <v>23</v>
      </c>
      <c r="I141" s="92"/>
      <c r="J141" s="90"/>
      <c r="K141" s="133"/>
    </row>
    <row r="142" spans="1:11" s="39" customFormat="1" ht="15.75" customHeight="1" x14ac:dyDescent="0.2">
      <c r="A142" s="130">
        <f>IF(G142&lt;&gt;"",1+MAX($A$1:A141),"")</f>
        <v>83</v>
      </c>
      <c r="B142" s="164"/>
      <c r="C142" s="85"/>
      <c r="D142" s="81" t="s">
        <v>140</v>
      </c>
      <c r="E142" s="86">
        <f>(130.33)*1+(273+284.5)*4</f>
        <v>2360.33</v>
      </c>
      <c r="F142" s="87">
        <v>0.1</v>
      </c>
      <c r="G142" s="86">
        <f>E142*(1+F142)</f>
        <v>2596.3630000000003</v>
      </c>
      <c r="H142" s="79" t="s">
        <v>23</v>
      </c>
      <c r="I142" s="92"/>
      <c r="J142" s="90"/>
      <c r="K142" s="133"/>
    </row>
    <row r="143" spans="1:11" s="40" customFormat="1" x14ac:dyDescent="0.2">
      <c r="A143" s="130" t="str">
        <f>IF(G143&lt;&gt;"",1+MAX($A$1:A142),"")</f>
        <v/>
      </c>
      <c r="B143" s="114"/>
      <c r="C143" s="85"/>
      <c r="D143" s="85"/>
      <c r="E143" s="86"/>
      <c r="F143" s="85"/>
      <c r="G143" s="85"/>
      <c r="H143" s="85"/>
      <c r="I143" s="85"/>
      <c r="J143" s="85"/>
      <c r="K143" s="133"/>
    </row>
    <row r="144" spans="1:11" s="40" customFormat="1" x14ac:dyDescent="0.2">
      <c r="A144" s="142"/>
      <c r="B144" s="97"/>
      <c r="C144" s="98"/>
      <c r="D144" s="41" t="s">
        <v>141</v>
      </c>
      <c r="E144" s="86"/>
      <c r="F144" s="85"/>
      <c r="G144" s="85"/>
      <c r="H144" s="85"/>
      <c r="I144" s="85"/>
      <c r="J144" s="85"/>
      <c r="K144" s="133"/>
    </row>
    <row r="145" spans="1:11" s="39" customFormat="1" ht="15.75" x14ac:dyDescent="0.2">
      <c r="A145" s="130">
        <f>IF(G145&lt;&gt;"",1+MAX($A$1:A144),"")</f>
        <v>84</v>
      </c>
      <c r="B145" s="164" t="s">
        <v>71</v>
      </c>
      <c r="C145" s="85"/>
      <c r="D145" s="81" t="s">
        <v>142</v>
      </c>
      <c r="E145" s="86">
        <f>((284.5*10.67*3)+(284.5*10.83*1))*1</f>
        <v>12187.98</v>
      </c>
      <c r="F145" s="87">
        <v>0.1</v>
      </c>
      <c r="G145" s="86">
        <f>E145*(1+F145)</f>
        <v>13406.778</v>
      </c>
      <c r="H145" s="79" t="s">
        <v>25</v>
      </c>
      <c r="I145" s="92"/>
      <c r="J145" s="90"/>
      <c r="K145" s="133"/>
    </row>
    <row r="146" spans="1:11" s="39" customFormat="1" ht="15.75" x14ac:dyDescent="0.2">
      <c r="A146" s="130">
        <f>IF(G146&lt;&gt;"",1+MAX($A$1:A145),"")</f>
        <v>85</v>
      </c>
      <c r="B146" s="164"/>
      <c r="C146" s="85"/>
      <c r="D146" s="81" t="s">
        <v>143</v>
      </c>
      <c r="E146" s="86">
        <v>5573.5</v>
      </c>
      <c r="F146" s="87">
        <v>0.1</v>
      </c>
      <c r="G146" s="86">
        <f>E146*(1+F146)</f>
        <v>6130.85</v>
      </c>
      <c r="H146" s="79" t="s">
        <v>25</v>
      </c>
      <c r="I146" s="92"/>
      <c r="J146" s="90"/>
      <c r="K146" s="133"/>
    </row>
    <row r="147" spans="1:11" s="39" customFormat="1" ht="15.75" x14ac:dyDescent="0.2">
      <c r="A147" s="130">
        <f>IF(G147&lt;&gt;"",1+MAX($A$1:A146),"")</f>
        <v>86</v>
      </c>
      <c r="B147" s="164"/>
      <c r="C147" s="85"/>
      <c r="D147" s="81" t="s">
        <v>144</v>
      </c>
      <c r="E147" s="86">
        <f>1.5*520.9</f>
        <v>781.34999999999991</v>
      </c>
      <c r="F147" s="87">
        <v>0.1</v>
      </c>
      <c r="G147" s="86">
        <f>E147*(1+F147)</f>
        <v>859.48500000000001</v>
      </c>
      <c r="H147" s="79" t="s">
        <v>25</v>
      </c>
      <c r="I147" s="92"/>
      <c r="J147" s="90"/>
      <c r="K147" s="133"/>
    </row>
    <row r="148" spans="1:11" s="39" customFormat="1" ht="15.75" x14ac:dyDescent="0.2">
      <c r="A148" s="130"/>
      <c r="B148" s="93"/>
      <c r="C148" s="85"/>
      <c r="D148" s="81"/>
      <c r="E148" s="86"/>
      <c r="F148" s="87"/>
      <c r="G148" s="86"/>
      <c r="H148" s="79"/>
      <c r="I148" s="92"/>
      <c r="J148" s="90"/>
      <c r="K148" s="133"/>
    </row>
    <row r="149" spans="1:11" s="39" customFormat="1" ht="15.75" x14ac:dyDescent="0.2">
      <c r="A149" s="130" t="str">
        <f>IF(G149&lt;&gt;"",1+MAX($A$1:A130),"")</f>
        <v/>
      </c>
      <c r="B149" s="93"/>
      <c r="C149" s="85"/>
      <c r="D149" s="81"/>
      <c r="E149" s="86"/>
      <c r="F149" s="94"/>
      <c r="G149" s="95"/>
      <c r="H149" s="79"/>
      <c r="I149" s="92"/>
      <c r="J149" s="96"/>
      <c r="K149" s="133"/>
    </row>
    <row r="150" spans="1:11" s="46" customFormat="1" x14ac:dyDescent="0.2">
      <c r="A150" s="147" t="str">
        <f>IF(H150&lt;&gt;"",1+MAX($A$1:A149),"")</f>
        <v/>
      </c>
      <c r="B150" s="101"/>
      <c r="C150" s="102"/>
      <c r="D150" s="41" t="s">
        <v>145</v>
      </c>
      <c r="E150" s="86"/>
      <c r="F150" s="94"/>
      <c r="G150" s="95"/>
      <c r="H150" s="79"/>
      <c r="I150" s="92"/>
      <c r="J150" s="96"/>
      <c r="K150" s="133"/>
    </row>
    <row r="151" spans="1:11" s="46" customFormat="1" ht="15" customHeight="1" x14ac:dyDescent="0.2">
      <c r="A151" s="130">
        <f>IF(G151&lt;&gt;"",1+MAX($A$1:A150),"")</f>
        <v>87</v>
      </c>
      <c r="B151" s="178" t="s">
        <v>146</v>
      </c>
      <c r="C151" s="103"/>
      <c r="D151" s="144" t="s">
        <v>147</v>
      </c>
      <c r="E151" s="86">
        <f>2622</f>
        <v>2622</v>
      </c>
      <c r="F151" s="87">
        <f>10%</f>
        <v>0.1</v>
      </c>
      <c r="G151" s="86">
        <f>E151+F151*E151</f>
        <v>2884.2</v>
      </c>
      <c r="H151" s="79" t="s">
        <v>23</v>
      </c>
      <c r="I151" s="89"/>
      <c r="J151" s="90"/>
      <c r="K151" s="133"/>
    </row>
    <row r="152" spans="1:11" s="46" customFormat="1" ht="15" customHeight="1" x14ac:dyDescent="0.2">
      <c r="A152" s="130">
        <f>IF(G152&lt;&gt;"",1+MAX($A$1:A151),"")</f>
        <v>88</v>
      </c>
      <c r="B152" s="178"/>
      <c r="C152" s="103"/>
      <c r="D152" s="144" t="s">
        <v>148</v>
      </c>
      <c r="E152" s="86">
        <f>3289*2</f>
        <v>6578</v>
      </c>
      <c r="F152" s="87">
        <f>10%</f>
        <v>0.1</v>
      </c>
      <c r="G152" s="86">
        <f>E152+F152*E152</f>
        <v>7235.8</v>
      </c>
      <c r="H152" s="79" t="s">
        <v>23</v>
      </c>
      <c r="I152" s="89"/>
      <c r="J152" s="90"/>
      <c r="K152" s="133"/>
    </row>
    <row r="153" spans="1:11" s="40" customFormat="1" x14ac:dyDescent="0.2">
      <c r="A153" s="130" t="str">
        <f>IF(G153&lt;&gt;"",1+MAX($A$1:A152),"")</f>
        <v/>
      </c>
      <c r="B153" s="114"/>
      <c r="C153" s="85"/>
      <c r="D153" s="85"/>
      <c r="E153" s="86"/>
      <c r="F153" s="85"/>
      <c r="G153" s="85"/>
      <c r="H153" s="85"/>
      <c r="I153" s="85"/>
      <c r="J153" s="85"/>
      <c r="K153" s="131"/>
    </row>
    <row r="154" spans="1:11" s="46" customFormat="1" x14ac:dyDescent="0.2">
      <c r="A154" s="147" t="str">
        <f>IF(H154&lt;&gt;"",1+MAX($A$1:A149),"")</f>
        <v/>
      </c>
      <c r="B154" s="101"/>
      <c r="C154" s="102"/>
      <c r="D154" s="41" t="s">
        <v>149</v>
      </c>
      <c r="E154" s="86"/>
      <c r="F154" s="94"/>
      <c r="G154" s="95"/>
      <c r="H154" s="79"/>
      <c r="I154" s="92"/>
      <c r="J154" s="96"/>
      <c r="K154" s="133"/>
    </row>
    <row r="155" spans="1:11" s="46" customFormat="1" ht="30" customHeight="1" x14ac:dyDescent="0.2">
      <c r="A155" s="130">
        <f>IF(G155&lt;&gt;"",1+MAX($A$1:A154),"")</f>
        <v>89</v>
      </c>
      <c r="B155" s="168" t="s">
        <v>150</v>
      </c>
      <c r="C155" s="103"/>
      <c r="D155" s="148" t="s">
        <v>151</v>
      </c>
      <c r="E155" s="86">
        <v>46.5</v>
      </c>
      <c r="F155" s="87">
        <f>10%</f>
        <v>0.1</v>
      </c>
      <c r="G155" s="86">
        <f>E155+F155*E155</f>
        <v>51.15</v>
      </c>
      <c r="H155" s="79" t="s">
        <v>23</v>
      </c>
      <c r="I155" s="89"/>
      <c r="J155" s="90"/>
      <c r="K155" s="133"/>
    </row>
    <row r="156" spans="1:11" s="46" customFormat="1" x14ac:dyDescent="0.2">
      <c r="A156" s="130">
        <f>IF(G156&lt;&gt;"",1+MAX($A$1:A155),"")</f>
        <v>90</v>
      </c>
      <c r="B156" s="168"/>
      <c r="C156" s="103"/>
      <c r="D156" s="144" t="s">
        <v>152</v>
      </c>
      <c r="E156" s="86">
        <v>69.5</v>
      </c>
      <c r="F156" s="87">
        <f>10%</f>
        <v>0.1</v>
      </c>
      <c r="G156" s="86">
        <f>E156+F156*E156</f>
        <v>76.45</v>
      </c>
      <c r="H156" s="79" t="s">
        <v>23</v>
      </c>
      <c r="I156" s="89"/>
      <c r="J156" s="90"/>
      <c r="K156" s="133"/>
    </row>
    <row r="157" spans="1:11" s="46" customFormat="1" x14ac:dyDescent="0.2">
      <c r="A157" s="130"/>
      <c r="B157" s="113"/>
      <c r="C157" s="103"/>
      <c r="D157" s="149"/>
      <c r="E157" s="86"/>
      <c r="F157" s="87"/>
      <c r="G157" s="86"/>
      <c r="H157" s="79"/>
      <c r="I157" s="89"/>
      <c r="J157" s="90"/>
      <c r="K157" s="133"/>
    </row>
    <row r="158" spans="1:11" s="46" customFormat="1" x14ac:dyDescent="0.2">
      <c r="A158" s="147" t="str">
        <f>IF(H158&lt;&gt;"",1+MAX($A$1:A153),"")</f>
        <v/>
      </c>
      <c r="B158" s="101"/>
      <c r="C158" s="102"/>
      <c r="D158" s="41" t="s">
        <v>153</v>
      </c>
      <c r="E158" s="86"/>
      <c r="F158" s="94"/>
      <c r="G158" s="95"/>
      <c r="H158" s="79"/>
      <c r="I158" s="92"/>
      <c r="J158" s="96"/>
      <c r="K158" s="133"/>
    </row>
    <row r="159" spans="1:11" s="46" customFormat="1" ht="30" x14ac:dyDescent="0.2">
      <c r="A159" s="130">
        <f>IF(G159&lt;&gt;"",1+MAX($A$1:A158),"")</f>
        <v>91</v>
      </c>
      <c r="B159" s="113" t="s">
        <v>150</v>
      </c>
      <c r="C159" s="103"/>
      <c r="D159" s="148" t="s">
        <v>154</v>
      </c>
      <c r="E159" s="86">
        <v>735.5</v>
      </c>
      <c r="F159" s="87">
        <f>10%</f>
        <v>0.1</v>
      </c>
      <c r="G159" s="86">
        <f>E159+F159*E159</f>
        <v>809.05</v>
      </c>
      <c r="H159" s="79" t="s">
        <v>25</v>
      </c>
      <c r="I159" s="89"/>
      <c r="J159" s="90"/>
      <c r="K159" s="133"/>
    </row>
    <row r="160" spans="1:11" s="40" customFormat="1" x14ac:dyDescent="0.2">
      <c r="A160" s="130" t="str">
        <f>IF(G160&lt;&gt;"",1+MAX($A$1:A159),"")</f>
        <v/>
      </c>
      <c r="B160" s="114"/>
      <c r="C160" s="85"/>
      <c r="D160" s="85"/>
      <c r="E160" s="86"/>
      <c r="F160" s="85"/>
      <c r="G160" s="85"/>
      <c r="H160" s="85"/>
      <c r="I160" s="85"/>
      <c r="J160" s="85"/>
      <c r="K160" s="131"/>
    </row>
    <row r="161" spans="1:11" s="40" customFormat="1" x14ac:dyDescent="0.2">
      <c r="A161" s="130" t="str">
        <f>IF(G161&lt;&gt;"",1+MAX($A$1:A160),"")</f>
        <v/>
      </c>
      <c r="B161" s="114"/>
      <c r="C161" s="85"/>
      <c r="D161" s="47" t="s">
        <v>155</v>
      </c>
      <c r="E161" s="86"/>
      <c r="F161" s="85"/>
      <c r="G161" s="85"/>
      <c r="H161" s="85"/>
      <c r="I161" s="85"/>
      <c r="J161" s="85"/>
      <c r="K161" s="131"/>
    </row>
    <row r="162" spans="1:11" s="46" customFormat="1" ht="30" x14ac:dyDescent="0.2">
      <c r="A162" s="130">
        <f>IF(G162&lt;&gt;"",1+MAX($A$1:A161),"")</f>
        <v>92</v>
      </c>
      <c r="B162" s="113" t="s">
        <v>150</v>
      </c>
      <c r="C162" s="103"/>
      <c r="D162" s="148" t="s">
        <v>156</v>
      </c>
      <c r="E162" s="86">
        <v>49.5</v>
      </c>
      <c r="F162" s="87">
        <f>10%</f>
        <v>0.1</v>
      </c>
      <c r="G162" s="86">
        <f>E162+F162*E162</f>
        <v>54.45</v>
      </c>
      <c r="H162" s="79" t="s">
        <v>23</v>
      </c>
      <c r="I162" s="89"/>
      <c r="J162" s="90"/>
      <c r="K162" s="133"/>
    </row>
    <row r="163" spans="1:11" s="46" customFormat="1" x14ac:dyDescent="0.2">
      <c r="A163" s="130" t="str">
        <f>IF(G163&lt;&gt;"",1+MAX($A$1:A162),"")</f>
        <v/>
      </c>
      <c r="B163" s="113"/>
      <c r="C163" s="103"/>
      <c r="D163" s="149"/>
      <c r="E163" s="86"/>
      <c r="F163" s="87"/>
      <c r="G163" s="86"/>
      <c r="H163" s="79"/>
      <c r="I163" s="89"/>
      <c r="J163" s="90"/>
      <c r="K163" s="133"/>
    </row>
    <row r="164" spans="1:11" s="46" customFormat="1" x14ac:dyDescent="0.2">
      <c r="A164" s="147" t="str">
        <f>IF(H164&lt;&gt;"",1+MAX($A$1:A153),"")</f>
        <v/>
      </c>
      <c r="B164" s="101"/>
      <c r="C164" s="102"/>
      <c r="D164" s="41" t="s">
        <v>157</v>
      </c>
      <c r="E164" s="86"/>
      <c r="F164" s="94"/>
      <c r="G164" s="95"/>
      <c r="H164" s="79"/>
      <c r="I164" s="92"/>
      <c r="J164" s="96"/>
      <c r="K164" s="133"/>
    </row>
    <row r="165" spans="1:11" s="46" customFormat="1" ht="15" customHeight="1" x14ac:dyDescent="0.2">
      <c r="A165" s="130">
        <f>IF(G165&lt;&gt;"",1+MAX($A$1:A164),"")</f>
        <v>93</v>
      </c>
      <c r="B165" s="169" t="s">
        <v>158</v>
      </c>
      <c r="C165" s="103"/>
      <c r="D165" s="144" t="s">
        <v>159</v>
      </c>
      <c r="E165" s="86">
        <f>536*10.67</f>
        <v>5719.12</v>
      </c>
      <c r="F165" s="87">
        <f>10%</f>
        <v>0.1</v>
      </c>
      <c r="G165" s="86">
        <f>E165+F165*E165</f>
        <v>6291.0320000000002</v>
      </c>
      <c r="H165" s="79" t="s">
        <v>23</v>
      </c>
      <c r="I165" s="89"/>
      <c r="J165" s="90"/>
      <c r="K165" s="133"/>
    </row>
    <row r="166" spans="1:11" s="46" customFormat="1" ht="15" customHeight="1" x14ac:dyDescent="0.2">
      <c r="A166" s="130">
        <f>IF(G166&lt;&gt;"",1+MAX($A$1:A165),"")</f>
        <v>94</v>
      </c>
      <c r="B166" s="169"/>
      <c r="C166" s="103"/>
      <c r="D166" s="144" t="s">
        <v>160</v>
      </c>
      <c r="E166" s="86">
        <f>12*10.67</f>
        <v>128.04</v>
      </c>
      <c r="F166" s="87">
        <f>10%</f>
        <v>0.1</v>
      </c>
      <c r="G166" s="86">
        <f>E166+F166*E166</f>
        <v>140.84399999999999</v>
      </c>
      <c r="H166" s="79" t="s">
        <v>23</v>
      </c>
      <c r="I166" s="89"/>
      <c r="J166" s="90"/>
      <c r="K166" s="133"/>
    </row>
    <row r="167" spans="1:11" s="46" customFormat="1" ht="15" customHeight="1" x14ac:dyDescent="0.2">
      <c r="A167" s="130">
        <f>IF(G167&lt;&gt;"",1+MAX($A$1:A166),"")</f>
        <v>95</v>
      </c>
      <c r="B167" s="169"/>
      <c r="C167" s="103"/>
      <c r="D167" s="144" t="s">
        <v>161</v>
      </c>
      <c r="E167" s="86">
        <f>18*10.67</f>
        <v>192.06</v>
      </c>
      <c r="F167" s="87">
        <f>10%</f>
        <v>0.1</v>
      </c>
      <c r="G167" s="86">
        <f>E167+F167*E167</f>
        <v>211.26600000000002</v>
      </c>
      <c r="H167" s="79" t="s">
        <v>23</v>
      </c>
      <c r="I167" s="89"/>
      <c r="J167" s="90"/>
      <c r="K167" s="133"/>
    </row>
    <row r="168" spans="1:11" s="46" customFormat="1" ht="15" customHeight="1" x14ac:dyDescent="0.2">
      <c r="A168" s="130">
        <f>IF(G168&lt;&gt;"",1+MAX($A$1:A167),"")</f>
        <v>96</v>
      </c>
      <c r="B168" s="169"/>
      <c r="C168" s="103"/>
      <c r="D168" s="144" t="s">
        <v>162</v>
      </c>
      <c r="E168" s="86">
        <f>7*10.67</f>
        <v>74.69</v>
      </c>
      <c r="F168" s="87">
        <f>10%</f>
        <v>0.1</v>
      </c>
      <c r="G168" s="86">
        <f t="shared" ref="G168:G170" si="9">E168+F168*E168</f>
        <v>82.158999999999992</v>
      </c>
      <c r="H168" s="79" t="s">
        <v>23</v>
      </c>
      <c r="I168" s="89"/>
      <c r="J168" s="90"/>
      <c r="K168" s="133"/>
    </row>
    <row r="169" spans="1:11" s="46" customFormat="1" ht="15" customHeight="1" x14ac:dyDescent="0.2">
      <c r="A169" s="130">
        <f>IF(G169&lt;&gt;"",1+MAX($A$1:A168),"")</f>
        <v>97</v>
      </c>
      <c r="B169" s="169"/>
      <c r="C169" s="103"/>
      <c r="D169" s="144" t="s">
        <v>163</v>
      </c>
      <c r="E169" s="86">
        <f>4*10.67</f>
        <v>42.68</v>
      </c>
      <c r="F169" s="87">
        <f>10%</f>
        <v>0.1</v>
      </c>
      <c r="G169" s="86">
        <f t="shared" si="9"/>
        <v>46.948</v>
      </c>
      <c r="H169" s="79" t="s">
        <v>23</v>
      </c>
      <c r="I169" s="89"/>
      <c r="J169" s="90"/>
      <c r="K169" s="133"/>
    </row>
    <row r="170" spans="1:11" s="46" customFormat="1" ht="15" customHeight="1" x14ac:dyDescent="0.2">
      <c r="A170" s="130">
        <f>IF(G170&lt;&gt;"",1+MAX($A$1:A169),"")</f>
        <v>98</v>
      </c>
      <c r="B170" s="169"/>
      <c r="C170" s="103"/>
      <c r="D170" s="144" t="s">
        <v>164</v>
      </c>
      <c r="E170" s="86">
        <f>8*10.67</f>
        <v>85.36</v>
      </c>
      <c r="F170" s="87">
        <f>10%</f>
        <v>0.1</v>
      </c>
      <c r="G170" s="86">
        <f t="shared" si="9"/>
        <v>93.896000000000001</v>
      </c>
      <c r="H170" s="79" t="s">
        <v>23</v>
      </c>
      <c r="I170" s="89"/>
      <c r="J170" s="90"/>
      <c r="K170" s="133"/>
    </row>
    <row r="171" spans="1:11" s="40" customFormat="1" x14ac:dyDescent="0.2">
      <c r="A171" s="130" t="str">
        <f>IF(G171&lt;&gt;"",1+MAX($A$1:A170),"")</f>
        <v/>
      </c>
      <c r="B171" s="114"/>
      <c r="C171" s="85"/>
      <c r="D171" s="85"/>
      <c r="E171" s="86"/>
      <c r="F171" s="85"/>
      <c r="G171" s="85"/>
      <c r="H171" s="85"/>
      <c r="I171" s="85"/>
      <c r="J171" s="85"/>
      <c r="K171" s="131"/>
    </row>
    <row r="172" spans="1:11" s="46" customFormat="1" x14ac:dyDescent="0.2">
      <c r="A172" s="147" t="str">
        <f>IF(H172&lt;&gt;"",1+MAX($A$1:A171),"")</f>
        <v/>
      </c>
      <c r="B172" s="101"/>
      <c r="C172" s="102"/>
      <c r="D172" s="41" t="s">
        <v>79</v>
      </c>
      <c r="E172" s="86"/>
      <c r="F172" s="94"/>
      <c r="G172" s="95"/>
      <c r="H172" s="79"/>
      <c r="I172" s="92"/>
      <c r="J172" s="96"/>
      <c r="K172" s="133"/>
    </row>
    <row r="173" spans="1:11" s="46" customFormat="1" ht="15" customHeight="1" x14ac:dyDescent="0.2">
      <c r="A173" s="130">
        <f>IF(G173&lt;&gt;"",1+MAX($A$1:A172),"")</f>
        <v>99</v>
      </c>
      <c r="B173" s="169" t="s">
        <v>158</v>
      </c>
      <c r="C173" s="103"/>
      <c r="D173" s="144" t="s">
        <v>165</v>
      </c>
      <c r="E173" s="86">
        <f>64</f>
        <v>64</v>
      </c>
      <c r="F173" s="87">
        <f>10%</f>
        <v>0.1</v>
      </c>
      <c r="G173" s="86">
        <f>E173+F173*E173</f>
        <v>70.400000000000006</v>
      </c>
      <c r="H173" s="79" t="s">
        <v>23</v>
      </c>
      <c r="I173" s="89"/>
      <c r="J173" s="90"/>
      <c r="K173" s="133"/>
    </row>
    <row r="174" spans="1:11" s="46" customFormat="1" ht="15" customHeight="1" x14ac:dyDescent="0.2">
      <c r="A174" s="130">
        <f>IF(G174&lt;&gt;"",1+MAX($A$1:A173),"")</f>
        <v>100</v>
      </c>
      <c r="B174" s="169"/>
      <c r="C174" s="103"/>
      <c r="D174" s="144" t="s">
        <v>166</v>
      </c>
      <c r="E174" s="86">
        <f>439</f>
        <v>439</v>
      </c>
      <c r="F174" s="87">
        <f>10%</f>
        <v>0.1</v>
      </c>
      <c r="G174" s="86">
        <f t="shared" ref="G174:G188" si="10">E174+F174*E174</f>
        <v>482.9</v>
      </c>
      <c r="H174" s="79" t="s">
        <v>23</v>
      </c>
      <c r="I174" s="89"/>
      <c r="J174" s="90"/>
      <c r="K174" s="133"/>
    </row>
    <row r="175" spans="1:11" s="46" customFormat="1" ht="15" customHeight="1" x14ac:dyDescent="0.2">
      <c r="A175" s="130">
        <f>IF(G175&lt;&gt;"",1+MAX($A$1:A174),"")</f>
        <v>101</v>
      </c>
      <c r="B175" s="169"/>
      <c r="C175" s="103"/>
      <c r="D175" s="144" t="s">
        <v>167</v>
      </c>
      <c r="E175" s="86">
        <f>128</f>
        <v>128</v>
      </c>
      <c r="F175" s="87">
        <f>10%</f>
        <v>0.1</v>
      </c>
      <c r="G175" s="86">
        <f t="shared" si="10"/>
        <v>140.80000000000001</v>
      </c>
      <c r="H175" s="79" t="s">
        <v>23</v>
      </c>
      <c r="I175" s="89"/>
      <c r="J175" s="90"/>
      <c r="K175" s="133"/>
    </row>
    <row r="176" spans="1:11" s="46" customFormat="1" ht="15" customHeight="1" x14ac:dyDescent="0.2">
      <c r="A176" s="130">
        <f>IF(G176&lt;&gt;"",1+MAX($A$1:A175),"")</f>
        <v>102</v>
      </c>
      <c r="B176" s="169"/>
      <c r="C176" s="103"/>
      <c r="D176" s="144" t="s">
        <v>168</v>
      </c>
      <c r="E176" s="86">
        <f>148</f>
        <v>148</v>
      </c>
      <c r="F176" s="87">
        <f>10%</f>
        <v>0.1</v>
      </c>
      <c r="G176" s="86">
        <f t="shared" si="10"/>
        <v>162.80000000000001</v>
      </c>
      <c r="H176" s="79" t="s">
        <v>23</v>
      </c>
      <c r="I176" s="89"/>
      <c r="J176" s="90"/>
      <c r="K176" s="133"/>
    </row>
    <row r="177" spans="1:11" s="46" customFormat="1" ht="15" customHeight="1" x14ac:dyDescent="0.2">
      <c r="A177" s="130">
        <f>IF(G177&lt;&gt;"",1+MAX($A$1:A176),"")</f>
        <v>103</v>
      </c>
      <c r="B177" s="169"/>
      <c r="C177" s="103"/>
      <c r="D177" s="144" t="s">
        <v>169</v>
      </c>
      <c r="E177" s="86">
        <f>238</f>
        <v>238</v>
      </c>
      <c r="F177" s="87">
        <f>10%</f>
        <v>0.1</v>
      </c>
      <c r="G177" s="86">
        <f t="shared" si="10"/>
        <v>261.8</v>
      </c>
      <c r="H177" s="79" t="s">
        <v>23</v>
      </c>
      <c r="I177" s="89"/>
      <c r="J177" s="90"/>
      <c r="K177" s="133"/>
    </row>
    <row r="178" spans="1:11" s="46" customFormat="1" ht="15" customHeight="1" x14ac:dyDescent="0.2">
      <c r="A178" s="130">
        <f>IF(G178&lt;&gt;"",1+MAX($A$1:A177),"")</f>
        <v>104</v>
      </c>
      <c r="B178" s="169"/>
      <c r="C178" s="103"/>
      <c r="D178" s="144" t="s">
        <v>170</v>
      </c>
      <c r="E178" s="86">
        <f>299</f>
        <v>299</v>
      </c>
      <c r="F178" s="87">
        <f>10%</f>
        <v>0.1</v>
      </c>
      <c r="G178" s="86">
        <f t="shared" si="10"/>
        <v>328.9</v>
      </c>
      <c r="H178" s="79" t="s">
        <v>23</v>
      </c>
      <c r="I178" s="89"/>
      <c r="J178" s="90"/>
      <c r="K178" s="133"/>
    </row>
    <row r="179" spans="1:11" s="46" customFormat="1" ht="15" customHeight="1" x14ac:dyDescent="0.2">
      <c r="A179" s="130">
        <f>IF(G179&lt;&gt;"",1+MAX($A$1:A178),"")</f>
        <v>105</v>
      </c>
      <c r="B179" s="169"/>
      <c r="C179" s="103"/>
      <c r="D179" s="144" t="s">
        <v>171</v>
      </c>
      <c r="E179" s="86">
        <f>36</f>
        <v>36</v>
      </c>
      <c r="F179" s="87">
        <f>10%</f>
        <v>0.1</v>
      </c>
      <c r="G179" s="86">
        <f t="shared" si="10"/>
        <v>39.6</v>
      </c>
      <c r="H179" s="79" t="s">
        <v>23</v>
      </c>
      <c r="I179" s="89"/>
      <c r="J179" s="90"/>
      <c r="K179" s="133"/>
    </row>
    <row r="180" spans="1:11" s="46" customFormat="1" ht="15" customHeight="1" x14ac:dyDescent="0.2">
      <c r="A180" s="130">
        <f>IF(G180&lt;&gt;"",1+MAX($A$1:A179),"")</f>
        <v>106</v>
      </c>
      <c r="B180" s="169"/>
      <c r="C180" s="103"/>
      <c r="D180" s="144" t="s">
        <v>172</v>
      </c>
      <c r="E180" s="86">
        <f>32</f>
        <v>32</v>
      </c>
      <c r="F180" s="87">
        <f>10%</f>
        <v>0.1</v>
      </c>
      <c r="G180" s="86">
        <f t="shared" si="10"/>
        <v>35.200000000000003</v>
      </c>
      <c r="H180" s="79" t="s">
        <v>23</v>
      </c>
      <c r="I180" s="89"/>
      <c r="J180" s="90"/>
      <c r="K180" s="133"/>
    </row>
    <row r="181" spans="1:11" s="46" customFormat="1" ht="15" customHeight="1" x14ac:dyDescent="0.2">
      <c r="A181" s="130">
        <f>IF(G181&lt;&gt;"",1+MAX($A$1:A180),"")</f>
        <v>107</v>
      </c>
      <c r="B181" s="169"/>
      <c r="C181" s="103"/>
      <c r="D181" s="144" t="s">
        <v>173</v>
      </c>
      <c r="E181" s="86">
        <f>26</f>
        <v>26</v>
      </c>
      <c r="F181" s="87">
        <f>10%</f>
        <v>0.1</v>
      </c>
      <c r="G181" s="86">
        <f t="shared" si="10"/>
        <v>28.6</v>
      </c>
      <c r="H181" s="79" t="s">
        <v>23</v>
      </c>
      <c r="I181" s="89"/>
      <c r="J181" s="90"/>
      <c r="K181" s="133"/>
    </row>
    <row r="182" spans="1:11" s="46" customFormat="1" ht="15" customHeight="1" x14ac:dyDescent="0.2">
      <c r="A182" s="130">
        <f>IF(G182&lt;&gt;"",1+MAX($A$1:A181),"")</f>
        <v>108</v>
      </c>
      <c r="B182" s="169"/>
      <c r="C182" s="103"/>
      <c r="D182" s="144" t="s">
        <v>174</v>
      </c>
      <c r="E182" s="86">
        <f>125</f>
        <v>125</v>
      </c>
      <c r="F182" s="87">
        <f>10%</f>
        <v>0.1</v>
      </c>
      <c r="G182" s="86">
        <f t="shared" si="10"/>
        <v>137.5</v>
      </c>
      <c r="H182" s="79" t="s">
        <v>23</v>
      </c>
      <c r="I182" s="89"/>
      <c r="J182" s="90"/>
      <c r="K182" s="133"/>
    </row>
    <row r="183" spans="1:11" s="46" customFormat="1" ht="15" customHeight="1" x14ac:dyDescent="0.2">
      <c r="A183" s="130">
        <f>IF(G183&lt;&gt;"",1+MAX($A$1:A182),"")</f>
        <v>109</v>
      </c>
      <c r="B183" s="169"/>
      <c r="C183" s="103"/>
      <c r="D183" s="144" t="s">
        <v>175</v>
      </c>
      <c r="E183" s="86">
        <f>40</f>
        <v>40</v>
      </c>
      <c r="F183" s="87">
        <f>10%</f>
        <v>0.1</v>
      </c>
      <c r="G183" s="86">
        <f t="shared" si="10"/>
        <v>44</v>
      </c>
      <c r="H183" s="79" t="s">
        <v>23</v>
      </c>
      <c r="I183" s="89"/>
      <c r="J183" s="90"/>
      <c r="K183" s="133"/>
    </row>
    <row r="184" spans="1:11" s="46" customFormat="1" ht="15" customHeight="1" x14ac:dyDescent="0.2">
      <c r="A184" s="130">
        <f>IF(G184&lt;&gt;"",1+MAX($A$1:A183),"")</f>
        <v>110</v>
      </c>
      <c r="B184" s="169"/>
      <c r="C184" s="103"/>
      <c r="D184" s="144" t="s">
        <v>176</v>
      </c>
      <c r="E184" s="86">
        <f>68</f>
        <v>68</v>
      </c>
      <c r="F184" s="87">
        <f>10%</f>
        <v>0.1</v>
      </c>
      <c r="G184" s="86">
        <f t="shared" si="10"/>
        <v>74.8</v>
      </c>
      <c r="H184" s="79" t="s">
        <v>23</v>
      </c>
      <c r="I184" s="89"/>
      <c r="J184" s="90"/>
      <c r="K184" s="133"/>
    </row>
    <row r="185" spans="1:11" s="46" customFormat="1" ht="15" customHeight="1" x14ac:dyDescent="0.2">
      <c r="A185" s="130">
        <f>IF(G185&lt;&gt;"",1+MAX($A$1:A184),"")</f>
        <v>111</v>
      </c>
      <c r="B185" s="169"/>
      <c r="C185" s="103"/>
      <c r="D185" s="144" t="s">
        <v>177</v>
      </c>
      <c r="E185" s="86">
        <f>58</f>
        <v>58</v>
      </c>
      <c r="F185" s="87">
        <f>10%</f>
        <v>0.1</v>
      </c>
      <c r="G185" s="86">
        <f t="shared" si="10"/>
        <v>63.8</v>
      </c>
      <c r="H185" s="79" t="s">
        <v>23</v>
      </c>
      <c r="I185" s="89"/>
      <c r="J185" s="90"/>
      <c r="K185" s="133"/>
    </row>
    <row r="186" spans="1:11" s="46" customFormat="1" ht="15" customHeight="1" x14ac:dyDescent="0.2">
      <c r="A186" s="130">
        <f>IF(G186&lt;&gt;"",1+MAX($A$1:A185),"")</f>
        <v>112</v>
      </c>
      <c r="B186" s="169"/>
      <c r="C186" s="103"/>
      <c r="D186" s="144" t="s">
        <v>178</v>
      </c>
      <c r="E186" s="86">
        <f>4</f>
        <v>4</v>
      </c>
      <c r="F186" s="87">
        <f>10%</f>
        <v>0.1</v>
      </c>
      <c r="G186" s="86">
        <f t="shared" si="10"/>
        <v>4.4000000000000004</v>
      </c>
      <c r="H186" s="79" t="s">
        <v>23</v>
      </c>
      <c r="I186" s="89"/>
      <c r="J186" s="90"/>
      <c r="K186" s="133"/>
    </row>
    <row r="187" spans="1:11" s="46" customFormat="1" ht="15" customHeight="1" x14ac:dyDescent="0.2">
      <c r="A187" s="130">
        <f>IF(G187&lt;&gt;"",1+MAX($A$1:A186),"")</f>
        <v>113</v>
      </c>
      <c r="B187" s="169"/>
      <c r="C187" s="103"/>
      <c r="D187" s="144" t="s">
        <v>179</v>
      </c>
      <c r="E187" s="86">
        <f>10</f>
        <v>10</v>
      </c>
      <c r="F187" s="87">
        <f>10%</f>
        <v>0.1</v>
      </c>
      <c r="G187" s="86">
        <f t="shared" si="10"/>
        <v>11</v>
      </c>
      <c r="H187" s="79" t="s">
        <v>23</v>
      </c>
      <c r="I187" s="89"/>
      <c r="J187" s="90"/>
      <c r="K187" s="133"/>
    </row>
    <row r="188" spans="1:11" s="46" customFormat="1" ht="15" customHeight="1" x14ac:dyDescent="0.2">
      <c r="A188" s="130">
        <f>IF(G188&lt;&gt;"",1+MAX($A$1:A187),"")</f>
        <v>114</v>
      </c>
      <c r="B188" s="169"/>
      <c r="C188" s="103"/>
      <c r="D188" s="144" t="s">
        <v>180</v>
      </c>
      <c r="E188" s="86">
        <f>39</f>
        <v>39</v>
      </c>
      <c r="F188" s="87">
        <f>10%</f>
        <v>0.1</v>
      </c>
      <c r="G188" s="86">
        <f t="shared" si="10"/>
        <v>42.9</v>
      </c>
      <c r="H188" s="79" t="s">
        <v>23</v>
      </c>
      <c r="I188" s="89"/>
      <c r="J188" s="90"/>
      <c r="K188" s="133"/>
    </row>
    <row r="189" spans="1:11" s="40" customFormat="1" x14ac:dyDescent="0.2">
      <c r="A189" s="130" t="str">
        <f>IF(G189&lt;&gt;"",1+MAX($A$1:A188),"")</f>
        <v/>
      </c>
      <c r="B189" s="114"/>
      <c r="C189" s="85"/>
      <c r="D189" s="85"/>
      <c r="E189" s="86"/>
      <c r="F189" s="85"/>
      <c r="G189" s="85"/>
      <c r="H189" s="85"/>
      <c r="I189" s="85"/>
      <c r="J189" s="85"/>
      <c r="K189" s="131"/>
    </row>
    <row r="190" spans="1:11" s="46" customFormat="1" x14ac:dyDescent="0.2">
      <c r="A190" s="147" t="str">
        <f>IF(H190&lt;&gt;"",1+MAX($A$1:A189),"")</f>
        <v/>
      </c>
      <c r="B190" s="101"/>
      <c r="C190" s="102"/>
      <c r="D190" s="41" t="s">
        <v>181</v>
      </c>
      <c r="E190" s="86"/>
      <c r="F190" s="94"/>
      <c r="G190" s="95"/>
      <c r="H190" s="79"/>
      <c r="I190" s="92"/>
      <c r="J190" s="96"/>
      <c r="K190" s="133"/>
    </row>
    <row r="191" spans="1:11" s="46" customFormat="1" ht="15" customHeight="1" x14ac:dyDescent="0.2">
      <c r="A191" s="130">
        <f>IF(H191&lt;&gt;"",1+MAX($A$1:A190),"")</f>
        <v>115</v>
      </c>
      <c r="B191" s="114" t="s">
        <v>158</v>
      </c>
      <c r="C191" s="103"/>
      <c r="D191" s="144" t="s">
        <v>182</v>
      </c>
      <c r="E191" s="86">
        <f>9740</f>
        <v>9740</v>
      </c>
      <c r="F191" s="87">
        <f>10%</f>
        <v>0.1</v>
      </c>
      <c r="G191" s="86">
        <f t="shared" ref="G191" si="11">E191+F191*E191</f>
        <v>10714</v>
      </c>
      <c r="H191" s="79" t="s">
        <v>23</v>
      </c>
      <c r="I191" s="89"/>
      <c r="J191" s="90"/>
      <c r="K191" s="133"/>
    </row>
    <row r="192" spans="1:11" s="40" customFormat="1" x14ac:dyDescent="0.2">
      <c r="A192" s="130"/>
      <c r="B192" s="114"/>
      <c r="C192" s="85"/>
      <c r="D192" s="85"/>
      <c r="E192" s="86"/>
      <c r="F192" s="85"/>
      <c r="G192" s="85"/>
      <c r="H192" s="85"/>
      <c r="I192" s="85"/>
      <c r="J192" s="85"/>
      <c r="K192" s="131"/>
    </row>
    <row r="193" spans="1:11" s="46" customFormat="1" x14ac:dyDescent="0.2">
      <c r="A193" s="147" t="str">
        <f>IF(H193&lt;&gt;"",1+MAX($A$1:A192),"")</f>
        <v/>
      </c>
      <c r="B193" s="101"/>
      <c r="C193" s="102"/>
      <c r="D193" s="41" t="s">
        <v>183</v>
      </c>
      <c r="E193" s="86"/>
      <c r="F193" s="94"/>
      <c r="G193" s="95"/>
      <c r="H193" s="79"/>
      <c r="I193" s="92"/>
      <c r="J193" s="96"/>
      <c r="K193" s="133"/>
    </row>
    <row r="194" spans="1:11" s="46" customFormat="1" ht="15" customHeight="1" x14ac:dyDescent="0.2">
      <c r="A194" s="130">
        <f>IF(H194&lt;&gt;"",1+MAX($A$1:A193),"")</f>
        <v>116</v>
      </c>
      <c r="B194" s="114" t="s">
        <v>158</v>
      </c>
      <c r="C194" s="103"/>
      <c r="D194" s="144" t="s">
        <v>184</v>
      </c>
      <c r="E194" s="86">
        <f>889</f>
        <v>889</v>
      </c>
      <c r="F194" s="87">
        <f>10%</f>
        <v>0.1</v>
      </c>
      <c r="G194" s="86">
        <f t="shared" ref="G194" si="12">E194+F194*E194</f>
        <v>977.9</v>
      </c>
      <c r="H194" s="79" t="s">
        <v>23</v>
      </c>
      <c r="I194" s="89"/>
      <c r="J194" s="90"/>
      <c r="K194" s="133"/>
    </row>
    <row r="195" spans="1:11" s="40" customFormat="1" x14ac:dyDescent="0.2">
      <c r="A195" s="130"/>
      <c r="B195" s="114"/>
      <c r="C195" s="85"/>
      <c r="D195" s="85"/>
      <c r="E195" s="86"/>
      <c r="F195" s="85"/>
      <c r="G195" s="85"/>
      <c r="H195" s="85"/>
      <c r="I195" s="85"/>
      <c r="J195" s="85"/>
      <c r="K195" s="131"/>
    </row>
    <row r="196" spans="1:11" s="46" customFormat="1" x14ac:dyDescent="0.2">
      <c r="A196" s="147" t="str">
        <f>IF(H196&lt;&gt;"",1+MAX($A$1:A195),"")</f>
        <v/>
      </c>
      <c r="B196" s="101"/>
      <c r="C196" s="102"/>
      <c r="D196" s="41" t="s">
        <v>185</v>
      </c>
      <c r="E196" s="86"/>
      <c r="F196" s="94"/>
      <c r="G196" s="95"/>
      <c r="H196" s="79"/>
      <c r="I196" s="92"/>
      <c r="J196" s="96"/>
      <c r="K196" s="133"/>
    </row>
    <row r="197" spans="1:11" s="46" customFormat="1" ht="31.5" customHeight="1" x14ac:dyDescent="0.2">
      <c r="A197" s="130">
        <f>IF(H197&lt;&gt;"",1+MAX($A$1:A196),"")</f>
        <v>117</v>
      </c>
      <c r="B197" s="114" t="s">
        <v>158</v>
      </c>
      <c r="C197" s="103"/>
      <c r="D197" s="144" t="s">
        <v>186</v>
      </c>
      <c r="E197" s="86">
        <f>14848</f>
        <v>14848</v>
      </c>
      <c r="F197" s="87">
        <f>10%</f>
        <v>0.1</v>
      </c>
      <c r="G197" s="86">
        <f t="shared" ref="G197" si="13">E197+F197*E197</f>
        <v>16332.8</v>
      </c>
      <c r="H197" s="79" t="s">
        <v>25</v>
      </c>
      <c r="I197" s="89"/>
      <c r="J197" s="90"/>
      <c r="K197" s="133"/>
    </row>
    <row r="198" spans="1:11" s="40" customFormat="1" x14ac:dyDescent="0.2">
      <c r="A198" s="130"/>
      <c r="B198" s="114"/>
      <c r="C198" s="85"/>
      <c r="D198" s="85"/>
      <c r="E198" s="86"/>
      <c r="F198" s="85"/>
      <c r="G198" s="85"/>
      <c r="H198" s="85"/>
      <c r="I198" s="85"/>
      <c r="J198" s="85"/>
      <c r="K198" s="131"/>
    </row>
    <row r="199" spans="1:11" s="46" customFormat="1" x14ac:dyDescent="0.2">
      <c r="A199" s="147" t="str">
        <f>IF(H199&lt;&gt;"",1+MAX($A$1:A198),"")</f>
        <v/>
      </c>
      <c r="B199" s="101"/>
      <c r="C199" s="102"/>
      <c r="D199" s="41" t="s">
        <v>187</v>
      </c>
      <c r="E199" s="86"/>
      <c r="F199" s="94"/>
      <c r="G199" s="95"/>
      <c r="H199" s="79"/>
      <c r="I199" s="92"/>
      <c r="J199" s="96"/>
      <c r="K199" s="133"/>
    </row>
    <row r="200" spans="1:11" s="46" customFormat="1" ht="15" customHeight="1" x14ac:dyDescent="0.2">
      <c r="A200" s="130">
        <f>IF(G200&lt;&gt;"",1+MAX($A$1:A199),"")</f>
        <v>118</v>
      </c>
      <c r="B200" s="169" t="s">
        <v>158</v>
      </c>
      <c r="C200" s="103"/>
      <c r="D200" s="144" t="s">
        <v>188</v>
      </c>
      <c r="E200" s="86">
        <f>9</f>
        <v>9</v>
      </c>
      <c r="F200" s="87">
        <f>10%</f>
        <v>0.1</v>
      </c>
      <c r="G200" s="86">
        <f t="shared" ref="G200:G201" si="14">E200+F200*E200</f>
        <v>9.9</v>
      </c>
      <c r="H200" s="79" t="s">
        <v>23</v>
      </c>
      <c r="I200" s="89"/>
      <c r="J200" s="90"/>
      <c r="K200" s="133"/>
    </row>
    <row r="201" spans="1:11" s="46" customFormat="1" ht="15" customHeight="1" x14ac:dyDescent="0.2">
      <c r="A201" s="130">
        <f>IF(G201&lt;&gt;"",1+MAX($A$1:A200),"")</f>
        <v>119</v>
      </c>
      <c r="B201" s="169"/>
      <c r="C201" s="103"/>
      <c r="D201" s="144" t="s">
        <v>189</v>
      </c>
      <c r="E201" s="86">
        <f>367.15*4</f>
        <v>1468.6</v>
      </c>
      <c r="F201" s="87">
        <f>10%</f>
        <v>0.1</v>
      </c>
      <c r="G201" s="86">
        <f t="shared" si="14"/>
        <v>1615.4599999999998</v>
      </c>
      <c r="H201" s="79" t="s">
        <v>23</v>
      </c>
      <c r="I201" s="89"/>
      <c r="J201" s="90"/>
      <c r="K201" s="133"/>
    </row>
    <row r="202" spans="1:11" s="40" customFormat="1" x14ac:dyDescent="0.2">
      <c r="A202" s="130" t="str">
        <f>IF(G202&lt;&gt;"",1+MAX($A$1:A201),"")</f>
        <v/>
      </c>
      <c r="B202" s="114"/>
      <c r="C202" s="85"/>
      <c r="D202" s="85"/>
      <c r="E202" s="86"/>
      <c r="F202" s="85"/>
      <c r="G202" s="85"/>
      <c r="H202" s="85"/>
      <c r="I202" s="85"/>
      <c r="J202" s="85"/>
      <c r="K202" s="131"/>
    </row>
    <row r="203" spans="1:11" s="46" customFormat="1" x14ac:dyDescent="0.2">
      <c r="A203" s="147" t="str">
        <f>IF(H203&lt;&gt;"",1+MAX($A$1:A202),"")</f>
        <v/>
      </c>
      <c r="B203" s="101"/>
      <c r="C203" s="102"/>
      <c r="D203" s="41" t="s">
        <v>138</v>
      </c>
      <c r="E203" s="86"/>
      <c r="F203" s="94"/>
      <c r="G203" s="95"/>
      <c r="H203" s="79"/>
      <c r="I203" s="92"/>
      <c r="J203" s="96"/>
      <c r="K203" s="133"/>
    </row>
    <row r="204" spans="1:11" s="46" customFormat="1" ht="15" customHeight="1" x14ac:dyDescent="0.2">
      <c r="A204" s="130">
        <f>IF(G204&lt;&gt;"",1+MAX($A$1:A203),"")</f>
        <v>120</v>
      </c>
      <c r="B204" s="169" t="s">
        <v>190</v>
      </c>
      <c r="C204" s="103"/>
      <c r="D204" s="144" t="s">
        <v>191</v>
      </c>
      <c r="E204" s="86">
        <f>521*5</f>
        <v>2605</v>
      </c>
      <c r="F204" s="87">
        <f>10%</f>
        <v>0.1</v>
      </c>
      <c r="G204" s="86">
        <f t="shared" ref="G204:G205" si="15">E204+F204*E204</f>
        <v>2865.5</v>
      </c>
      <c r="H204" s="79" t="s">
        <v>23</v>
      </c>
      <c r="I204" s="89"/>
      <c r="J204" s="90"/>
      <c r="K204" s="133"/>
    </row>
    <row r="205" spans="1:11" s="46" customFormat="1" ht="15" customHeight="1" x14ac:dyDescent="0.2">
      <c r="A205" s="130">
        <f>IF(G205&lt;&gt;"",1+MAX($A$1:A204),"")</f>
        <v>121</v>
      </c>
      <c r="B205" s="169"/>
      <c r="C205" s="103"/>
      <c r="D205" s="144" t="s">
        <v>192</v>
      </c>
      <c r="E205" s="86">
        <f>8*521</f>
        <v>4168</v>
      </c>
      <c r="F205" s="87">
        <f>10%</f>
        <v>0.1</v>
      </c>
      <c r="G205" s="86">
        <f t="shared" si="15"/>
        <v>4584.8</v>
      </c>
      <c r="H205" s="79" t="s">
        <v>23</v>
      </c>
      <c r="I205" s="89"/>
      <c r="J205" s="90"/>
      <c r="K205" s="133"/>
    </row>
    <row r="206" spans="1:11" s="40" customFormat="1" ht="15.75" thickBot="1" x14ac:dyDescent="0.25">
      <c r="A206" s="130" t="str">
        <f>IF(G206&lt;&gt;"",1+MAX($A$1:A205),"")</f>
        <v/>
      </c>
      <c r="B206" s="114"/>
      <c r="C206" s="85"/>
      <c r="D206" s="85"/>
      <c r="E206" s="85"/>
      <c r="F206" s="85"/>
      <c r="G206" s="85"/>
      <c r="H206" s="85"/>
      <c r="I206" s="85"/>
      <c r="J206" s="85"/>
      <c r="K206" s="131"/>
    </row>
    <row r="207" spans="1:11" s="39" customFormat="1" ht="16.5" thickBot="1" x14ac:dyDescent="0.25">
      <c r="A207" s="141" t="str">
        <f>IF(H207&lt;&gt;"",1+MAX(#REF!),"")</f>
        <v/>
      </c>
      <c r="B207" s="36"/>
      <c r="C207" s="37" t="s">
        <v>193</v>
      </c>
      <c r="D207" s="38" t="s">
        <v>194</v>
      </c>
      <c r="E207" s="84"/>
      <c r="F207" s="84"/>
      <c r="G207" s="84"/>
      <c r="H207" s="84"/>
      <c r="I207" s="84"/>
      <c r="J207" s="84"/>
      <c r="K207" s="129">
        <f>SUM(J208:J231)</f>
        <v>0</v>
      </c>
    </row>
    <row r="208" spans="1:11" s="40" customFormat="1" x14ac:dyDescent="0.2">
      <c r="A208" s="130" t="str">
        <f>IF(H208&lt;&gt;"",1+MAX($A$1:A207),"")</f>
        <v/>
      </c>
      <c r="B208" s="114"/>
      <c r="C208" s="85"/>
      <c r="D208" s="85"/>
      <c r="E208" s="85"/>
      <c r="F208" s="85"/>
      <c r="G208" s="85"/>
      <c r="H208" s="85"/>
      <c r="I208" s="85"/>
      <c r="J208" s="85"/>
      <c r="K208" s="133"/>
    </row>
    <row r="209" spans="1:11" s="40" customFormat="1" x14ac:dyDescent="0.2">
      <c r="A209" s="142"/>
      <c r="B209" s="97"/>
      <c r="C209" s="98"/>
      <c r="D209" s="41" t="s">
        <v>195</v>
      </c>
      <c r="E209" s="85"/>
      <c r="F209" s="85"/>
      <c r="G209" s="85"/>
      <c r="H209" s="85"/>
      <c r="I209" s="85"/>
      <c r="J209" s="85"/>
      <c r="K209" s="133"/>
    </row>
    <row r="210" spans="1:11" s="39" customFormat="1" ht="30" x14ac:dyDescent="0.2">
      <c r="A210" s="130">
        <f>IF(G210&lt;&gt;"",1+MAX($A$1:A209),"")</f>
        <v>122</v>
      </c>
      <c r="B210" s="110" t="s">
        <v>190</v>
      </c>
      <c r="C210" s="85"/>
      <c r="D210" s="81" t="s">
        <v>196</v>
      </c>
      <c r="E210" s="86">
        <f>5573.5+(4.1*520.9)</f>
        <v>7709.19</v>
      </c>
      <c r="F210" s="87">
        <v>0.1</v>
      </c>
      <c r="G210" s="86">
        <f>E210*(1+F210)</f>
        <v>8480.1090000000004</v>
      </c>
      <c r="H210" s="79" t="s">
        <v>25</v>
      </c>
      <c r="I210" s="92"/>
      <c r="J210" s="90"/>
      <c r="K210" s="133"/>
    </row>
    <row r="211" spans="1:11" s="39" customFormat="1" ht="15.75" x14ac:dyDescent="0.2">
      <c r="A211" s="130"/>
      <c r="B211" s="93"/>
      <c r="C211" s="85"/>
      <c r="D211" s="81"/>
      <c r="E211" s="86"/>
      <c r="F211" s="87"/>
      <c r="G211" s="86"/>
      <c r="H211" s="79"/>
      <c r="I211" s="92"/>
      <c r="J211" s="90"/>
      <c r="K211" s="133"/>
    </row>
    <row r="212" spans="1:11" s="39" customFormat="1" ht="15.75" x14ac:dyDescent="0.2">
      <c r="A212" s="130" t="str">
        <f>IF(G212&lt;&gt;"",1+MAX($A$1:A135),"")</f>
        <v/>
      </c>
      <c r="B212" s="93"/>
      <c r="C212" s="85"/>
      <c r="D212" s="49" t="s">
        <v>197</v>
      </c>
      <c r="E212" s="86"/>
      <c r="F212" s="94"/>
      <c r="G212" s="95"/>
      <c r="H212" s="79"/>
      <c r="I212" s="92"/>
      <c r="J212" s="96"/>
      <c r="K212" s="133"/>
    </row>
    <row r="213" spans="1:11" s="39" customFormat="1" ht="30" x14ac:dyDescent="0.2">
      <c r="A213" s="130">
        <f>IF(G213&lt;&gt;"",1+MAX($A$1:A212),"")</f>
        <v>123</v>
      </c>
      <c r="B213" s="110" t="s">
        <v>190</v>
      </c>
      <c r="C213" s="85"/>
      <c r="D213" s="81" t="s">
        <v>198</v>
      </c>
      <c r="E213" s="86">
        <v>5573.5</v>
      </c>
      <c r="F213" s="87">
        <v>0.1</v>
      </c>
      <c r="G213" s="86">
        <f>E213*(1+F213)</f>
        <v>6130.85</v>
      </c>
      <c r="H213" s="79" t="s">
        <v>25</v>
      </c>
      <c r="I213" s="92"/>
      <c r="J213" s="90"/>
      <c r="K213" s="133"/>
    </row>
    <row r="214" spans="1:11" s="39" customFormat="1" ht="15.75" x14ac:dyDescent="0.2">
      <c r="A214" s="130"/>
      <c r="B214" s="93"/>
      <c r="C214" s="85"/>
      <c r="D214" s="81"/>
      <c r="E214" s="86"/>
      <c r="F214" s="87"/>
      <c r="G214" s="86"/>
      <c r="H214" s="79"/>
      <c r="I214" s="92"/>
      <c r="J214" s="90"/>
      <c r="K214" s="133"/>
    </row>
    <row r="215" spans="1:11" s="39" customFormat="1" ht="15.75" x14ac:dyDescent="0.2">
      <c r="A215" s="130" t="str">
        <f>IF(G215&lt;&gt;"",1+MAX($A$1:A138),"")</f>
        <v/>
      </c>
      <c r="B215" s="93"/>
      <c r="C215" s="85"/>
      <c r="D215" s="49" t="s">
        <v>199</v>
      </c>
      <c r="E215" s="86"/>
      <c r="F215" s="94"/>
      <c r="G215" s="95"/>
      <c r="H215" s="79"/>
      <c r="I215" s="92"/>
      <c r="J215" s="96"/>
      <c r="K215" s="133"/>
    </row>
    <row r="216" spans="1:11" s="39" customFormat="1" ht="15.75" x14ac:dyDescent="0.2">
      <c r="A216" s="130">
        <f>IF(G216&lt;&gt;"",1+MAX($A$1:A215),"")</f>
        <v>124</v>
      </c>
      <c r="B216" s="110" t="s">
        <v>190</v>
      </c>
      <c r="C216" s="85"/>
      <c r="D216" s="81" t="s">
        <v>200</v>
      </c>
      <c r="E216" s="86">
        <v>520.9</v>
      </c>
      <c r="F216" s="87">
        <v>0.1</v>
      </c>
      <c r="G216" s="86">
        <f>E216*(1+F216)</f>
        <v>572.99</v>
      </c>
      <c r="H216" s="79" t="s">
        <v>23</v>
      </c>
      <c r="I216" s="92"/>
      <c r="J216" s="90"/>
      <c r="K216" s="133"/>
    </row>
    <row r="217" spans="1:11" s="39" customFormat="1" ht="15.75" x14ac:dyDescent="0.2">
      <c r="A217" s="130"/>
      <c r="B217" s="93"/>
      <c r="C217" s="85"/>
      <c r="D217" s="81"/>
      <c r="E217" s="86"/>
      <c r="F217" s="87"/>
      <c r="G217" s="86"/>
      <c r="H217" s="79"/>
      <c r="I217" s="92"/>
      <c r="J217" s="90"/>
      <c r="K217" s="133"/>
    </row>
    <row r="218" spans="1:11" s="39" customFormat="1" ht="15.75" x14ac:dyDescent="0.2">
      <c r="A218" s="142"/>
      <c r="B218" s="97"/>
      <c r="C218" s="98"/>
      <c r="D218" s="41" t="s">
        <v>201</v>
      </c>
      <c r="E218" s="86"/>
      <c r="F218" s="85"/>
      <c r="G218" s="86"/>
      <c r="H218" s="85"/>
      <c r="I218" s="85"/>
      <c r="J218" s="85"/>
      <c r="K218" s="133"/>
    </row>
    <row r="219" spans="1:11" s="39" customFormat="1" ht="15.75" x14ac:dyDescent="0.2">
      <c r="A219" s="130">
        <f>IF(G219&lt;&gt;"",1+MAX($A$1:A218),"")</f>
        <v>125</v>
      </c>
      <c r="B219" s="110" t="s">
        <v>190</v>
      </c>
      <c r="C219" s="85"/>
      <c r="D219" s="81" t="s">
        <v>202</v>
      </c>
      <c r="E219" s="86">
        <v>520.9</v>
      </c>
      <c r="F219" s="87">
        <v>0.1</v>
      </c>
      <c r="G219" s="86">
        <f>E219*(1+F219)</f>
        <v>572.99</v>
      </c>
      <c r="H219" s="79" t="s">
        <v>23</v>
      </c>
      <c r="I219" s="92"/>
      <c r="J219" s="90"/>
      <c r="K219" s="133"/>
    </row>
    <row r="220" spans="1:11" s="39" customFormat="1" ht="15.75" x14ac:dyDescent="0.2">
      <c r="A220" s="130"/>
      <c r="B220" s="93"/>
      <c r="C220" s="85"/>
      <c r="D220" s="81"/>
      <c r="E220" s="86"/>
      <c r="F220" s="87"/>
      <c r="G220" s="86"/>
      <c r="H220" s="79"/>
      <c r="I220" s="92"/>
      <c r="J220" s="90"/>
      <c r="K220" s="133"/>
    </row>
    <row r="221" spans="1:11" s="40" customFormat="1" x14ac:dyDescent="0.2">
      <c r="A221" s="142"/>
      <c r="B221" s="97"/>
      <c r="C221" s="98"/>
      <c r="D221" s="41" t="s">
        <v>203</v>
      </c>
      <c r="E221" s="86"/>
      <c r="F221" s="85"/>
      <c r="G221" s="85"/>
      <c r="H221" s="85"/>
      <c r="I221" s="85"/>
      <c r="J221" s="85"/>
      <c r="K221" s="133"/>
    </row>
    <row r="222" spans="1:11" s="39" customFormat="1" ht="15.75" x14ac:dyDescent="0.2">
      <c r="A222" s="130">
        <f>IF(G222&lt;&gt;"",1+MAX($A$1:A221),"")</f>
        <v>126</v>
      </c>
      <c r="B222" s="110" t="s">
        <v>71</v>
      </c>
      <c r="C222" s="85"/>
      <c r="D222" s="81" t="s">
        <v>204</v>
      </c>
      <c r="E222" s="86">
        <f>((130.33*9.25)+(284.5*10.67*3)+(284.5*10.83*1))</f>
        <v>13393.532499999999</v>
      </c>
      <c r="F222" s="87">
        <v>0.1</v>
      </c>
      <c r="G222" s="86">
        <f>E222*(1+F222)</f>
        <v>14732.885750000001</v>
      </c>
      <c r="H222" s="79" t="s">
        <v>25</v>
      </c>
      <c r="I222" s="92"/>
      <c r="J222" s="90"/>
      <c r="K222" s="133"/>
    </row>
    <row r="223" spans="1:11" s="39" customFormat="1" ht="15.75" x14ac:dyDescent="0.2">
      <c r="A223" s="130">
        <f>IF(G223&lt;&gt;"",1+MAX($A$1:A222),"")</f>
        <v>127</v>
      </c>
      <c r="B223" s="110" t="s">
        <v>190</v>
      </c>
      <c r="C223" s="85"/>
      <c r="D223" s="81" t="s">
        <v>205</v>
      </c>
      <c r="E223" s="86">
        <v>5573.5</v>
      </c>
      <c r="F223" s="87">
        <v>0.1</v>
      </c>
      <c r="G223" s="86">
        <f>E223*(1+F223)</f>
        <v>6130.85</v>
      </c>
      <c r="H223" s="79" t="s">
        <v>25</v>
      </c>
      <c r="I223" s="92"/>
      <c r="J223" s="90"/>
      <c r="K223" s="133"/>
    </row>
    <row r="224" spans="1:11" s="39" customFormat="1" ht="15.75" x14ac:dyDescent="0.2">
      <c r="A224" s="130" t="str">
        <f>IF(G224&lt;&gt;"",1+MAX($A$1:A138),"")</f>
        <v/>
      </c>
      <c r="B224" s="93"/>
      <c r="C224" s="85"/>
      <c r="D224" s="81"/>
      <c r="E224" s="86"/>
      <c r="F224" s="94"/>
      <c r="G224" s="95"/>
      <c r="H224" s="79"/>
      <c r="I224" s="92"/>
      <c r="J224" s="96"/>
      <c r="K224" s="133"/>
    </row>
    <row r="225" spans="1:11" s="46" customFormat="1" x14ac:dyDescent="0.2">
      <c r="A225" s="142" t="str">
        <f>IF(H225&lt;&gt;"",1+MAX($A$1:A224),"")</f>
        <v/>
      </c>
      <c r="B225" s="104"/>
      <c r="C225" s="102"/>
      <c r="D225" s="41" t="s">
        <v>206</v>
      </c>
      <c r="E225" s="86"/>
      <c r="F225" s="94"/>
      <c r="G225" s="95"/>
      <c r="H225" s="79"/>
      <c r="I225" s="92"/>
      <c r="J225" s="96"/>
      <c r="K225" s="133"/>
    </row>
    <row r="226" spans="1:11" s="46" customFormat="1" ht="14.25" customHeight="1" x14ac:dyDescent="0.2">
      <c r="A226" s="130">
        <f>IF(H226&lt;&gt;"",1+MAX($A$1:A225),"")</f>
        <v>128</v>
      </c>
      <c r="B226" s="169" t="s">
        <v>146</v>
      </c>
      <c r="C226" s="103"/>
      <c r="D226" s="144" t="s">
        <v>207</v>
      </c>
      <c r="E226" s="86">
        <f>3289*2</f>
        <v>6578</v>
      </c>
      <c r="F226" s="87">
        <f>10%</f>
        <v>0.1</v>
      </c>
      <c r="G226" s="86">
        <f>E226+F226*E226</f>
        <v>7235.8</v>
      </c>
      <c r="H226" s="79" t="s">
        <v>23</v>
      </c>
      <c r="I226" s="89"/>
      <c r="J226" s="90"/>
      <c r="K226" s="133"/>
    </row>
    <row r="227" spans="1:11" s="46" customFormat="1" ht="15" customHeight="1" x14ac:dyDescent="0.2">
      <c r="A227" s="130">
        <f>IF(H227&lt;&gt;"",1+MAX($A$1:A226),"")</f>
        <v>129</v>
      </c>
      <c r="B227" s="169"/>
      <c r="C227" s="103"/>
      <c r="D227" s="144" t="s">
        <v>208</v>
      </c>
      <c r="E227" s="86">
        <f>2622*2</f>
        <v>5244</v>
      </c>
      <c r="F227" s="87">
        <f>10%</f>
        <v>0.1</v>
      </c>
      <c r="G227" s="86">
        <f>E227+F227*E227</f>
        <v>5768.4</v>
      </c>
      <c r="H227" s="79" t="s">
        <v>23</v>
      </c>
      <c r="I227" s="89"/>
      <c r="J227" s="90"/>
      <c r="K227" s="133"/>
    </row>
    <row r="228" spans="1:11" s="46" customFormat="1" ht="15" customHeight="1" x14ac:dyDescent="0.2">
      <c r="A228" s="130"/>
      <c r="B228" s="114"/>
      <c r="C228" s="103"/>
      <c r="D228" s="144"/>
      <c r="E228" s="86"/>
      <c r="F228" s="87"/>
      <c r="G228" s="86"/>
      <c r="H228" s="79"/>
      <c r="I228" s="89"/>
      <c r="J228" s="90"/>
      <c r="K228" s="133"/>
    </row>
    <row r="229" spans="1:11" s="46" customFormat="1" x14ac:dyDescent="0.2">
      <c r="A229" s="147" t="str">
        <f>IF(H229&lt;&gt;"",1+MAX($A$1:A227),"")</f>
        <v/>
      </c>
      <c r="B229" s="101"/>
      <c r="C229" s="102"/>
      <c r="D229" s="41" t="s">
        <v>209</v>
      </c>
      <c r="E229" s="86"/>
      <c r="F229" s="94"/>
      <c r="G229" s="95"/>
      <c r="H229" s="79"/>
      <c r="I229" s="92"/>
      <c r="J229" s="96"/>
      <c r="K229" s="133"/>
    </row>
    <row r="230" spans="1:11" s="46" customFormat="1" ht="15" customHeight="1" x14ac:dyDescent="0.2">
      <c r="A230" s="130">
        <f>IF(H230&lt;&gt;"",1+MAX($A$1:A229),"")</f>
        <v>130</v>
      </c>
      <c r="B230" s="112" t="s">
        <v>210</v>
      </c>
      <c r="C230" s="103"/>
      <c r="D230" s="144" t="s">
        <v>211</v>
      </c>
      <c r="E230" s="86">
        <f>2622</f>
        <v>2622</v>
      </c>
      <c r="F230" s="87">
        <f>10%</f>
        <v>0.1</v>
      </c>
      <c r="G230" s="86">
        <f>E230+F230*E230</f>
        <v>2884.2</v>
      </c>
      <c r="H230" s="79" t="s">
        <v>23</v>
      </c>
      <c r="I230" s="89"/>
      <c r="J230" s="90"/>
      <c r="K230" s="133"/>
    </row>
    <row r="231" spans="1:11" s="48" customFormat="1" ht="16.5" thickBot="1" x14ac:dyDescent="0.25">
      <c r="A231" s="130" t="str">
        <f>IF(H231&lt;&gt;"",1+MAX($A$1:A230),"")</f>
        <v/>
      </c>
      <c r="B231" s="105"/>
      <c r="C231" s="85"/>
      <c r="D231" s="106"/>
      <c r="E231" s="86"/>
      <c r="F231" s="87"/>
      <c r="G231" s="88"/>
      <c r="H231" s="79"/>
      <c r="I231" s="89"/>
      <c r="J231" s="90"/>
      <c r="K231" s="131"/>
    </row>
    <row r="232" spans="1:11" s="39" customFormat="1" ht="16.5" thickBot="1" x14ac:dyDescent="0.25">
      <c r="A232" s="128" t="str">
        <f>IF(H232&lt;&gt;"",1+MAX($A$1:A224),"")</f>
        <v/>
      </c>
      <c r="B232" s="42"/>
      <c r="C232" s="37" t="s">
        <v>212</v>
      </c>
      <c r="D232" s="38" t="s">
        <v>213</v>
      </c>
      <c r="E232" s="84"/>
      <c r="F232" s="84"/>
      <c r="G232" s="84"/>
      <c r="H232" s="84"/>
      <c r="I232" s="84"/>
      <c r="J232" s="84"/>
      <c r="K232" s="129">
        <f>SUM(J233:J282)</f>
        <v>0</v>
      </c>
    </row>
    <row r="233" spans="1:11" s="39" customFormat="1" ht="15.75" x14ac:dyDescent="0.2">
      <c r="A233" s="130" t="str">
        <f>IF(H233&lt;&gt;"",1+MAX($A$1:A232),"")</f>
        <v/>
      </c>
      <c r="B233" s="43"/>
      <c r="C233" s="44"/>
      <c r="D233" s="45"/>
      <c r="E233" s="107"/>
      <c r="F233" s="107"/>
      <c r="G233" s="107"/>
      <c r="H233" s="107"/>
      <c r="I233" s="107"/>
      <c r="J233" s="107"/>
      <c r="K233" s="150"/>
    </row>
    <row r="234" spans="1:11" s="46" customFormat="1" x14ac:dyDescent="0.2">
      <c r="A234" s="151" t="str">
        <f>IF(H234&lt;&gt;"",1+MAX($A$1:A233),"")</f>
        <v/>
      </c>
      <c r="B234" s="104"/>
      <c r="C234" s="102"/>
      <c r="D234" s="41" t="s">
        <v>214</v>
      </c>
      <c r="E234" s="86"/>
      <c r="F234" s="94"/>
      <c r="G234" s="95"/>
      <c r="H234" s="79"/>
      <c r="I234" s="92"/>
      <c r="J234" s="96"/>
      <c r="K234" s="133"/>
    </row>
    <row r="235" spans="1:11" s="39" customFormat="1" ht="16.5" customHeight="1" x14ac:dyDescent="0.2">
      <c r="A235" s="130">
        <f>IF(H235&lt;&gt;"",1+MAX($A$1:A234),"")</f>
        <v>131</v>
      </c>
      <c r="B235" s="112"/>
      <c r="C235" s="44"/>
      <c r="D235" s="78" t="s">
        <v>215</v>
      </c>
      <c r="E235" s="86">
        <v>221</v>
      </c>
      <c r="F235" s="87">
        <v>0</v>
      </c>
      <c r="G235" s="86">
        <f>E235+F235</f>
        <v>221</v>
      </c>
      <c r="H235" s="79" t="s">
        <v>21</v>
      </c>
      <c r="I235" s="89"/>
      <c r="J235" s="90"/>
      <c r="K235" s="150"/>
    </row>
    <row r="236" spans="1:11" s="39" customFormat="1" ht="15.75" x14ac:dyDescent="0.2">
      <c r="A236" s="130" t="str">
        <f>IF(H236&lt;&gt;"",1+MAX($A$1:A235),"")</f>
        <v/>
      </c>
      <c r="B236" s="43"/>
      <c r="C236" s="44"/>
      <c r="D236" s="107"/>
      <c r="E236" s="86"/>
      <c r="F236" s="107"/>
      <c r="G236" s="107"/>
      <c r="H236" s="107"/>
      <c r="I236" s="107"/>
      <c r="J236" s="107"/>
      <c r="K236" s="150"/>
    </row>
    <row r="237" spans="1:11" s="46" customFormat="1" x14ac:dyDescent="0.2">
      <c r="A237" s="151" t="str">
        <f>IF(H237&lt;&gt;"",1+MAX($A$1:A236),"")</f>
        <v/>
      </c>
      <c r="B237" s="104"/>
      <c r="C237" s="102"/>
      <c r="D237" s="41" t="s">
        <v>216</v>
      </c>
      <c r="E237" s="86"/>
      <c r="F237" s="94"/>
      <c r="G237" s="95"/>
      <c r="H237" s="79"/>
      <c r="I237" s="92"/>
      <c r="J237" s="96"/>
      <c r="K237" s="133"/>
    </row>
    <row r="238" spans="1:11" s="46" customFormat="1" ht="90" x14ac:dyDescent="0.2">
      <c r="A238" s="130">
        <f>IF(H238&lt;&gt;"",1+MAX($A$1:A237),"")</f>
        <v>132</v>
      </c>
      <c r="B238" s="164" t="s">
        <v>217</v>
      </c>
      <c r="C238" s="103"/>
      <c r="D238" s="148" t="s">
        <v>218</v>
      </c>
      <c r="E238" s="86">
        <f>19</f>
        <v>19</v>
      </c>
      <c r="F238" s="87">
        <v>0</v>
      </c>
      <c r="G238" s="86">
        <f>E238+F238</f>
        <v>19</v>
      </c>
      <c r="H238" s="79" t="s">
        <v>21</v>
      </c>
      <c r="I238" s="89"/>
      <c r="J238" s="90"/>
      <c r="K238" s="133"/>
    </row>
    <row r="239" spans="1:11" s="46" customFormat="1" ht="60.75" customHeight="1" x14ac:dyDescent="0.2">
      <c r="A239" s="130">
        <f>IF(H239&lt;&gt;"",1+MAX($A$1:A238),"")</f>
        <v>133</v>
      </c>
      <c r="B239" s="164"/>
      <c r="C239" s="103"/>
      <c r="D239" s="144" t="s">
        <v>219</v>
      </c>
      <c r="E239" s="86">
        <f>20</f>
        <v>20</v>
      </c>
      <c r="F239" s="87">
        <v>0</v>
      </c>
      <c r="G239" s="86">
        <f t="shared" ref="G239:G255" si="16">E239+F239</f>
        <v>20</v>
      </c>
      <c r="H239" s="79" t="s">
        <v>21</v>
      </c>
      <c r="I239" s="89"/>
      <c r="J239" s="90"/>
      <c r="K239" s="133"/>
    </row>
    <row r="240" spans="1:11" s="46" customFormat="1" ht="75" x14ac:dyDescent="0.2">
      <c r="A240" s="130">
        <f>IF(H240&lt;&gt;"",1+MAX($A$1:A239),"")</f>
        <v>134</v>
      </c>
      <c r="B240" s="164"/>
      <c r="C240" s="103"/>
      <c r="D240" s="148" t="s">
        <v>220</v>
      </c>
      <c r="E240" s="86">
        <f>12</f>
        <v>12</v>
      </c>
      <c r="F240" s="87">
        <v>0</v>
      </c>
      <c r="G240" s="86">
        <f t="shared" si="16"/>
        <v>12</v>
      </c>
      <c r="H240" s="79" t="s">
        <v>21</v>
      </c>
      <c r="I240" s="89"/>
      <c r="J240" s="90"/>
      <c r="K240" s="133"/>
    </row>
    <row r="241" spans="1:11" s="46" customFormat="1" ht="75" x14ac:dyDescent="0.2">
      <c r="A241" s="130">
        <f>IF(H241&lt;&gt;"",1+MAX($A$1:A240),"")</f>
        <v>135</v>
      </c>
      <c r="B241" s="164"/>
      <c r="C241" s="103"/>
      <c r="D241" s="148" t="s">
        <v>221</v>
      </c>
      <c r="E241" s="86">
        <f>20</f>
        <v>20</v>
      </c>
      <c r="F241" s="87">
        <v>0</v>
      </c>
      <c r="G241" s="86">
        <f t="shared" si="16"/>
        <v>20</v>
      </c>
      <c r="H241" s="79" t="s">
        <v>21</v>
      </c>
      <c r="I241" s="89"/>
      <c r="J241" s="90"/>
      <c r="K241" s="133"/>
    </row>
    <row r="242" spans="1:11" s="46" customFormat="1" ht="75" x14ac:dyDescent="0.2">
      <c r="A242" s="130">
        <f>IF(H242&lt;&gt;"",1+MAX($A$1:A241),"")</f>
        <v>136</v>
      </c>
      <c r="B242" s="164"/>
      <c r="C242" s="103"/>
      <c r="D242" s="148" t="s">
        <v>222</v>
      </c>
      <c r="E242" s="86">
        <f>20</f>
        <v>20</v>
      </c>
      <c r="F242" s="87">
        <v>0</v>
      </c>
      <c r="G242" s="86">
        <f t="shared" si="16"/>
        <v>20</v>
      </c>
      <c r="H242" s="79" t="s">
        <v>21</v>
      </c>
      <c r="I242" s="89"/>
      <c r="J242" s="90"/>
      <c r="K242" s="133"/>
    </row>
    <row r="243" spans="1:11" s="46" customFormat="1" ht="75" x14ac:dyDescent="0.2">
      <c r="A243" s="130">
        <f>IF(H243&lt;&gt;"",1+MAX($A$1:A242),"")</f>
        <v>137</v>
      </c>
      <c r="B243" s="164"/>
      <c r="C243" s="103"/>
      <c r="D243" s="148" t="s">
        <v>223</v>
      </c>
      <c r="E243" s="86">
        <f>20</f>
        <v>20</v>
      </c>
      <c r="F243" s="87">
        <v>0</v>
      </c>
      <c r="G243" s="86">
        <f t="shared" si="16"/>
        <v>20</v>
      </c>
      <c r="H243" s="79" t="s">
        <v>21</v>
      </c>
      <c r="I243" s="89"/>
      <c r="J243" s="90"/>
      <c r="K243" s="133"/>
    </row>
    <row r="244" spans="1:11" s="46" customFormat="1" ht="60" customHeight="1" x14ac:dyDescent="0.2">
      <c r="A244" s="130">
        <f>IF(H244&lt;&gt;"",1+MAX($A$1:A243),"")</f>
        <v>138</v>
      </c>
      <c r="B244" s="164"/>
      <c r="C244" s="103"/>
      <c r="D244" s="144" t="s">
        <v>224</v>
      </c>
      <c r="E244" s="86">
        <f>28</f>
        <v>28</v>
      </c>
      <c r="F244" s="87">
        <v>0</v>
      </c>
      <c r="G244" s="86">
        <f t="shared" si="16"/>
        <v>28</v>
      </c>
      <c r="H244" s="79" t="s">
        <v>21</v>
      </c>
      <c r="I244" s="89"/>
      <c r="J244" s="90"/>
      <c r="K244" s="133"/>
    </row>
    <row r="245" spans="1:11" s="46" customFormat="1" ht="75" x14ac:dyDescent="0.2">
      <c r="A245" s="130">
        <f>IF(H245&lt;&gt;"",1+MAX($A$1:A244),"")</f>
        <v>139</v>
      </c>
      <c r="B245" s="164"/>
      <c r="C245" s="103"/>
      <c r="D245" s="148" t="s">
        <v>225</v>
      </c>
      <c r="E245" s="86">
        <f>8</f>
        <v>8</v>
      </c>
      <c r="F245" s="87">
        <v>0</v>
      </c>
      <c r="G245" s="86">
        <f t="shared" si="16"/>
        <v>8</v>
      </c>
      <c r="H245" s="79" t="s">
        <v>21</v>
      </c>
      <c r="I245" s="89"/>
      <c r="J245" s="90"/>
      <c r="K245" s="133"/>
    </row>
    <row r="246" spans="1:11" s="46" customFormat="1" ht="75" x14ac:dyDescent="0.2">
      <c r="A246" s="130">
        <f>IF(H246&lt;&gt;"",1+MAX($A$1:A245),"")</f>
        <v>140</v>
      </c>
      <c r="B246" s="164"/>
      <c r="C246" s="103"/>
      <c r="D246" s="148" t="s">
        <v>226</v>
      </c>
      <c r="E246" s="86">
        <f>8</f>
        <v>8</v>
      </c>
      <c r="F246" s="87">
        <v>0</v>
      </c>
      <c r="G246" s="86">
        <f t="shared" si="16"/>
        <v>8</v>
      </c>
      <c r="H246" s="79" t="s">
        <v>21</v>
      </c>
      <c r="I246" s="89"/>
      <c r="J246" s="90"/>
      <c r="K246" s="133"/>
    </row>
    <row r="247" spans="1:11" s="46" customFormat="1" ht="75" x14ac:dyDescent="0.2">
      <c r="A247" s="130">
        <f>IF(H247&lt;&gt;"",1+MAX($A$1:A246),"")</f>
        <v>141</v>
      </c>
      <c r="B247" s="164"/>
      <c r="C247" s="103"/>
      <c r="D247" s="148" t="s">
        <v>227</v>
      </c>
      <c r="E247" s="86">
        <f>16</f>
        <v>16</v>
      </c>
      <c r="F247" s="87">
        <v>0</v>
      </c>
      <c r="G247" s="86">
        <f t="shared" si="16"/>
        <v>16</v>
      </c>
      <c r="H247" s="79" t="s">
        <v>21</v>
      </c>
      <c r="I247" s="89"/>
      <c r="J247" s="90"/>
      <c r="K247" s="133"/>
    </row>
    <row r="248" spans="1:11" s="46" customFormat="1" ht="76.5" customHeight="1" x14ac:dyDescent="0.2">
      <c r="A248" s="130">
        <f>IF(H248&lt;&gt;"",1+MAX($A$1:A247),"")</f>
        <v>142</v>
      </c>
      <c r="B248" s="164"/>
      <c r="C248" s="103"/>
      <c r="D248" s="144" t="s">
        <v>228</v>
      </c>
      <c r="E248" s="86">
        <f>9+7</f>
        <v>16</v>
      </c>
      <c r="F248" s="87">
        <v>0</v>
      </c>
      <c r="G248" s="86">
        <f t="shared" si="16"/>
        <v>16</v>
      </c>
      <c r="H248" s="79" t="s">
        <v>21</v>
      </c>
      <c r="I248" s="89"/>
      <c r="J248" s="90"/>
      <c r="K248" s="133"/>
    </row>
    <row r="249" spans="1:11" s="46" customFormat="1" ht="75" x14ac:dyDescent="0.2">
      <c r="A249" s="130">
        <f>IF(H249&lt;&gt;"",1+MAX($A$1:A248),"")</f>
        <v>143</v>
      </c>
      <c r="B249" s="164"/>
      <c r="C249" s="103"/>
      <c r="D249" s="148" t="s">
        <v>229</v>
      </c>
      <c r="E249" s="86">
        <f>1</f>
        <v>1</v>
      </c>
      <c r="F249" s="87">
        <v>0</v>
      </c>
      <c r="G249" s="86">
        <f t="shared" si="16"/>
        <v>1</v>
      </c>
      <c r="H249" s="79" t="s">
        <v>21</v>
      </c>
      <c r="I249" s="89"/>
      <c r="J249" s="90"/>
      <c r="K249" s="133"/>
    </row>
    <row r="250" spans="1:11" s="46" customFormat="1" ht="75" x14ac:dyDescent="0.2">
      <c r="A250" s="130">
        <f>IF(H250&lt;&gt;"",1+MAX($A$1:A249),"")</f>
        <v>144</v>
      </c>
      <c r="B250" s="164"/>
      <c r="C250" s="103"/>
      <c r="D250" s="148" t="s">
        <v>230</v>
      </c>
      <c r="E250" s="86">
        <f>5</f>
        <v>5</v>
      </c>
      <c r="F250" s="87">
        <v>0</v>
      </c>
      <c r="G250" s="86">
        <f t="shared" si="16"/>
        <v>5</v>
      </c>
      <c r="H250" s="79" t="s">
        <v>21</v>
      </c>
      <c r="I250" s="89"/>
      <c r="J250" s="90"/>
      <c r="K250" s="133"/>
    </row>
    <row r="251" spans="1:11" s="46" customFormat="1" ht="75" customHeight="1" x14ac:dyDescent="0.2">
      <c r="A251" s="130">
        <f>IF(H251&lt;&gt;"",1+MAX($A$1:A250),"")</f>
        <v>145</v>
      </c>
      <c r="B251" s="164"/>
      <c r="C251" s="103"/>
      <c r="D251" s="144" t="s">
        <v>231</v>
      </c>
      <c r="E251" s="86">
        <f>2</f>
        <v>2</v>
      </c>
      <c r="F251" s="87">
        <v>0</v>
      </c>
      <c r="G251" s="86">
        <f t="shared" si="16"/>
        <v>2</v>
      </c>
      <c r="H251" s="79" t="s">
        <v>21</v>
      </c>
      <c r="I251" s="89"/>
      <c r="J251" s="90"/>
      <c r="K251" s="133"/>
    </row>
    <row r="252" spans="1:11" s="46" customFormat="1" ht="75" customHeight="1" x14ac:dyDescent="0.2">
      <c r="A252" s="130">
        <f>IF(H252&lt;&gt;"",1+MAX($A$1:A251),"")</f>
        <v>146</v>
      </c>
      <c r="B252" s="164"/>
      <c r="C252" s="103"/>
      <c r="D252" s="144" t="s">
        <v>232</v>
      </c>
      <c r="E252" s="86">
        <f>2</f>
        <v>2</v>
      </c>
      <c r="F252" s="87">
        <v>0</v>
      </c>
      <c r="G252" s="86">
        <f t="shared" si="16"/>
        <v>2</v>
      </c>
      <c r="H252" s="79" t="s">
        <v>21</v>
      </c>
      <c r="I252" s="89"/>
      <c r="J252" s="90"/>
      <c r="K252" s="133"/>
    </row>
    <row r="253" spans="1:11" s="46" customFormat="1" ht="75" customHeight="1" x14ac:dyDescent="0.2">
      <c r="A253" s="130">
        <f>IF(H253&lt;&gt;"",1+MAX($A$1:A252),"")</f>
        <v>147</v>
      </c>
      <c r="B253" s="164"/>
      <c r="C253" s="103"/>
      <c r="D253" s="144" t="s">
        <v>233</v>
      </c>
      <c r="E253" s="86">
        <f>1</f>
        <v>1</v>
      </c>
      <c r="F253" s="87">
        <v>0</v>
      </c>
      <c r="G253" s="86">
        <f t="shared" si="16"/>
        <v>1</v>
      </c>
      <c r="H253" s="79" t="s">
        <v>21</v>
      </c>
      <c r="I253" s="89"/>
      <c r="J253" s="90"/>
      <c r="K253" s="133"/>
    </row>
    <row r="254" spans="1:11" s="46" customFormat="1" ht="90" x14ac:dyDescent="0.2">
      <c r="A254" s="130">
        <f>IF(H254&lt;&gt;"",1+MAX($A$1:A253),"")</f>
        <v>148</v>
      </c>
      <c r="B254" s="164"/>
      <c r="C254" s="103"/>
      <c r="D254" s="144" t="s">
        <v>234</v>
      </c>
      <c r="E254" s="86">
        <f>3</f>
        <v>3</v>
      </c>
      <c r="F254" s="87">
        <v>0</v>
      </c>
      <c r="G254" s="86">
        <f t="shared" si="16"/>
        <v>3</v>
      </c>
      <c r="H254" s="79" t="s">
        <v>21</v>
      </c>
      <c r="I254" s="89"/>
      <c r="J254" s="90"/>
      <c r="K254" s="133"/>
    </row>
    <row r="255" spans="1:11" s="46" customFormat="1" x14ac:dyDescent="0.2">
      <c r="A255" s="130">
        <f>IF(H255&lt;&gt;"",1+MAX($A$1:A254),"")</f>
        <v>149</v>
      </c>
      <c r="B255" s="164"/>
      <c r="C255" s="103"/>
      <c r="D255" s="152" t="s">
        <v>235</v>
      </c>
      <c r="E255" s="86">
        <f>20</f>
        <v>20</v>
      </c>
      <c r="F255" s="94">
        <v>0</v>
      </c>
      <c r="G255" s="86">
        <f t="shared" si="16"/>
        <v>20</v>
      </c>
      <c r="H255" s="79" t="s">
        <v>21</v>
      </c>
      <c r="I255" s="92"/>
      <c r="J255" s="96"/>
      <c r="K255" s="133"/>
    </row>
    <row r="256" spans="1:11" s="46" customFormat="1" x14ac:dyDescent="0.2">
      <c r="A256" s="130" t="str">
        <f>IF(H256&lt;&gt;"",1+MAX($A$1:A255),"")</f>
        <v/>
      </c>
      <c r="B256" s="110"/>
      <c r="C256" s="103"/>
      <c r="D256" s="148"/>
      <c r="E256" s="86"/>
      <c r="F256" s="87"/>
      <c r="G256" s="86"/>
      <c r="H256" s="79"/>
      <c r="I256" s="89"/>
      <c r="J256" s="90"/>
      <c r="K256" s="133"/>
    </row>
    <row r="257" spans="1:11" s="46" customFormat="1" x14ac:dyDescent="0.2">
      <c r="A257" s="151" t="str">
        <f>IF(H257&lt;&gt;"",1+MAX($A$1:A256),"")</f>
        <v/>
      </c>
      <c r="B257" s="104"/>
      <c r="C257" s="102"/>
      <c r="D257" s="41" t="s">
        <v>236</v>
      </c>
      <c r="E257" s="86"/>
      <c r="F257" s="94"/>
      <c r="G257" s="95"/>
      <c r="H257" s="79"/>
      <c r="I257" s="92"/>
      <c r="J257" s="96"/>
      <c r="K257" s="133"/>
    </row>
    <row r="258" spans="1:11" s="46" customFormat="1" ht="30" x14ac:dyDescent="0.2">
      <c r="A258" s="130">
        <f>IF(H258&lt;&gt;"",1+MAX($A$1:A257),"")</f>
        <v>150</v>
      </c>
      <c r="B258" s="164" t="s">
        <v>210</v>
      </c>
      <c r="C258" s="103"/>
      <c r="D258" s="148" t="s">
        <v>237</v>
      </c>
      <c r="E258" s="86">
        <f>56</f>
        <v>56</v>
      </c>
      <c r="F258" s="87">
        <v>0</v>
      </c>
      <c r="G258" s="86">
        <f>E258+F258</f>
        <v>56</v>
      </c>
      <c r="H258" s="79" t="s">
        <v>21</v>
      </c>
      <c r="I258" s="89"/>
      <c r="J258" s="90"/>
      <c r="K258" s="133"/>
    </row>
    <row r="259" spans="1:11" s="46" customFormat="1" ht="30" x14ac:dyDescent="0.2">
      <c r="A259" s="130">
        <f>IF(H259&lt;&gt;"",1+MAX($A$1:A258),"")</f>
        <v>151</v>
      </c>
      <c r="B259" s="164"/>
      <c r="C259" s="103"/>
      <c r="D259" s="148" t="s">
        <v>238</v>
      </c>
      <c r="E259" s="86">
        <f>71</f>
        <v>71</v>
      </c>
      <c r="F259" s="87">
        <v>0</v>
      </c>
      <c r="G259" s="86">
        <f t="shared" ref="G259" si="17">E259+F259</f>
        <v>71</v>
      </c>
      <c r="H259" s="79" t="s">
        <v>21</v>
      </c>
      <c r="I259" s="89"/>
      <c r="J259" s="90"/>
      <c r="K259" s="133"/>
    </row>
    <row r="260" spans="1:11" s="39" customFormat="1" ht="15.75" x14ac:dyDescent="0.2">
      <c r="A260" s="130" t="str">
        <f>IF(H260&lt;&gt;"",1+MAX($A$1:A259),"")</f>
        <v/>
      </c>
      <c r="B260" s="110"/>
      <c r="C260" s="85"/>
      <c r="D260" s="47" t="s">
        <v>239</v>
      </c>
      <c r="E260" s="86"/>
      <c r="F260" s="87"/>
      <c r="G260" s="86"/>
      <c r="H260" s="79"/>
      <c r="I260" s="89"/>
      <c r="J260" s="90"/>
      <c r="K260" s="131"/>
    </row>
    <row r="261" spans="1:11" s="46" customFormat="1" x14ac:dyDescent="0.2">
      <c r="A261" s="151" t="str">
        <f>IF(H261&lt;&gt;"",1+MAX($A$1:A260),"")</f>
        <v/>
      </c>
      <c r="B261" s="104"/>
      <c r="C261" s="102"/>
      <c r="D261" s="41" t="s">
        <v>240</v>
      </c>
      <c r="E261" s="86"/>
      <c r="F261" s="94"/>
      <c r="G261" s="86"/>
      <c r="H261" s="79"/>
      <c r="I261" s="92"/>
      <c r="J261" s="96"/>
      <c r="K261" s="133"/>
    </row>
    <row r="262" spans="1:11" s="40" customFormat="1" x14ac:dyDescent="0.2">
      <c r="A262" s="130">
        <f>IF(H262&lt;&gt;"",1+MAX($A$1:A261),"")</f>
        <v>152</v>
      </c>
      <c r="B262" s="169" t="s">
        <v>210</v>
      </c>
      <c r="C262" s="85"/>
      <c r="D262" s="82" t="s">
        <v>241</v>
      </c>
      <c r="E262" s="86">
        <f>1</f>
        <v>1</v>
      </c>
      <c r="F262" s="87">
        <v>0</v>
      </c>
      <c r="G262" s="86">
        <f t="shared" ref="G262:G263" si="18">E262*(1+F262)</f>
        <v>1</v>
      </c>
      <c r="H262" s="79" t="s">
        <v>21</v>
      </c>
      <c r="I262" s="92"/>
      <c r="J262" s="90"/>
      <c r="K262" s="131"/>
    </row>
    <row r="263" spans="1:11" s="40" customFormat="1" x14ac:dyDescent="0.2">
      <c r="A263" s="130">
        <f>IF(H263&lt;&gt;"",1+MAX($A$1:A262),"")</f>
        <v>153</v>
      </c>
      <c r="B263" s="169"/>
      <c r="C263" s="85"/>
      <c r="D263" s="82" t="s">
        <v>242</v>
      </c>
      <c r="E263" s="86">
        <f>1</f>
        <v>1</v>
      </c>
      <c r="F263" s="87">
        <v>0</v>
      </c>
      <c r="G263" s="86">
        <f t="shared" si="18"/>
        <v>1</v>
      </c>
      <c r="H263" s="79" t="s">
        <v>21</v>
      </c>
      <c r="I263" s="92"/>
      <c r="J263" s="90"/>
      <c r="K263" s="131"/>
    </row>
    <row r="264" spans="1:11" s="39" customFormat="1" ht="15.75" x14ac:dyDescent="0.2">
      <c r="A264" s="130" t="str">
        <f>IF(H264&lt;&gt;"",1+MAX($A$1:A263),"")</f>
        <v/>
      </c>
      <c r="B264" s="93"/>
      <c r="C264" s="85"/>
      <c r="D264" s="47"/>
      <c r="E264" s="86"/>
      <c r="F264" s="87"/>
      <c r="G264" s="88"/>
      <c r="H264" s="79"/>
      <c r="I264" s="89"/>
      <c r="J264" s="90"/>
      <c r="K264" s="131"/>
    </row>
    <row r="265" spans="1:11" s="46" customFormat="1" x14ac:dyDescent="0.2">
      <c r="A265" s="147" t="str">
        <f>IF(H265&lt;&gt;"",1+MAX($A$1:A264),"")</f>
        <v/>
      </c>
      <c r="B265" s="101"/>
      <c r="C265" s="102"/>
      <c r="D265" s="41" t="s">
        <v>243</v>
      </c>
      <c r="E265" s="86"/>
      <c r="F265" s="94"/>
      <c r="G265" s="95"/>
      <c r="H265" s="79"/>
      <c r="I265" s="92"/>
      <c r="J265" s="96"/>
      <c r="K265" s="133"/>
    </row>
    <row r="266" spans="1:11" s="46" customFormat="1" ht="15" customHeight="1" x14ac:dyDescent="0.2">
      <c r="A266" s="130">
        <f>IF(H266&lt;&gt;"",1+MAX($A$1:A265),"")</f>
        <v>154</v>
      </c>
      <c r="B266" s="170" t="s">
        <v>146</v>
      </c>
      <c r="C266" s="103"/>
      <c r="D266" s="144" t="s">
        <v>244</v>
      </c>
      <c r="E266" s="86">
        <f>79</f>
        <v>79</v>
      </c>
      <c r="F266" s="87">
        <f>10%</f>
        <v>0.1</v>
      </c>
      <c r="G266" s="86">
        <f>E266+F266*E266</f>
        <v>86.9</v>
      </c>
      <c r="H266" s="79" t="s">
        <v>23</v>
      </c>
      <c r="I266" s="89"/>
      <c r="J266" s="90"/>
      <c r="K266" s="133"/>
    </row>
    <row r="267" spans="1:11" s="46" customFormat="1" ht="15" customHeight="1" x14ac:dyDescent="0.2">
      <c r="A267" s="130">
        <f>IF(H267&lt;&gt;"",1+MAX($A$1:A266),"")</f>
        <v>155</v>
      </c>
      <c r="B267" s="170"/>
      <c r="C267" s="103"/>
      <c r="D267" s="144" t="s">
        <v>245</v>
      </c>
      <c r="E267" s="86">
        <f>64</f>
        <v>64</v>
      </c>
      <c r="F267" s="87">
        <f>10%</f>
        <v>0.1</v>
      </c>
      <c r="G267" s="86">
        <f>E267+F267*E267</f>
        <v>70.400000000000006</v>
      </c>
      <c r="H267" s="79" t="s">
        <v>23</v>
      </c>
      <c r="I267" s="89"/>
      <c r="J267" s="90"/>
      <c r="K267" s="133"/>
    </row>
    <row r="268" spans="1:11" s="46" customFormat="1" ht="15" customHeight="1" x14ac:dyDescent="0.2">
      <c r="A268" s="130">
        <f>IF(H268&lt;&gt;"",1+MAX($A$1:A267),"")</f>
        <v>156</v>
      </c>
      <c r="B268" s="170"/>
      <c r="C268" s="103"/>
      <c r="D268" s="144" t="s">
        <v>246</v>
      </c>
      <c r="E268" s="86">
        <f>465</f>
        <v>465</v>
      </c>
      <c r="F268" s="87">
        <f>10%</f>
        <v>0.1</v>
      </c>
      <c r="G268" s="86">
        <f>E268+F268*E268</f>
        <v>511.5</v>
      </c>
      <c r="H268" s="79" t="s">
        <v>23</v>
      </c>
      <c r="I268" s="89"/>
      <c r="J268" s="90"/>
      <c r="K268" s="133"/>
    </row>
    <row r="269" spans="1:11" s="46" customFormat="1" ht="15.75" customHeight="1" x14ac:dyDescent="0.2">
      <c r="A269" s="130">
        <f>IF(H269&lt;&gt;"",1+MAX($A$1:A268),"")</f>
        <v>157</v>
      </c>
      <c r="B269" s="170"/>
      <c r="C269" s="103"/>
      <c r="D269" s="152" t="s">
        <v>247</v>
      </c>
      <c r="E269" s="86">
        <f>549</f>
        <v>549</v>
      </c>
      <c r="F269" s="94">
        <v>0.1</v>
      </c>
      <c r="G269" s="86">
        <f t="shared" ref="G269:G278" si="19">E269+F269*E269</f>
        <v>603.9</v>
      </c>
      <c r="H269" s="79" t="s">
        <v>23</v>
      </c>
      <c r="I269" s="92"/>
      <c r="J269" s="96"/>
      <c r="K269" s="133"/>
    </row>
    <row r="270" spans="1:11" s="39" customFormat="1" ht="15.75" x14ac:dyDescent="0.2">
      <c r="A270" s="130" t="str">
        <f>IF(H270&lt;&gt;"",1+MAX($A$1:A269),"")</f>
        <v/>
      </c>
      <c r="B270" s="93"/>
      <c r="C270" s="85"/>
      <c r="D270" s="47"/>
      <c r="E270" s="86"/>
      <c r="F270" s="87"/>
      <c r="G270" s="86"/>
      <c r="H270" s="79"/>
      <c r="I270" s="89"/>
      <c r="J270" s="90"/>
      <c r="K270" s="131"/>
    </row>
    <row r="271" spans="1:11" s="46" customFormat="1" x14ac:dyDescent="0.2">
      <c r="A271" s="151" t="str">
        <f>IF(H271&lt;&gt;"",1+MAX($A$1:A270),"")</f>
        <v/>
      </c>
      <c r="B271" s="104"/>
      <c r="C271" s="102"/>
      <c r="D271" s="41" t="s">
        <v>248</v>
      </c>
      <c r="E271" s="86"/>
      <c r="F271" s="94"/>
      <c r="G271" s="86"/>
      <c r="H271" s="79"/>
      <c r="I271" s="92"/>
      <c r="J271" s="96"/>
      <c r="K271" s="133"/>
    </row>
    <row r="272" spans="1:11" s="46" customFormat="1" ht="15" customHeight="1" x14ac:dyDescent="0.2">
      <c r="A272" s="130">
        <f>IF(H272&lt;&gt;"",1+MAX($A$1:A271),"")</f>
        <v>158</v>
      </c>
      <c r="B272" s="171" t="s">
        <v>146</v>
      </c>
      <c r="C272" s="103"/>
      <c r="D272" s="144" t="s">
        <v>244</v>
      </c>
      <c r="E272" s="86">
        <f>334</f>
        <v>334</v>
      </c>
      <c r="F272" s="87">
        <f>10%</f>
        <v>0.1</v>
      </c>
      <c r="G272" s="86">
        <f>E272+F272*E272</f>
        <v>367.4</v>
      </c>
      <c r="H272" s="79" t="s">
        <v>23</v>
      </c>
      <c r="I272" s="89"/>
      <c r="J272" s="90"/>
      <c r="K272" s="133"/>
    </row>
    <row r="273" spans="1:11" s="46" customFormat="1" ht="15" customHeight="1" x14ac:dyDescent="0.2">
      <c r="A273" s="130">
        <f>IF(H273&lt;&gt;"",1+MAX($A$1:A272),"")</f>
        <v>159</v>
      </c>
      <c r="B273" s="171"/>
      <c r="C273" s="103"/>
      <c r="D273" s="144" t="s">
        <v>245</v>
      </c>
      <c r="E273" s="86">
        <f>293</f>
        <v>293</v>
      </c>
      <c r="F273" s="87">
        <f>10%</f>
        <v>0.1</v>
      </c>
      <c r="G273" s="86">
        <f>E273+F273*E273</f>
        <v>322.3</v>
      </c>
      <c r="H273" s="79" t="s">
        <v>23</v>
      </c>
      <c r="I273" s="89"/>
      <c r="J273" s="90"/>
      <c r="K273" s="133"/>
    </row>
    <row r="274" spans="1:11" s="46" customFormat="1" ht="15" customHeight="1" x14ac:dyDescent="0.2">
      <c r="A274" s="130">
        <f>IF(H274&lt;&gt;"",1+MAX($A$1:A273),"")</f>
        <v>160</v>
      </c>
      <c r="B274" s="171"/>
      <c r="C274" s="103"/>
      <c r="D274" s="144" t="s">
        <v>246</v>
      </c>
      <c r="E274" s="86">
        <f>2054</f>
        <v>2054</v>
      </c>
      <c r="F274" s="87">
        <f>10%</f>
        <v>0.1</v>
      </c>
      <c r="G274" s="86">
        <f>E274+F274*E274</f>
        <v>2259.4</v>
      </c>
      <c r="H274" s="79" t="s">
        <v>23</v>
      </c>
      <c r="I274" s="89"/>
      <c r="J274" s="90"/>
      <c r="K274" s="133"/>
    </row>
    <row r="275" spans="1:11" s="46" customFormat="1" ht="15" customHeight="1" x14ac:dyDescent="0.2">
      <c r="A275" s="130">
        <f>IF(H275&lt;&gt;"",1+MAX($A$1:A274),"")</f>
        <v>161</v>
      </c>
      <c r="B275" s="171"/>
      <c r="C275" s="103"/>
      <c r="D275" s="144" t="s">
        <v>249</v>
      </c>
      <c r="E275" s="86">
        <f>1524</f>
        <v>1524</v>
      </c>
      <c r="F275" s="87">
        <v>0.1</v>
      </c>
      <c r="G275" s="86">
        <f t="shared" si="19"/>
        <v>1676.4</v>
      </c>
      <c r="H275" s="79" t="s">
        <v>23</v>
      </c>
      <c r="I275" s="89"/>
      <c r="J275" s="90"/>
      <c r="K275" s="133"/>
    </row>
    <row r="276" spans="1:11" s="39" customFormat="1" ht="15.75" x14ac:dyDescent="0.2">
      <c r="A276" s="130" t="str">
        <f>IF(H276&lt;&gt;"",1+MAX($A$1:A275),"")</f>
        <v/>
      </c>
      <c r="B276" s="110"/>
      <c r="C276" s="85"/>
      <c r="D276" s="47"/>
      <c r="E276" s="86"/>
      <c r="F276" s="87"/>
      <c r="G276" s="86"/>
      <c r="H276" s="79"/>
      <c r="I276" s="89"/>
      <c r="J276" s="90"/>
      <c r="K276" s="131"/>
    </row>
    <row r="277" spans="1:11" s="46" customFormat="1" x14ac:dyDescent="0.2">
      <c r="A277" s="151" t="str">
        <f>IF(H277&lt;&gt;"",1+MAX($A$1:A276),"")</f>
        <v/>
      </c>
      <c r="B277" s="104"/>
      <c r="C277" s="102"/>
      <c r="D277" s="41" t="s">
        <v>250</v>
      </c>
      <c r="E277" s="86"/>
      <c r="F277" s="94"/>
      <c r="G277" s="86"/>
      <c r="H277" s="79"/>
      <c r="I277" s="92"/>
      <c r="J277" s="96"/>
      <c r="K277" s="133"/>
    </row>
    <row r="278" spans="1:11" s="46" customFormat="1" ht="15.75" customHeight="1" x14ac:dyDescent="0.2">
      <c r="A278" s="130">
        <f>IF(H278&lt;&gt;"",1+MAX($A$1:A277),"")</f>
        <v>162</v>
      </c>
      <c r="B278" s="110" t="s">
        <v>210</v>
      </c>
      <c r="C278" s="103"/>
      <c r="D278" s="144" t="s">
        <v>251</v>
      </c>
      <c r="E278" s="86">
        <f>549</f>
        <v>549</v>
      </c>
      <c r="F278" s="87">
        <v>0.1</v>
      </c>
      <c r="G278" s="86">
        <f t="shared" si="19"/>
        <v>603.9</v>
      </c>
      <c r="H278" s="79" t="s">
        <v>23</v>
      </c>
      <c r="I278" s="89"/>
      <c r="J278" s="90"/>
      <c r="K278" s="133"/>
    </row>
    <row r="279" spans="1:11" s="46" customFormat="1" x14ac:dyDescent="0.2">
      <c r="A279" s="130" t="str">
        <f>IF(H279&lt;&gt;"",1+MAX($A$1:A278),"")</f>
        <v/>
      </c>
      <c r="B279" s="110"/>
      <c r="C279" s="103"/>
      <c r="D279" s="148"/>
      <c r="E279" s="86"/>
      <c r="F279" s="87"/>
      <c r="G279" s="86"/>
      <c r="H279" s="79"/>
      <c r="I279" s="89"/>
      <c r="J279" s="90"/>
      <c r="K279" s="133"/>
    </row>
    <row r="280" spans="1:11" s="46" customFormat="1" x14ac:dyDescent="0.2">
      <c r="A280" s="151" t="str">
        <f>IF(H280&lt;&gt;"",1+MAX($A$1:A279),"")</f>
        <v/>
      </c>
      <c r="B280" s="104"/>
      <c r="C280" s="102"/>
      <c r="D280" s="41" t="s">
        <v>252</v>
      </c>
      <c r="E280" s="86"/>
      <c r="F280" s="94"/>
      <c r="G280" s="86"/>
      <c r="H280" s="79"/>
      <c r="I280" s="92"/>
      <c r="J280" s="96"/>
      <c r="K280" s="133"/>
    </row>
    <row r="281" spans="1:11" s="46" customFormat="1" ht="15.75" customHeight="1" x14ac:dyDescent="0.2">
      <c r="A281" s="130">
        <f>IF(H281&lt;&gt;"",1+MAX($A$1:A280),"")</f>
        <v>163</v>
      </c>
      <c r="B281" s="110" t="s">
        <v>190</v>
      </c>
      <c r="C281" s="103"/>
      <c r="D281" s="144" t="s">
        <v>253</v>
      </c>
      <c r="E281" s="86">
        <v>65</v>
      </c>
      <c r="F281" s="87">
        <v>0</v>
      </c>
      <c r="G281" s="86">
        <f t="shared" ref="G281" si="20">E281+F281*E281</f>
        <v>65</v>
      </c>
      <c r="H281" s="79" t="s">
        <v>21</v>
      </c>
      <c r="I281" s="89"/>
      <c r="J281" s="90"/>
      <c r="K281" s="133"/>
    </row>
    <row r="282" spans="1:11" s="46" customFormat="1" ht="15.75" thickBot="1" x14ac:dyDescent="0.25">
      <c r="A282" s="130" t="str">
        <f>IF(H282&lt;&gt;"",1+MAX($A$1:A281),"")</f>
        <v/>
      </c>
      <c r="B282" s="110"/>
      <c r="C282" s="103"/>
      <c r="D282" s="148"/>
      <c r="E282" s="153"/>
      <c r="F282" s="87"/>
      <c r="G282" s="86"/>
      <c r="H282" s="79"/>
      <c r="I282" s="89"/>
      <c r="J282" s="90"/>
      <c r="K282" s="133"/>
    </row>
    <row r="283" spans="1:11" s="39" customFormat="1" ht="16.5" thickBot="1" x14ac:dyDescent="0.25">
      <c r="A283" s="141" t="str">
        <f>IF(H283&lt;&gt;"",1+MAX(#REF!),"")</f>
        <v/>
      </c>
      <c r="B283" s="36"/>
      <c r="C283" s="37" t="s">
        <v>254</v>
      </c>
      <c r="D283" s="38" t="s">
        <v>255</v>
      </c>
      <c r="E283" s="84"/>
      <c r="F283" s="84"/>
      <c r="G283" s="84"/>
      <c r="H283" s="84"/>
      <c r="I283" s="84"/>
      <c r="J283" s="84"/>
      <c r="K283" s="129">
        <f>SUM(J284:J353)</f>
        <v>0</v>
      </c>
    </row>
    <row r="284" spans="1:11" s="40" customFormat="1" x14ac:dyDescent="0.2">
      <c r="A284" s="130" t="str">
        <f>IF(H284&lt;&gt;"",1+MAX($A$1:A283),"")</f>
        <v/>
      </c>
      <c r="B284" s="114"/>
      <c r="C284" s="85"/>
      <c r="D284" s="85"/>
      <c r="E284" s="85"/>
      <c r="F284" s="85"/>
      <c r="G284" s="85"/>
      <c r="H284" s="85"/>
      <c r="I284" s="85"/>
      <c r="J284" s="85"/>
      <c r="K284" s="133"/>
    </row>
    <row r="285" spans="1:11" s="40" customFormat="1" x14ac:dyDescent="0.2">
      <c r="A285" s="142"/>
      <c r="B285" s="97"/>
      <c r="C285" s="98"/>
      <c r="D285" s="41" t="s">
        <v>256</v>
      </c>
      <c r="E285" s="85"/>
      <c r="F285" s="85"/>
      <c r="G285" s="85"/>
      <c r="H285" s="85"/>
      <c r="I285" s="85"/>
      <c r="J285" s="85"/>
      <c r="K285" s="133"/>
    </row>
    <row r="286" spans="1:11" s="39" customFormat="1" ht="30" x14ac:dyDescent="0.2">
      <c r="A286" s="130">
        <f>IF(H286&lt;&gt;"",1+MAX($A$1:A285),"")</f>
        <v>164</v>
      </c>
      <c r="B286" s="110" t="s">
        <v>71</v>
      </c>
      <c r="C286" s="85"/>
      <c r="D286" s="81" t="s">
        <v>257</v>
      </c>
      <c r="E286" s="86">
        <f>141*9.25</f>
        <v>1304.25</v>
      </c>
      <c r="F286" s="87">
        <v>0.1</v>
      </c>
      <c r="G286" s="86">
        <f>E286*(1+F286)</f>
        <v>1434.6750000000002</v>
      </c>
      <c r="H286" s="79" t="s">
        <v>25</v>
      </c>
      <c r="I286" s="92"/>
      <c r="J286" s="90"/>
      <c r="K286" s="133"/>
    </row>
    <row r="287" spans="1:11" s="40" customFormat="1" x14ac:dyDescent="0.2">
      <c r="A287" s="130" t="str">
        <f>IF(H287&lt;&gt;"",1+MAX($A$1:A286),"")</f>
        <v/>
      </c>
      <c r="B287" s="114"/>
      <c r="C287" s="85"/>
      <c r="D287" s="85"/>
      <c r="E287" s="86"/>
      <c r="F287" s="85"/>
      <c r="G287" s="85"/>
      <c r="H287" s="85"/>
      <c r="I287" s="85"/>
      <c r="J287" s="85"/>
      <c r="K287" s="133"/>
    </row>
    <row r="288" spans="1:11" s="57" customFormat="1" x14ac:dyDescent="0.2">
      <c r="A288" s="126"/>
      <c r="B288" s="18"/>
      <c r="D288" s="77" t="s">
        <v>258</v>
      </c>
      <c r="E288" s="86"/>
      <c r="K288" s="146"/>
    </row>
    <row r="289" spans="1:11" ht="30" x14ac:dyDescent="0.2">
      <c r="A289" s="126">
        <f>IF(G289&lt;&gt;"",1+MAX($A$1:A287),"")</f>
        <v>165</v>
      </c>
      <c r="B289" s="111" t="s">
        <v>125</v>
      </c>
      <c r="C289" s="17"/>
      <c r="D289" s="64" t="s">
        <v>259</v>
      </c>
      <c r="E289" s="86">
        <v>918</v>
      </c>
      <c r="F289" s="2">
        <v>0.1</v>
      </c>
      <c r="G289" s="8">
        <f>E289*(1+F289)</f>
        <v>1009.8000000000001</v>
      </c>
      <c r="H289" s="18" t="s">
        <v>25</v>
      </c>
      <c r="I289" s="61"/>
      <c r="J289" s="3"/>
      <c r="K289" s="146"/>
    </row>
    <row r="290" spans="1:11" x14ac:dyDescent="0.2">
      <c r="A290" s="126"/>
      <c r="B290" s="75"/>
      <c r="C290" s="17"/>
      <c r="D290" s="64"/>
      <c r="E290" s="86"/>
      <c r="F290" s="2"/>
      <c r="G290" s="8"/>
      <c r="H290" s="18"/>
      <c r="I290" s="61"/>
      <c r="J290" s="3"/>
      <c r="K290" s="146"/>
    </row>
    <row r="291" spans="1:11" s="57" customFormat="1" x14ac:dyDescent="0.2">
      <c r="A291" s="126"/>
      <c r="B291" s="18"/>
      <c r="D291" s="77" t="s">
        <v>260</v>
      </c>
      <c r="E291" s="86"/>
      <c r="K291" s="146"/>
    </row>
    <row r="292" spans="1:11" x14ac:dyDescent="0.2">
      <c r="A292" s="126">
        <f>IF(G292&lt;&gt;"",1+MAX($A$1:A291),"")</f>
        <v>166</v>
      </c>
      <c r="B292" s="167" t="s">
        <v>125</v>
      </c>
      <c r="C292" s="17"/>
      <c r="D292" s="64" t="s">
        <v>261</v>
      </c>
      <c r="E292" s="86">
        <v>437</v>
      </c>
      <c r="F292" s="2">
        <v>0.1</v>
      </c>
      <c r="G292" s="8">
        <f>E292*(1+F292)</f>
        <v>480.70000000000005</v>
      </c>
      <c r="H292" s="18" t="s">
        <v>23</v>
      </c>
      <c r="I292" s="61"/>
      <c r="J292" s="3"/>
      <c r="K292" s="146"/>
    </row>
    <row r="293" spans="1:11" x14ac:dyDescent="0.2">
      <c r="A293" s="126">
        <f>IF(G293&lt;&gt;"",1+MAX($A$1:A292),"")</f>
        <v>167</v>
      </c>
      <c r="B293" s="167"/>
      <c r="C293" s="17"/>
      <c r="D293" s="64" t="s">
        <v>262</v>
      </c>
      <c r="E293" s="86">
        <v>682</v>
      </c>
      <c r="F293" s="2">
        <v>0.1</v>
      </c>
      <c r="G293" s="8">
        <f>E293*(1+F293)</f>
        <v>750.2</v>
      </c>
      <c r="H293" s="18" t="s">
        <v>23</v>
      </c>
      <c r="I293" s="61"/>
      <c r="J293" s="3"/>
      <c r="K293" s="146"/>
    </row>
    <row r="294" spans="1:11" x14ac:dyDescent="0.2">
      <c r="A294" s="126">
        <f>IF(G294&lt;&gt;"",1+MAX($A$1:A293),"")</f>
        <v>168</v>
      </c>
      <c r="B294" s="111" t="s">
        <v>263</v>
      </c>
      <c r="C294" s="17"/>
      <c r="D294" s="64" t="s">
        <v>264</v>
      </c>
      <c r="E294" s="86">
        <v>49</v>
      </c>
      <c r="F294" s="2">
        <v>0.1</v>
      </c>
      <c r="G294" s="8">
        <f>E294*(1+F294)</f>
        <v>53.900000000000006</v>
      </c>
      <c r="H294" s="18" t="s">
        <v>23</v>
      </c>
      <c r="I294" s="61"/>
      <c r="J294" s="3"/>
      <c r="K294" s="146"/>
    </row>
    <row r="295" spans="1:11" x14ac:dyDescent="0.2">
      <c r="A295" s="126"/>
      <c r="B295" s="75"/>
      <c r="C295" s="17"/>
      <c r="D295" s="64"/>
      <c r="E295" s="86"/>
      <c r="F295" s="2"/>
      <c r="G295" s="8"/>
      <c r="H295" s="18"/>
      <c r="I295" s="61"/>
      <c r="J295" s="3"/>
      <c r="K295" s="146"/>
    </row>
    <row r="296" spans="1:11" x14ac:dyDescent="0.2">
      <c r="A296" s="126"/>
      <c r="B296" s="75"/>
      <c r="C296" s="17"/>
      <c r="D296" s="58" t="s">
        <v>265</v>
      </c>
      <c r="E296" s="86"/>
      <c r="F296" s="2"/>
      <c r="G296" s="8">
        <f t="shared" ref="G296:G298" si="21">E296*(1+F296)</f>
        <v>0</v>
      </c>
      <c r="H296" s="18"/>
      <c r="I296" s="61"/>
      <c r="J296" s="3"/>
      <c r="K296" s="146"/>
    </row>
    <row r="297" spans="1:11" x14ac:dyDescent="0.2">
      <c r="A297" s="126">
        <f>IF(G297&lt;&gt;"",1+MAX($A$1:A296),"")</f>
        <v>169</v>
      </c>
      <c r="B297" s="167" t="s">
        <v>125</v>
      </c>
      <c r="C297" s="17"/>
      <c r="D297" s="64" t="s">
        <v>266</v>
      </c>
      <c r="E297" s="86">
        <v>11971</v>
      </c>
      <c r="F297" s="2">
        <v>0.1</v>
      </c>
      <c r="G297" s="8">
        <f t="shared" si="21"/>
        <v>13168.1</v>
      </c>
      <c r="H297" s="18" t="s">
        <v>25</v>
      </c>
      <c r="I297" s="61"/>
      <c r="J297" s="3"/>
      <c r="K297" s="146"/>
    </row>
    <row r="298" spans="1:11" x14ac:dyDescent="0.2">
      <c r="A298" s="126">
        <f>IF(G298&lt;&gt;"",1+MAX($A$1:A297),"")</f>
        <v>170</v>
      </c>
      <c r="B298" s="167"/>
      <c r="C298" s="17"/>
      <c r="D298" s="64" t="s">
        <v>267</v>
      </c>
      <c r="E298" s="86">
        <v>892</v>
      </c>
      <c r="F298" s="2">
        <v>0.1</v>
      </c>
      <c r="G298" s="8">
        <f t="shared" si="21"/>
        <v>981.2</v>
      </c>
      <c r="H298" s="18" t="s">
        <v>25</v>
      </c>
      <c r="I298" s="61"/>
      <c r="J298" s="3"/>
      <c r="K298" s="146"/>
    </row>
    <row r="299" spans="1:11" x14ac:dyDescent="0.2">
      <c r="A299" s="126"/>
      <c r="B299" s="75"/>
      <c r="C299" s="17"/>
      <c r="D299" s="64"/>
      <c r="E299" s="54"/>
      <c r="F299" s="2"/>
      <c r="G299" s="8"/>
      <c r="H299" s="18"/>
      <c r="I299" s="61"/>
      <c r="J299" s="3"/>
      <c r="K299" s="146"/>
    </row>
    <row r="300" spans="1:11" s="40" customFormat="1" x14ac:dyDescent="0.2">
      <c r="A300" s="142"/>
      <c r="B300" s="97"/>
      <c r="C300" s="98"/>
      <c r="D300" s="41" t="s">
        <v>268</v>
      </c>
      <c r="E300" s="98"/>
      <c r="F300" s="98"/>
      <c r="G300" s="98"/>
      <c r="H300" s="98"/>
      <c r="I300" s="98"/>
      <c r="J300" s="98"/>
      <c r="K300" s="133"/>
    </row>
    <row r="301" spans="1:11" s="39" customFormat="1" ht="15.75" x14ac:dyDescent="0.2">
      <c r="A301" s="130" t="str">
        <f>IF(H301&lt;&gt;"",1+MAX($A$1:A300),"")</f>
        <v/>
      </c>
      <c r="B301" s="110"/>
      <c r="C301" s="85"/>
      <c r="D301" s="81"/>
      <c r="E301" s="88"/>
      <c r="F301" s="87"/>
      <c r="G301" s="86"/>
      <c r="H301" s="79"/>
      <c r="I301" s="92"/>
      <c r="J301" s="90"/>
      <c r="K301" s="133"/>
    </row>
    <row r="302" spans="1:11" s="39" customFormat="1" ht="15.75" x14ac:dyDescent="0.2">
      <c r="A302" s="130" t="str">
        <f>IF(H302&lt;&gt;"",1+MAX($A$1:A301),"")</f>
        <v/>
      </c>
      <c r="B302" s="110"/>
      <c r="C302" s="107"/>
      <c r="D302" s="49" t="s">
        <v>269</v>
      </c>
      <c r="E302" s="88"/>
      <c r="F302" s="87"/>
      <c r="G302" s="86"/>
      <c r="H302" s="79"/>
      <c r="I302" s="92"/>
      <c r="J302" s="90"/>
      <c r="K302" s="133"/>
    </row>
    <row r="303" spans="1:11" s="39" customFormat="1" ht="15.75" x14ac:dyDescent="0.2">
      <c r="A303" s="130">
        <f>IF(H303&lt;&gt;"",1+MAX($A$1:A302),"")</f>
        <v>171</v>
      </c>
      <c r="B303" s="110" t="s">
        <v>71</v>
      </c>
      <c r="C303" s="85"/>
      <c r="D303" s="81" t="s">
        <v>270</v>
      </c>
      <c r="E303" s="86">
        <f>(35.3*8.5+113.5*10.5+112*12.17)*1</f>
        <v>2854.84</v>
      </c>
      <c r="F303" s="87">
        <v>0.1</v>
      </c>
      <c r="G303" s="86">
        <f>E303*(1+F303)</f>
        <v>3140.3240000000005</v>
      </c>
      <c r="H303" s="79" t="s">
        <v>25</v>
      </c>
      <c r="I303" s="92"/>
      <c r="J303" s="90"/>
      <c r="K303" s="133"/>
    </row>
    <row r="304" spans="1:11" s="39" customFormat="1" ht="15.75" x14ac:dyDescent="0.2">
      <c r="A304" s="130" t="str">
        <f>IF(H304&lt;&gt;"",1+MAX($A$1:A303),"")</f>
        <v/>
      </c>
      <c r="B304" s="110"/>
      <c r="C304" s="85"/>
      <c r="D304" s="81"/>
      <c r="E304" s="86"/>
      <c r="F304" s="87"/>
      <c r="G304" s="86"/>
      <c r="H304" s="79"/>
      <c r="I304" s="92"/>
      <c r="J304" s="90"/>
      <c r="K304" s="133"/>
    </row>
    <row r="305" spans="1:11" s="39" customFormat="1" ht="15.75" x14ac:dyDescent="0.2">
      <c r="A305" s="130" t="str">
        <f>IF(H305&lt;&gt;"",1+MAX($A$1:A304),"")</f>
        <v/>
      </c>
      <c r="B305" s="110"/>
      <c r="C305" s="107"/>
      <c r="D305" s="49" t="s">
        <v>271</v>
      </c>
      <c r="E305" s="86"/>
      <c r="F305" s="87"/>
      <c r="G305" s="86"/>
      <c r="H305" s="79"/>
      <c r="I305" s="92"/>
      <c r="J305" s="90"/>
      <c r="K305" s="133"/>
    </row>
    <row r="306" spans="1:11" s="39" customFormat="1" ht="15.75" x14ac:dyDescent="0.2">
      <c r="A306" s="130">
        <f>IF(H306&lt;&gt;"",1+MAX($A$1:A305),"")</f>
        <v>172</v>
      </c>
      <c r="B306" s="164" t="s">
        <v>272</v>
      </c>
      <c r="C306" s="85"/>
      <c r="D306" s="81" t="s">
        <v>273</v>
      </c>
      <c r="E306" s="86">
        <v>8105.5</v>
      </c>
      <c r="F306" s="87">
        <v>0.1</v>
      </c>
      <c r="G306" s="86">
        <f>E306*(1+F306)</f>
        <v>8916.0500000000011</v>
      </c>
      <c r="H306" s="79" t="s">
        <v>25</v>
      </c>
      <c r="I306" s="92"/>
      <c r="J306" s="90"/>
      <c r="K306" s="133"/>
    </row>
    <row r="307" spans="1:11" s="39" customFormat="1" ht="15.75" x14ac:dyDescent="0.2">
      <c r="A307" s="130">
        <f>IF(H307&lt;&gt;"",1+MAX($A$1:A306),"")</f>
        <v>173</v>
      </c>
      <c r="B307" s="164"/>
      <c r="C307" s="85"/>
      <c r="D307" s="81" t="s">
        <v>274</v>
      </c>
      <c r="E307" s="86">
        <f>2406.5+3655*4</f>
        <v>17026.5</v>
      </c>
      <c r="F307" s="87">
        <v>0.1</v>
      </c>
      <c r="G307" s="86">
        <f>E307*(1+F307)</f>
        <v>18729.150000000001</v>
      </c>
      <c r="H307" s="79" t="s">
        <v>25</v>
      </c>
      <c r="I307" s="92"/>
      <c r="J307" s="90"/>
      <c r="K307" s="133"/>
    </row>
    <row r="308" spans="1:11" s="39" customFormat="1" ht="15.75" x14ac:dyDescent="0.2">
      <c r="A308" s="130">
        <f>IF(H308&lt;&gt;"",1+MAX($A$1:A307),"")</f>
        <v>174</v>
      </c>
      <c r="B308" s="164"/>
      <c r="C308" s="85"/>
      <c r="D308" s="81" t="s">
        <v>275</v>
      </c>
      <c r="E308" s="86">
        <f>284.5*4</f>
        <v>1138</v>
      </c>
      <c r="F308" s="87">
        <v>0.1</v>
      </c>
      <c r="G308" s="86">
        <f>E308*(1+F308)</f>
        <v>1251.8000000000002</v>
      </c>
      <c r="H308" s="79" t="s">
        <v>25</v>
      </c>
      <c r="I308" s="92"/>
      <c r="J308" s="90"/>
      <c r="K308" s="133"/>
    </row>
    <row r="309" spans="1:11" s="39" customFormat="1" ht="15.75" x14ac:dyDescent="0.2">
      <c r="A309" s="130">
        <f>IF(H309&lt;&gt;"",1+MAX($A$1:A308),"")</f>
        <v>175</v>
      </c>
      <c r="B309" s="164"/>
      <c r="C309" s="85"/>
      <c r="D309" s="81" t="s">
        <v>276</v>
      </c>
      <c r="E309" s="86">
        <v>958</v>
      </c>
      <c r="F309" s="87">
        <v>0.1</v>
      </c>
      <c r="G309" s="86">
        <f>E309*(1+F309)</f>
        <v>1053.8000000000002</v>
      </c>
      <c r="H309" s="79" t="s">
        <v>25</v>
      </c>
      <c r="I309" s="92"/>
      <c r="J309" s="90"/>
      <c r="K309" s="133"/>
    </row>
    <row r="310" spans="1:11" s="39" customFormat="1" ht="15.75" x14ac:dyDescent="0.2">
      <c r="A310" s="130">
        <f>IF(H310&lt;&gt;"",1+MAX($A$1:A309),"")</f>
        <v>176</v>
      </c>
      <c r="B310" s="164"/>
      <c r="C310" s="85"/>
      <c r="D310" s="81" t="s">
        <v>277</v>
      </c>
      <c r="E310" s="86">
        <f>480*4</f>
        <v>1920</v>
      </c>
      <c r="F310" s="87">
        <v>0.1</v>
      </c>
      <c r="G310" s="86">
        <f>E310*(1+F310)</f>
        <v>2112</v>
      </c>
      <c r="H310" s="79" t="s">
        <v>25</v>
      </c>
      <c r="I310" s="92"/>
      <c r="J310" s="90"/>
      <c r="K310" s="133"/>
    </row>
    <row r="311" spans="1:11" s="39" customFormat="1" ht="15.75" x14ac:dyDescent="0.2">
      <c r="A311" s="130" t="str">
        <f>IF(H311&lt;&gt;"",1+MAX($A$1:A310),"")</f>
        <v/>
      </c>
      <c r="B311" s="110"/>
      <c r="C311" s="85"/>
      <c r="D311" s="81"/>
      <c r="E311" s="86"/>
      <c r="F311" s="87"/>
      <c r="G311" s="86"/>
      <c r="H311" s="79"/>
      <c r="I311" s="92"/>
      <c r="J311" s="90"/>
      <c r="K311" s="133"/>
    </row>
    <row r="312" spans="1:11" s="39" customFormat="1" ht="15.75" x14ac:dyDescent="0.2">
      <c r="A312" s="130" t="str">
        <f>IF(H312&lt;&gt;"",1+MAX($A$1:A311),"")</f>
        <v/>
      </c>
      <c r="B312" s="110"/>
      <c r="C312" s="107"/>
      <c r="D312" s="49" t="s">
        <v>278</v>
      </c>
      <c r="E312" s="86"/>
      <c r="F312" s="87"/>
      <c r="G312" s="86"/>
      <c r="H312" s="79"/>
      <c r="I312" s="92"/>
      <c r="J312" s="90"/>
      <c r="K312" s="133"/>
    </row>
    <row r="313" spans="1:11" s="39" customFormat="1" ht="15.75" x14ac:dyDescent="0.2">
      <c r="A313" s="130">
        <f>IF(H313&lt;&gt;"",1+MAX($A$1:A312),"")</f>
        <v>177</v>
      </c>
      <c r="B313" s="164" t="s">
        <v>272</v>
      </c>
      <c r="C313" s="85"/>
      <c r="D313" s="81" t="s">
        <v>279</v>
      </c>
      <c r="E313" s="86">
        <f>108.75*4</f>
        <v>435</v>
      </c>
      <c r="F313" s="87">
        <v>0.1</v>
      </c>
      <c r="G313" s="86">
        <f>E313*(1+F313)</f>
        <v>478.50000000000006</v>
      </c>
      <c r="H313" s="79" t="s">
        <v>23</v>
      </c>
      <c r="I313" s="92"/>
      <c r="J313" s="90"/>
      <c r="K313" s="133"/>
    </row>
    <row r="314" spans="1:11" s="39" customFormat="1" ht="15.75" x14ac:dyDescent="0.2">
      <c r="A314" s="130">
        <f>IF(H314&lt;&gt;"",1+MAX($A$1:A313),"")</f>
        <v>178</v>
      </c>
      <c r="B314" s="164"/>
      <c r="C314" s="85"/>
      <c r="D314" s="81" t="s">
        <v>280</v>
      </c>
      <c r="E314" s="86">
        <f>9.63+3.25*4</f>
        <v>22.630000000000003</v>
      </c>
      <c r="F314" s="87">
        <v>0.1</v>
      </c>
      <c r="G314" s="86">
        <f>E314*(1+F314)</f>
        <v>24.893000000000004</v>
      </c>
      <c r="H314" s="79" t="s">
        <v>23</v>
      </c>
      <c r="I314" s="92"/>
      <c r="J314" s="90"/>
      <c r="K314" s="133"/>
    </row>
    <row r="315" spans="1:11" s="39" customFormat="1" ht="15.75" x14ac:dyDescent="0.2">
      <c r="A315" s="130">
        <f>IF(H315&lt;&gt;"",1+MAX($A$1:A314),"")</f>
        <v>179</v>
      </c>
      <c r="B315" s="164"/>
      <c r="C315" s="85"/>
      <c r="D315" s="81" t="s">
        <v>281</v>
      </c>
      <c r="E315" s="86">
        <v>9.16</v>
      </c>
      <c r="F315" s="87">
        <v>0.1</v>
      </c>
      <c r="G315" s="86">
        <f>E315*(1+F315)</f>
        <v>10.076000000000001</v>
      </c>
      <c r="H315" s="79" t="s">
        <v>23</v>
      </c>
      <c r="I315" s="92"/>
      <c r="J315" s="90"/>
      <c r="K315" s="133"/>
    </row>
    <row r="316" spans="1:11" s="39" customFormat="1" ht="15.75" x14ac:dyDescent="0.2">
      <c r="A316" s="130">
        <f>IF(H316&lt;&gt;"",1+MAX($A$1:A315),"")</f>
        <v>180</v>
      </c>
      <c r="B316" s="164"/>
      <c r="C316" s="85"/>
      <c r="D316" s="81" t="s">
        <v>282</v>
      </c>
      <c r="E316" s="86">
        <f>15.38*4</f>
        <v>61.52</v>
      </c>
      <c r="F316" s="87">
        <v>0.1</v>
      </c>
      <c r="G316" s="86">
        <f>E316*(1+F316)</f>
        <v>67.672000000000011</v>
      </c>
      <c r="H316" s="79" t="s">
        <v>23</v>
      </c>
      <c r="I316" s="92"/>
      <c r="J316" s="90"/>
      <c r="K316" s="133"/>
    </row>
    <row r="317" spans="1:11" s="39" customFormat="1" ht="15.75" x14ac:dyDescent="0.2">
      <c r="A317" s="130" t="str">
        <f>IF(H317&lt;&gt;"",1+MAX($A$1:A316),"")</f>
        <v/>
      </c>
      <c r="B317" s="110"/>
      <c r="C317" s="85"/>
      <c r="D317" s="81"/>
      <c r="E317" s="86"/>
      <c r="F317" s="87"/>
      <c r="G317" s="86"/>
      <c r="H317" s="79"/>
      <c r="I317" s="92"/>
      <c r="J317" s="90"/>
      <c r="K317" s="133"/>
    </row>
    <row r="318" spans="1:11" s="39" customFormat="1" ht="15.75" x14ac:dyDescent="0.2">
      <c r="A318" s="130" t="str">
        <f>IF(H318&lt;&gt;"",1+MAX($A$1:A317),"")</f>
        <v/>
      </c>
      <c r="B318" s="110"/>
      <c r="C318" s="107"/>
      <c r="D318" s="49" t="s">
        <v>283</v>
      </c>
      <c r="E318" s="86"/>
      <c r="F318" s="87"/>
      <c r="G318" s="86"/>
      <c r="H318" s="79"/>
      <c r="I318" s="92"/>
      <c r="J318" s="90"/>
      <c r="K318" s="133"/>
    </row>
    <row r="319" spans="1:11" s="39" customFormat="1" ht="15.75" x14ac:dyDescent="0.2">
      <c r="A319" s="130">
        <f>IF(H319&lt;&gt;"",1+MAX($A$1:A318),"")</f>
        <v>181</v>
      </c>
      <c r="B319" s="164" t="s">
        <v>272</v>
      </c>
      <c r="C319" s="85"/>
      <c r="D319" s="81" t="s">
        <v>284</v>
      </c>
      <c r="E319" s="86">
        <f>143.3*4</f>
        <v>573.20000000000005</v>
      </c>
      <c r="F319" s="87">
        <v>0.1</v>
      </c>
      <c r="G319" s="86">
        <f>E319*(1+F319)</f>
        <v>630.5200000000001</v>
      </c>
      <c r="H319" s="79" t="s">
        <v>23</v>
      </c>
      <c r="I319" s="92"/>
      <c r="J319" s="90"/>
      <c r="K319" s="133"/>
    </row>
    <row r="320" spans="1:11" s="39" customFormat="1" ht="15.75" x14ac:dyDescent="0.2">
      <c r="A320" s="130">
        <f>IF(H320&lt;&gt;"",1+MAX($A$1:A319),"")</f>
        <v>182</v>
      </c>
      <c r="B320" s="164"/>
      <c r="C320" s="85"/>
      <c r="D320" s="81" t="s">
        <v>285</v>
      </c>
      <c r="E320" s="86">
        <f>225.5+1277*4</f>
        <v>5333.5</v>
      </c>
      <c r="F320" s="87">
        <v>0.1</v>
      </c>
      <c r="G320" s="86">
        <f>E320*(1+F320)</f>
        <v>5866.85</v>
      </c>
      <c r="H320" s="79" t="s">
        <v>23</v>
      </c>
      <c r="I320" s="92"/>
      <c r="J320" s="90"/>
      <c r="K320" s="133"/>
    </row>
    <row r="321" spans="1:11" s="39" customFormat="1" ht="15.75" x14ac:dyDescent="0.2">
      <c r="A321" s="130" t="str">
        <f>IF(H321&lt;&gt;"",1+MAX($A$1:A320),"")</f>
        <v/>
      </c>
      <c r="B321" s="110"/>
      <c r="C321" s="85"/>
      <c r="D321" s="81"/>
      <c r="E321" s="86"/>
      <c r="F321" s="87"/>
      <c r="G321" s="86"/>
      <c r="H321" s="79"/>
      <c r="I321" s="92"/>
      <c r="J321" s="90"/>
      <c r="K321" s="133"/>
    </row>
    <row r="322" spans="1:11" s="39" customFormat="1" ht="15.75" x14ac:dyDescent="0.2">
      <c r="A322" s="130" t="str">
        <f>IF(H322&lt;&gt;"",1+MAX($A$1:A321),"")</f>
        <v/>
      </c>
      <c r="B322" s="110"/>
      <c r="C322" s="107"/>
      <c r="D322" s="49" t="s">
        <v>286</v>
      </c>
      <c r="E322" s="86"/>
      <c r="F322" s="87"/>
      <c r="G322" s="86"/>
      <c r="H322" s="79"/>
      <c r="I322" s="92"/>
      <c r="J322" s="90"/>
      <c r="K322" s="133"/>
    </row>
    <row r="323" spans="1:11" s="39" customFormat="1" ht="15.75" x14ac:dyDescent="0.2">
      <c r="A323" s="130">
        <f>IF(H323&lt;&gt;"",1+MAX($A$1:A322),"")</f>
        <v>183</v>
      </c>
      <c r="B323" s="164" t="s">
        <v>272</v>
      </c>
      <c r="C323" s="85"/>
      <c r="D323" s="81" t="s">
        <v>287</v>
      </c>
      <c r="E323" s="86">
        <f>143.25*4*4</f>
        <v>2292</v>
      </c>
      <c r="F323" s="87">
        <v>0.1</v>
      </c>
      <c r="G323" s="86">
        <f>E323*(1+F323)</f>
        <v>2521.2000000000003</v>
      </c>
      <c r="H323" s="79" t="s">
        <v>25</v>
      </c>
      <c r="I323" s="92"/>
      <c r="J323" s="90"/>
      <c r="K323" s="133"/>
    </row>
    <row r="324" spans="1:11" s="39" customFormat="1" ht="15.75" x14ac:dyDescent="0.2">
      <c r="A324" s="130">
        <f>IF(H324&lt;&gt;"",1+MAX($A$1:A323),"")</f>
        <v>184</v>
      </c>
      <c r="B324" s="164"/>
      <c r="C324" s="85"/>
      <c r="D324" s="81" t="s">
        <v>288</v>
      </c>
      <c r="E324" s="86">
        <f>(158.84*5)*4+(191.58*9)+(1584.5*9)*4+(731*10)+(54.75*55)+(53.75*64.5)</f>
        <v>75731.145000000004</v>
      </c>
      <c r="F324" s="87">
        <v>0.1</v>
      </c>
      <c r="G324" s="86">
        <f>E324*(1+F324)</f>
        <v>83304.259500000015</v>
      </c>
      <c r="H324" s="79" t="s">
        <v>25</v>
      </c>
      <c r="I324" s="92"/>
      <c r="J324" s="90"/>
      <c r="K324" s="133"/>
    </row>
    <row r="325" spans="1:11" s="39" customFormat="1" ht="15.75" x14ac:dyDescent="0.2">
      <c r="A325" s="130" t="str">
        <f>IF(H325&lt;&gt;"",1+MAX($A$1:A324),"")</f>
        <v/>
      </c>
      <c r="B325" s="110"/>
      <c r="C325" s="85"/>
      <c r="D325" s="81"/>
      <c r="E325" s="86"/>
      <c r="F325" s="87"/>
      <c r="G325" s="86"/>
      <c r="H325" s="79"/>
      <c r="I325" s="92"/>
      <c r="J325" s="90"/>
      <c r="K325" s="133"/>
    </row>
    <row r="326" spans="1:11" s="39" customFormat="1" ht="15.75" x14ac:dyDescent="0.2">
      <c r="A326" s="130" t="str">
        <f>IF(H326&lt;&gt;"",1+MAX($A$1:A325),"")</f>
        <v/>
      </c>
      <c r="B326" s="110"/>
      <c r="C326" s="107"/>
      <c r="D326" s="49" t="s">
        <v>289</v>
      </c>
      <c r="E326" s="86"/>
      <c r="F326" s="87"/>
      <c r="G326" s="86"/>
      <c r="H326" s="79"/>
      <c r="I326" s="92"/>
      <c r="J326" s="90"/>
      <c r="K326" s="133"/>
    </row>
    <row r="327" spans="1:11" s="39" customFormat="1" ht="15.75" x14ac:dyDescent="0.2">
      <c r="A327" s="130">
        <f>IF(H327&lt;&gt;"",1+MAX($A$1:A326),"")</f>
        <v>185</v>
      </c>
      <c r="B327" s="93" t="s">
        <v>272</v>
      </c>
      <c r="C327" s="85"/>
      <c r="D327" s="81" t="s">
        <v>290</v>
      </c>
      <c r="E327" s="86">
        <f>5145.5+172*4</f>
        <v>5833.5</v>
      </c>
      <c r="F327" s="87">
        <v>0.1</v>
      </c>
      <c r="G327" s="86">
        <f>E327*(1+F327)</f>
        <v>6416.85</v>
      </c>
      <c r="H327" s="79" t="s">
        <v>25</v>
      </c>
      <c r="I327" s="92"/>
      <c r="J327" s="90"/>
      <c r="K327" s="133"/>
    </row>
    <row r="328" spans="1:11" s="39" customFormat="1" ht="15.75" x14ac:dyDescent="0.2">
      <c r="A328" s="130" t="str">
        <f>IF(H328&lt;&gt;"",1+MAX($A$1:A327),"")</f>
        <v/>
      </c>
      <c r="B328" s="110"/>
      <c r="C328" s="85"/>
      <c r="D328" s="81"/>
      <c r="E328" s="86"/>
      <c r="F328" s="87"/>
      <c r="G328" s="86"/>
      <c r="H328" s="79"/>
      <c r="I328" s="92"/>
      <c r="J328" s="90"/>
      <c r="K328" s="133"/>
    </row>
    <row r="329" spans="1:11" s="39" customFormat="1" ht="15.75" x14ac:dyDescent="0.2">
      <c r="A329" s="130" t="str">
        <f>IF(H329&lt;&gt;"",1+MAX($A$1:A328),"")</f>
        <v/>
      </c>
      <c r="B329" s="110"/>
      <c r="C329" s="107"/>
      <c r="D329" s="49" t="s">
        <v>291</v>
      </c>
      <c r="E329" s="86"/>
      <c r="F329" s="87"/>
      <c r="G329" s="86"/>
      <c r="H329" s="79"/>
      <c r="I329" s="92"/>
      <c r="J329" s="90"/>
      <c r="K329" s="133"/>
    </row>
    <row r="330" spans="1:11" s="39" customFormat="1" ht="30" x14ac:dyDescent="0.2">
      <c r="A330" s="130">
        <f>IF(H330&lt;&gt;"",1+MAX($A$1:A329),"")</f>
        <v>186</v>
      </c>
      <c r="B330" s="164" t="s">
        <v>272</v>
      </c>
      <c r="C330" s="85"/>
      <c r="D330" s="81" t="s">
        <v>292</v>
      </c>
      <c r="E330" s="86">
        <f>4250.5*4+938.5</f>
        <v>17940.5</v>
      </c>
      <c r="F330" s="87">
        <v>0.1</v>
      </c>
      <c r="G330" s="86">
        <f>E330*(1+F330)</f>
        <v>19734.550000000003</v>
      </c>
      <c r="H330" s="79" t="s">
        <v>25</v>
      </c>
      <c r="I330" s="92"/>
      <c r="J330" s="90"/>
      <c r="K330" s="133"/>
    </row>
    <row r="331" spans="1:11" s="39" customFormat="1" ht="15.75" x14ac:dyDescent="0.2">
      <c r="A331" s="130">
        <f>IF(H331&lt;&gt;"",1+MAX($A$1:A330),"")</f>
        <v>187</v>
      </c>
      <c r="B331" s="164"/>
      <c r="C331" s="85"/>
      <c r="D331" s="81" t="s">
        <v>293</v>
      </c>
      <c r="E331" s="86">
        <f>1134+5145.5+172*4</f>
        <v>6967.5</v>
      </c>
      <c r="F331" s="87">
        <v>0.1</v>
      </c>
      <c r="G331" s="86">
        <f>E331*(1+F331)</f>
        <v>7664.2500000000009</v>
      </c>
      <c r="H331" s="79" t="s">
        <v>25</v>
      </c>
      <c r="I331" s="92"/>
      <c r="J331" s="90"/>
      <c r="K331" s="133"/>
    </row>
    <row r="332" spans="1:11" s="40" customFormat="1" x14ac:dyDescent="0.2">
      <c r="A332" s="130" t="str">
        <f>IF(H332&lt;&gt;"",1+MAX($A$1:A331),"")</f>
        <v/>
      </c>
      <c r="B332" s="114"/>
      <c r="C332" s="85"/>
      <c r="D332" s="85"/>
      <c r="E332" s="85"/>
      <c r="F332" s="85"/>
      <c r="G332" s="85"/>
      <c r="H332" s="85"/>
      <c r="I332" s="85"/>
      <c r="J332" s="85"/>
      <c r="K332" s="133"/>
    </row>
    <row r="333" spans="1:11" s="40" customFormat="1" x14ac:dyDescent="0.2">
      <c r="A333" s="142"/>
      <c r="B333" s="97"/>
      <c r="C333" s="98"/>
      <c r="D333" s="41" t="s">
        <v>294</v>
      </c>
      <c r="E333" s="85"/>
      <c r="F333" s="85"/>
      <c r="G333" s="85"/>
      <c r="H333" s="85"/>
      <c r="I333" s="85"/>
      <c r="J333" s="85"/>
      <c r="K333" s="133"/>
    </row>
    <row r="334" spans="1:11" s="39" customFormat="1" ht="30" x14ac:dyDescent="0.2">
      <c r="A334" s="130">
        <f>IF(H334&lt;&gt;"",1+MAX($A$1:A333),"")</f>
        <v>188</v>
      </c>
      <c r="B334" s="164" t="s">
        <v>71</v>
      </c>
      <c r="C334" s="85"/>
      <c r="D334" s="81" t="s">
        <v>295</v>
      </c>
      <c r="E334" s="86">
        <f>(((64*10.67*3)+(64*10.83*1))*2+((35.33*8.5)+(60.75*9*3)+(60.75*9.17*1)+(113.5*10.5)+(19*10.67*3)+(19*10.83*1)+(112*12.17))*1+((284.5*10.67*3)+(284.5*10.83*1))*1+((130.33*9.25)+(273*9*3)+(273*9.17*1))*2+((440.75*9*3)+(440.75*9.17*1)+(7.5*4*4))*2+((16*8.5)+(50.75*10.5))*2+((20.3*9*3)+(20.3*9.17*1))*1)-5718</f>
        <v>74175.663499999995</v>
      </c>
      <c r="F334" s="87">
        <v>0.1</v>
      </c>
      <c r="G334" s="86">
        <f>E334*(1+F334)</f>
        <v>81593.229850000003</v>
      </c>
      <c r="H334" s="79" t="s">
        <v>25</v>
      </c>
      <c r="I334" s="92"/>
      <c r="J334" s="90"/>
      <c r="K334" s="133"/>
    </row>
    <row r="335" spans="1:11" s="39" customFormat="1" ht="15.75" x14ac:dyDescent="0.2">
      <c r="A335" s="130">
        <f>IF(H335&lt;&gt;"",1+MAX($A$1:A334),"")</f>
        <v>189</v>
      </c>
      <c r="B335" s="164"/>
      <c r="C335" s="85"/>
      <c r="D335" s="73" t="s">
        <v>296</v>
      </c>
      <c r="E335" s="86">
        <f>G334/32</f>
        <v>2549.7884328125001</v>
      </c>
      <c r="F335" s="87">
        <v>0</v>
      </c>
      <c r="G335" s="86">
        <f>E335*(1+F335)</f>
        <v>2549.7884328125001</v>
      </c>
      <c r="H335" s="79" t="s">
        <v>21</v>
      </c>
      <c r="I335" s="92"/>
      <c r="J335" s="90"/>
      <c r="K335" s="133"/>
    </row>
    <row r="336" spans="1:11" s="39" customFormat="1" ht="15.75" x14ac:dyDescent="0.2">
      <c r="A336" s="130">
        <f>IF(H336&lt;&gt;"",1+MAX($A$1:A335),"")</f>
        <v>190</v>
      </c>
      <c r="B336" s="164"/>
      <c r="C336" s="85"/>
      <c r="D336" s="73" t="s">
        <v>297</v>
      </c>
      <c r="E336" s="86">
        <f>G334*0.031</f>
        <v>2529.3901253500003</v>
      </c>
      <c r="F336" s="87">
        <v>0</v>
      </c>
      <c r="G336" s="86">
        <f t="shared" ref="G336:G337" si="22">E336*(1+F336)</f>
        <v>2529.3901253500003</v>
      </c>
      <c r="H336" s="79" t="s">
        <v>298</v>
      </c>
      <c r="I336" s="92"/>
      <c r="J336" s="90"/>
      <c r="K336" s="133"/>
    </row>
    <row r="337" spans="1:11" s="39" customFormat="1" ht="15.75" x14ac:dyDescent="0.2">
      <c r="A337" s="130">
        <f>IF(H337&lt;&gt;"",1+MAX($A$1:A336),"")</f>
        <v>191</v>
      </c>
      <c r="B337" s="164"/>
      <c r="C337" s="85"/>
      <c r="D337" s="73" t="s">
        <v>299</v>
      </c>
      <c r="E337" s="86">
        <f>E335*12/500</f>
        <v>61.1949223875</v>
      </c>
      <c r="F337" s="87">
        <v>0</v>
      </c>
      <c r="G337" s="86">
        <f t="shared" si="22"/>
        <v>61.1949223875</v>
      </c>
      <c r="H337" s="79" t="s">
        <v>300</v>
      </c>
      <c r="I337" s="92"/>
      <c r="J337" s="90"/>
      <c r="K337" s="133"/>
    </row>
    <row r="338" spans="1:11" s="39" customFormat="1" ht="15.75" x14ac:dyDescent="0.2">
      <c r="A338" s="130" t="str">
        <f>IF(H338&lt;&gt;"",1+MAX($A$1:A337),"")</f>
        <v/>
      </c>
      <c r="B338" s="164"/>
      <c r="C338" s="85"/>
      <c r="D338" s="73"/>
      <c r="E338" s="86"/>
      <c r="F338" s="87"/>
      <c r="G338" s="86"/>
      <c r="H338" s="79"/>
      <c r="I338" s="92"/>
      <c r="J338" s="90"/>
      <c r="K338" s="133"/>
    </row>
    <row r="339" spans="1:11" s="39" customFormat="1" ht="30" x14ac:dyDescent="0.2">
      <c r="A339" s="130">
        <f>IF(H339&lt;&gt;"",1+MAX($A$1:A338),"")</f>
        <v>192</v>
      </c>
      <c r="B339" s="164"/>
      <c r="C339" s="85"/>
      <c r="D339" s="81" t="s">
        <v>301</v>
      </c>
      <c r="E339" s="86">
        <f>(158.84*9)*4</f>
        <v>5718.24</v>
      </c>
      <c r="F339" s="87">
        <v>0.1</v>
      </c>
      <c r="G339" s="86">
        <f>E339*(1+F339)</f>
        <v>6290.0640000000003</v>
      </c>
      <c r="H339" s="79" t="s">
        <v>25</v>
      </c>
      <c r="I339" s="92"/>
      <c r="J339" s="90"/>
      <c r="K339" s="133"/>
    </row>
    <row r="340" spans="1:11" s="39" customFormat="1" ht="15.75" x14ac:dyDescent="0.2">
      <c r="A340" s="130">
        <f>IF(H340&lt;&gt;"",1+MAX($A$1:A339),"")</f>
        <v>193</v>
      </c>
      <c r="B340" s="164"/>
      <c r="C340" s="85"/>
      <c r="D340" s="73" t="s">
        <v>296</v>
      </c>
      <c r="E340" s="86">
        <f>G339/32</f>
        <v>196.56450000000001</v>
      </c>
      <c r="F340" s="87">
        <v>0</v>
      </c>
      <c r="G340" s="86">
        <f>E340*(1+F340)</f>
        <v>196.56450000000001</v>
      </c>
      <c r="H340" s="79" t="s">
        <v>21</v>
      </c>
      <c r="I340" s="92"/>
      <c r="J340" s="90"/>
      <c r="K340" s="133"/>
    </row>
    <row r="341" spans="1:11" s="39" customFormat="1" ht="15.75" x14ac:dyDescent="0.2">
      <c r="A341" s="130">
        <f>IF(H341&lt;&gt;"",1+MAX($A$1:A340),"")</f>
        <v>194</v>
      </c>
      <c r="B341" s="164"/>
      <c r="C341" s="85"/>
      <c r="D341" s="73" t="s">
        <v>297</v>
      </c>
      <c r="E341" s="86">
        <f>G339*0.031</f>
        <v>194.991984</v>
      </c>
      <c r="F341" s="87">
        <v>0</v>
      </c>
      <c r="G341" s="86">
        <f t="shared" ref="G341:G342" si="23">E341*(1+F341)</f>
        <v>194.991984</v>
      </c>
      <c r="H341" s="79" t="s">
        <v>298</v>
      </c>
      <c r="I341" s="92"/>
      <c r="J341" s="90"/>
      <c r="K341" s="133"/>
    </row>
    <row r="342" spans="1:11" s="39" customFormat="1" ht="15.75" x14ac:dyDescent="0.2">
      <c r="A342" s="130">
        <f>IF(H342&lt;&gt;"",1+MAX($A$1:A341),"")</f>
        <v>195</v>
      </c>
      <c r="B342" s="164"/>
      <c r="C342" s="85"/>
      <c r="D342" s="73" t="s">
        <v>299</v>
      </c>
      <c r="E342" s="86">
        <f>E340*12/500</f>
        <v>4.7175480000000007</v>
      </c>
      <c r="F342" s="87">
        <v>0</v>
      </c>
      <c r="G342" s="86">
        <f t="shared" si="23"/>
        <v>4.7175480000000007</v>
      </c>
      <c r="H342" s="79" t="s">
        <v>300</v>
      </c>
      <c r="I342" s="92"/>
      <c r="J342" s="90"/>
      <c r="K342" s="133"/>
    </row>
    <row r="343" spans="1:11" s="39" customFormat="1" ht="15.75" x14ac:dyDescent="0.2">
      <c r="A343" s="130" t="str">
        <f>IF(H343&lt;&gt;"",1+MAX($A$1:A342),"")</f>
        <v/>
      </c>
      <c r="B343" s="93"/>
      <c r="C343" s="85"/>
      <c r="D343" s="73"/>
      <c r="E343" s="86"/>
      <c r="F343" s="87"/>
      <c r="G343" s="86"/>
      <c r="H343" s="79"/>
      <c r="I343" s="92"/>
      <c r="J343" s="90"/>
      <c r="K343" s="133"/>
    </row>
    <row r="344" spans="1:11" s="39" customFormat="1" ht="15.75" x14ac:dyDescent="0.2">
      <c r="A344" s="130">
        <f>IF(H344&lt;&gt;"",1+MAX($A$1:A343),"")</f>
        <v>196</v>
      </c>
      <c r="B344" s="164" t="s">
        <v>302</v>
      </c>
      <c r="C344" s="85"/>
      <c r="D344" s="81" t="s">
        <v>303</v>
      </c>
      <c r="E344" s="86">
        <f>4250.5*4+938.5</f>
        <v>17940.5</v>
      </c>
      <c r="F344" s="87">
        <v>0.1</v>
      </c>
      <c r="G344" s="86">
        <f>E344*(1+F344)</f>
        <v>19734.550000000003</v>
      </c>
      <c r="H344" s="79" t="s">
        <v>25</v>
      </c>
      <c r="I344" s="92"/>
      <c r="J344" s="90"/>
      <c r="K344" s="133"/>
    </row>
    <row r="345" spans="1:11" s="39" customFormat="1" ht="15.75" x14ac:dyDescent="0.2">
      <c r="A345" s="130">
        <f>IF(H345&lt;&gt;"",1+MAX($A$1:A344),"")</f>
        <v>197</v>
      </c>
      <c r="B345" s="164"/>
      <c r="C345" s="85"/>
      <c r="D345" s="73" t="s">
        <v>296</v>
      </c>
      <c r="E345" s="86">
        <f>G344/32</f>
        <v>616.70468750000009</v>
      </c>
      <c r="F345" s="87">
        <v>0</v>
      </c>
      <c r="G345" s="86">
        <f>E345*(1+F345)</f>
        <v>616.70468750000009</v>
      </c>
      <c r="H345" s="79" t="s">
        <v>21</v>
      </c>
      <c r="I345" s="92"/>
      <c r="J345" s="90"/>
      <c r="K345" s="133"/>
    </row>
    <row r="346" spans="1:11" s="39" customFormat="1" ht="15.75" x14ac:dyDescent="0.2">
      <c r="A346" s="130">
        <f>IF(H346&lt;&gt;"",1+MAX($A$1:A345),"")</f>
        <v>198</v>
      </c>
      <c r="B346" s="164"/>
      <c r="C346" s="85"/>
      <c r="D346" s="73" t="s">
        <v>297</v>
      </c>
      <c r="E346" s="86">
        <f>G344*0.031</f>
        <v>611.77105000000006</v>
      </c>
      <c r="F346" s="87">
        <v>0</v>
      </c>
      <c r="G346" s="86">
        <f t="shared" ref="G346:G347" si="24">E346*(1+F346)</f>
        <v>611.77105000000006</v>
      </c>
      <c r="H346" s="79" t="s">
        <v>298</v>
      </c>
      <c r="I346" s="92"/>
      <c r="J346" s="90"/>
      <c r="K346" s="133"/>
    </row>
    <row r="347" spans="1:11" s="39" customFormat="1" ht="15.75" x14ac:dyDescent="0.2">
      <c r="A347" s="130">
        <f>IF(H347&lt;&gt;"",1+MAX($A$1:A346),"")</f>
        <v>199</v>
      </c>
      <c r="B347" s="164"/>
      <c r="C347" s="85"/>
      <c r="D347" s="73" t="s">
        <v>299</v>
      </c>
      <c r="E347" s="86">
        <f>E345*12/500</f>
        <v>14.800912500000003</v>
      </c>
      <c r="F347" s="87">
        <v>0</v>
      </c>
      <c r="G347" s="86">
        <f t="shared" si="24"/>
        <v>14.800912500000003</v>
      </c>
      <c r="H347" s="79" t="s">
        <v>300</v>
      </c>
      <c r="I347" s="92"/>
      <c r="J347" s="90"/>
      <c r="K347" s="133"/>
    </row>
    <row r="348" spans="1:11" s="39" customFormat="1" ht="15.75" x14ac:dyDescent="0.2">
      <c r="A348" s="130" t="str">
        <f>IF(H348&lt;&gt;"",1+MAX($A$1:A347),"")</f>
        <v/>
      </c>
      <c r="B348" s="164"/>
      <c r="C348" s="85"/>
      <c r="D348" s="73"/>
      <c r="E348" s="86"/>
      <c r="F348" s="87"/>
      <c r="G348" s="86"/>
      <c r="H348" s="79"/>
      <c r="I348" s="92"/>
      <c r="J348" s="90"/>
      <c r="K348" s="133"/>
    </row>
    <row r="349" spans="1:11" s="39" customFormat="1" ht="15.75" x14ac:dyDescent="0.2">
      <c r="A349" s="130">
        <f>IF(H349&lt;&gt;"",1+MAX($A$1:A348),"")</f>
        <v>200</v>
      </c>
      <c r="B349" s="164"/>
      <c r="C349" s="85"/>
      <c r="D349" s="81" t="s">
        <v>304</v>
      </c>
      <c r="E349" s="86">
        <f>1134</f>
        <v>1134</v>
      </c>
      <c r="F349" s="87">
        <v>0.1</v>
      </c>
      <c r="G349" s="86">
        <f>E349*(1+F349)</f>
        <v>1247.4000000000001</v>
      </c>
      <c r="H349" s="79" t="s">
        <v>25</v>
      </c>
      <c r="I349" s="92"/>
      <c r="J349" s="90"/>
      <c r="K349" s="133"/>
    </row>
    <row r="350" spans="1:11" s="39" customFormat="1" ht="15.75" x14ac:dyDescent="0.2">
      <c r="A350" s="130">
        <f>IF(H350&lt;&gt;"",1+MAX($A$1:A349),"")</f>
        <v>201</v>
      </c>
      <c r="B350" s="164"/>
      <c r="C350" s="85"/>
      <c r="D350" s="73" t="s">
        <v>296</v>
      </c>
      <c r="E350" s="86">
        <f>G349/32</f>
        <v>38.981250000000003</v>
      </c>
      <c r="F350" s="87">
        <v>0</v>
      </c>
      <c r="G350" s="86">
        <f>E350*(1+F350)</f>
        <v>38.981250000000003</v>
      </c>
      <c r="H350" s="79" t="s">
        <v>21</v>
      </c>
      <c r="I350" s="92"/>
      <c r="J350" s="90"/>
      <c r="K350" s="133"/>
    </row>
    <row r="351" spans="1:11" s="39" customFormat="1" ht="15.75" x14ac:dyDescent="0.2">
      <c r="A351" s="130">
        <f>IF(H351&lt;&gt;"",1+MAX($A$1:A350),"")</f>
        <v>202</v>
      </c>
      <c r="B351" s="164"/>
      <c r="C351" s="85"/>
      <c r="D351" s="73" t="s">
        <v>297</v>
      </c>
      <c r="E351" s="86">
        <f>G349*0.031</f>
        <v>38.669400000000003</v>
      </c>
      <c r="F351" s="87">
        <v>0</v>
      </c>
      <c r="G351" s="86">
        <f t="shared" ref="G351:G352" si="25">E351*(1+F351)</f>
        <v>38.669400000000003</v>
      </c>
      <c r="H351" s="79" t="s">
        <v>298</v>
      </c>
      <c r="I351" s="92"/>
      <c r="J351" s="90"/>
      <c r="K351" s="133"/>
    </row>
    <row r="352" spans="1:11" s="39" customFormat="1" ht="15.75" x14ac:dyDescent="0.2">
      <c r="A352" s="130">
        <f>IF(H352&lt;&gt;"",1+MAX($A$1:A351),"")</f>
        <v>203</v>
      </c>
      <c r="B352" s="164"/>
      <c r="C352" s="85"/>
      <c r="D352" s="73" t="s">
        <v>299</v>
      </c>
      <c r="E352" s="86">
        <f>E350*12/500</f>
        <v>0.9355500000000001</v>
      </c>
      <c r="F352" s="87">
        <v>0</v>
      </c>
      <c r="G352" s="86">
        <f t="shared" si="25"/>
        <v>0.9355500000000001</v>
      </c>
      <c r="H352" s="79" t="s">
        <v>300</v>
      </c>
      <c r="I352" s="92"/>
      <c r="J352" s="90"/>
      <c r="K352" s="133"/>
    </row>
    <row r="353" spans="1:11" s="39" customFormat="1" ht="16.5" thickBot="1" x14ac:dyDescent="0.25">
      <c r="A353" s="130" t="str">
        <f>IF(H353&lt;&gt;"",1+MAX($A$1:A352),"")</f>
        <v/>
      </c>
      <c r="B353" s="93"/>
      <c r="C353" s="85"/>
      <c r="D353" s="81"/>
      <c r="E353" s="99"/>
      <c r="F353" s="87"/>
      <c r="G353" s="86"/>
      <c r="H353" s="79"/>
      <c r="I353" s="92"/>
      <c r="J353" s="90"/>
      <c r="K353" s="133"/>
    </row>
    <row r="354" spans="1:11" ht="16.5" thickBot="1" x14ac:dyDescent="0.25">
      <c r="A354" s="28" t="str">
        <f>IF(G354&lt;&gt;"",1+MAX(#REF!),"")</f>
        <v/>
      </c>
      <c r="B354" s="65"/>
      <c r="C354" s="66" t="s">
        <v>305</v>
      </c>
      <c r="D354" s="67" t="s">
        <v>306</v>
      </c>
      <c r="E354" s="68"/>
      <c r="F354" s="68"/>
      <c r="G354" s="68"/>
      <c r="H354" s="68"/>
      <c r="I354" s="68"/>
      <c r="J354" s="68"/>
      <c r="K354" s="135">
        <f>SUM(J355:J366)</f>
        <v>0</v>
      </c>
    </row>
    <row r="355" spans="1:11" s="17" customFormat="1" x14ac:dyDescent="0.2">
      <c r="A355" s="154"/>
      <c r="B355" s="30"/>
      <c r="K355" s="127"/>
    </row>
    <row r="356" spans="1:11" x14ac:dyDescent="0.2">
      <c r="A356" s="138" t="str">
        <f>IF(H356&lt;&gt;"",1+MAX($A$1:A354),"")</f>
        <v/>
      </c>
      <c r="B356" s="50"/>
      <c r="C356" s="52"/>
      <c r="D356" s="53" t="s">
        <v>307</v>
      </c>
      <c r="E356" s="8"/>
      <c r="F356" s="2"/>
      <c r="G356" s="54"/>
      <c r="H356" s="18"/>
      <c r="I356" s="55"/>
      <c r="J356" s="3"/>
      <c r="K356" s="127"/>
    </row>
    <row r="357" spans="1:11" x14ac:dyDescent="0.2">
      <c r="A357" s="155">
        <f>IF(H357&lt;&gt;"",1+MAX($A$1:A356),"")</f>
        <v>204</v>
      </c>
      <c r="B357" s="163" t="s">
        <v>308</v>
      </c>
      <c r="C357" s="17"/>
      <c r="D357" s="64" t="s">
        <v>309</v>
      </c>
      <c r="E357" s="8">
        <v>20</v>
      </c>
      <c r="F357" s="2">
        <v>0</v>
      </c>
      <c r="G357" s="86">
        <f t="shared" ref="G357:G365" si="26">E357*(1+F357)</f>
        <v>20</v>
      </c>
      <c r="H357" s="18" t="s">
        <v>21</v>
      </c>
      <c r="I357" s="55"/>
      <c r="J357" s="3"/>
      <c r="K357" s="127"/>
    </row>
    <row r="358" spans="1:11" x14ac:dyDescent="0.2">
      <c r="A358" s="155">
        <f>IF(H358&lt;&gt;"",1+MAX($A$1:A357),"")</f>
        <v>205</v>
      </c>
      <c r="B358" s="163"/>
      <c r="C358" s="17"/>
      <c r="D358" s="64" t="s">
        <v>310</v>
      </c>
      <c r="E358" s="8">
        <v>40</v>
      </c>
      <c r="F358" s="2">
        <v>0</v>
      </c>
      <c r="G358" s="86">
        <f t="shared" si="26"/>
        <v>40</v>
      </c>
      <c r="H358" s="18" t="s">
        <v>21</v>
      </c>
      <c r="I358" s="55"/>
      <c r="J358" s="3"/>
      <c r="K358" s="127"/>
    </row>
    <row r="359" spans="1:11" x14ac:dyDescent="0.2">
      <c r="A359" s="155">
        <f>IF(H359&lt;&gt;"",1+MAX($A$1:A358),"")</f>
        <v>206</v>
      </c>
      <c r="B359" s="163"/>
      <c r="C359" s="17"/>
      <c r="D359" s="64" t="s">
        <v>311</v>
      </c>
      <c r="E359" s="8">
        <v>20</v>
      </c>
      <c r="F359" s="2">
        <v>0</v>
      </c>
      <c r="G359" s="86">
        <f t="shared" si="26"/>
        <v>20</v>
      </c>
      <c r="H359" s="18" t="s">
        <v>21</v>
      </c>
      <c r="I359" s="55"/>
      <c r="J359" s="3"/>
      <c r="K359" s="127"/>
    </row>
    <row r="360" spans="1:11" x14ac:dyDescent="0.2">
      <c r="A360" s="155">
        <f>IF(H360&lt;&gt;"",1+MAX($A$1:A359),"")</f>
        <v>207</v>
      </c>
      <c r="B360" s="163"/>
      <c r="C360" s="17"/>
      <c r="D360" s="64" t="s">
        <v>312</v>
      </c>
      <c r="E360" s="8">
        <v>20</v>
      </c>
      <c r="F360" s="2">
        <v>0</v>
      </c>
      <c r="G360" s="86">
        <f t="shared" si="26"/>
        <v>20</v>
      </c>
      <c r="H360" s="18" t="s">
        <v>21</v>
      </c>
      <c r="I360" s="55"/>
      <c r="J360" s="3"/>
      <c r="K360" s="127"/>
    </row>
    <row r="361" spans="1:11" x14ac:dyDescent="0.2">
      <c r="A361" s="155">
        <f>IF(H361&lt;&gt;"",1+MAX($A$1:A360),"")</f>
        <v>208</v>
      </c>
      <c r="B361" s="163"/>
      <c r="C361" s="17"/>
      <c r="D361" s="64" t="s">
        <v>313</v>
      </c>
      <c r="E361" s="8">
        <v>20</v>
      </c>
      <c r="F361" s="2">
        <v>0</v>
      </c>
      <c r="G361" s="86">
        <f t="shared" si="26"/>
        <v>20</v>
      </c>
      <c r="H361" s="18" t="s">
        <v>21</v>
      </c>
      <c r="I361" s="55"/>
      <c r="J361" s="3"/>
      <c r="K361" s="127"/>
    </row>
    <row r="362" spans="1:11" x14ac:dyDescent="0.2">
      <c r="A362" s="155">
        <f>IF(H362&lt;&gt;"",1+MAX($A$1:A361),"")</f>
        <v>209</v>
      </c>
      <c r="B362" s="163"/>
      <c r="C362" s="17"/>
      <c r="D362" s="64" t="s">
        <v>314</v>
      </c>
      <c r="E362" s="8">
        <v>20</v>
      </c>
      <c r="F362" s="2">
        <v>0</v>
      </c>
      <c r="G362" s="86">
        <f t="shared" si="26"/>
        <v>20</v>
      </c>
      <c r="H362" s="18" t="s">
        <v>21</v>
      </c>
      <c r="I362" s="55"/>
      <c r="J362" s="3"/>
      <c r="K362" s="127"/>
    </row>
    <row r="363" spans="1:11" x14ac:dyDescent="0.2">
      <c r="A363" s="155">
        <f>IF(H363&lt;&gt;"",1+MAX($A$1:A362),"")</f>
        <v>210</v>
      </c>
      <c r="B363" s="163"/>
      <c r="C363" s="17"/>
      <c r="D363" s="64" t="s">
        <v>315</v>
      </c>
      <c r="E363" s="8">
        <v>20</v>
      </c>
      <c r="F363" s="2">
        <v>0</v>
      </c>
      <c r="G363" s="86">
        <f t="shared" si="26"/>
        <v>20</v>
      </c>
      <c r="H363" s="18" t="s">
        <v>21</v>
      </c>
      <c r="I363" s="55"/>
      <c r="J363" s="3"/>
      <c r="K363" s="127"/>
    </row>
    <row r="364" spans="1:11" x14ac:dyDescent="0.2">
      <c r="A364" s="155">
        <f>IF(H364&lt;&gt;"",1+MAX($A$1:A363),"")</f>
        <v>211</v>
      </c>
      <c r="B364" s="163"/>
      <c r="C364" s="17"/>
      <c r="D364" s="64" t="s">
        <v>316</v>
      </c>
      <c r="E364" s="8">
        <v>40</v>
      </c>
      <c r="F364" s="2">
        <v>0</v>
      </c>
      <c r="G364" s="86">
        <f t="shared" si="26"/>
        <v>40</v>
      </c>
      <c r="H364" s="18" t="s">
        <v>21</v>
      </c>
      <c r="I364" s="55"/>
      <c r="J364" s="3"/>
      <c r="K364" s="127"/>
    </row>
    <row r="365" spans="1:11" x14ac:dyDescent="0.2">
      <c r="A365" s="155">
        <f>IF(H365&lt;&gt;"",1+MAX($A$1:A364),"")</f>
        <v>212</v>
      </c>
      <c r="B365" s="163"/>
      <c r="C365" s="17"/>
      <c r="D365" s="64" t="s">
        <v>317</v>
      </c>
      <c r="E365" s="8">
        <v>20</v>
      </c>
      <c r="F365" s="2">
        <v>0</v>
      </c>
      <c r="G365" s="86">
        <f t="shared" si="26"/>
        <v>20</v>
      </c>
      <c r="H365" s="18" t="s">
        <v>21</v>
      </c>
      <c r="I365" s="55"/>
      <c r="J365" s="3"/>
      <c r="K365" s="127"/>
    </row>
    <row r="366" spans="1:11" s="17" customFormat="1" ht="15.75" thickBot="1" x14ac:dyDescent="0.25">
      <c r="A366" s="154"/>
      <c r="B366" s="30"/>
      <c r="K366" s="127"/>
    </row>
    <row r="367" spans="1:11" ht="16.5" thickBot="1" x14ac:dyDescent="0.25">
      <c r="A367" s="28" t="str">
        <f>IF(G367&lt;&gt;"",1+MAX(#REF!),"")</f>
        <v/>
      </c>
      <c r="B367" s="65"/>
      <c r="C367" s="66" t="s">
        <v>318</v>
      </c>
      <c r="D367" s="67" t="s">
        <v>319</v>
      </c>
      <c r="E367" s="68"/>
      <c r="F367" s="68"/>
      <c r="G367" s="68"/>
      <c r="H367" s="68"/>
      <c r="I367" s="68"/>
      <c r="J367" s="68"/>
      <c r="K367" s="135">
        <f>SUM(J368:J374)</f>
        <v>0</v>
      </c>
    </row>
    <row r="368" spans="1:11" s="63" customFormat="1" x14ac:dyDescent="0.2">
      <c r="A368" s="155" t="str">
        <f>IF(H368&lt;&gt;"",1+MAX($A$1:A352),"")</f>
        <v/>
      </c>
      <c r="B368" s="111"/>
      <c r="C368" s="57"/>
      <c r="D368" s="74"/>
      <c r="E368" s="8"/>
      <c r="F368" s="59"/>
      <c r="G368" s="60"/>
      <c r="H368" s="18"/>
      <c r="I368" s="61"/>
      <c r="J368" s="62"/>
      <c r="K368" s="146"/>
    </row>
    <row r="369" spans="1:11" x14ac:dyDescent="0.2">
      <c r="A369" s="138" t="str">
        <f>IF(H369&lt;&gt;"",1+MAX($A$1:A367),"")</f>
        <v/>
      </c>
      <c r="B369" s="50"/>
      <c r="C369" s="52"/>
      <c r="D369" s="53" t="s">
        <v>320</v>
      </c>
      <c r="E369" s="8"/>
      <c r="F369" s="2"/>
      <c r="G369" s="54"/>
      <c r="H369" s="18"/>
      <c r="I369" s="55"/>
      <c r="J369" s="3"/>
      <c r="K369" s="127"/>
    </row>
    <row r="370" spans="1:11" x14ac:dyDescent="0.2">
      <c r="A370" s="155">
        <f>IF(H370&lt;&gt;"",1+MAX($A$1:A369),"")</f>
        <v>213</v>
      </c>
      <c r="B370" s="163" t="s">
        <v>321</v>
      </c>
      <c r="C370" s="17"/>
      <c r="D370" s="64" t="s">
        <v>322</v>
      </c>
      <c r="E370" s="8">
        <v>20</v>
      </c>
      <c r="F370" s="2">
        <v>0</v>
      </c>
      <c r="G370" s="86">
        <f t="shared" ref="G370:G373" si="27">E370*(1+F370)</f>
        <v>20</v>
      </c>
      <c r="H370" s="18" t="s">
        <v>21</v>
      </c>
      <c r="I370" s="55"/>
      <c r="J370" s="3"/>
      <c r="K370" s="127"/>
    </row>
    <row r="371" spans="1:11" x14ac:dyDescent="0.2">
      <c r="A371" s="155">
        <f>IF(H371&lt;&gt;"",1+MAX($A$1:A370),"")</f>
        <v>214</v>
      </c>
      <c r="B371" s="163"/>
      <c r="C371" s="17"/>
      <c r="D371" s="64" t="s">
        <v>323</v>
      </c>
      <c r="E371" s="8">
        <v>20</v>
      </c>
      <c r="F371" s="2">
        <v>0</v>
      </c>
      <c r="G371" s="86">
        <f t="shared" si="27"/>
        <v>20</v>
      </c>
      <c r="H371" s="18" t="s">
        <v>21</v>
      </c>
      <c r="I371" s="55"/>
      <c r="J371" s="3"/>
      <c r="K371" s="127"/>
    </row>
    <row r="372" spans="1:11" x14ac:dyDescent="0.2">
      <c r="A372" s="155">
        <f>IF(H372&lt;&gt;"",1+MAX($A$1:A371),"")</f>
        <v>215</v>
      </c>
      <c r="B372" s="163"/>
      <c r="C372" s="17"/>
      <c r="D372" s="64" t="s">
        <v>324</v>
      </c>
      <c r="E372" s="8">
        <v>20</v>
      </c>
      <c r="F372" s="2">
        <v>0</v>
      </c>
      <c r="G372" s="86">
        <f t="shared" si="27"/>
        <v>20</v>
      </c>
      <c r="H372" s="18" t="s">
        <v>21</v>
      </c>
      <c r="I372" s="55"/>
      <c r="J372" s="3"/>
      <c r="K372" s="127"/>
    </row>
    <row r="373" spans="1:11" x14ac:dyDescent="0.2">
      <c r="A373" s="155">
        <f>IF(H373&lt;&gt;"",1+MAX($A$1:A372),"")</f>
        <v>216</v>
      </c>
      <c r="B373" s="163"/>
      <c r="C373" s="17"/>
      <c r="D373" s="64" t="s">
        <v>325</v>
      </c>
      <c r="E373" s="8">
        <v>20</v>
      </c>
      <c r="F373" s="2">
        <v>0</v>
      </c>
      <c r="G373" s="86">
        <f t="shared" si="27"/>
        <v>20</v>
      </c>
      <c r="H373" s="18" t="s">
        <v>21</v>
      </c>
      <c r="I373" s="55"/>
      <c r="J373" s="3"/>
      <c r="K373" s="127"/>
    </row>
    <row r="374" spans="1:11" s="63" customFormat="1" ht="15.75" thickBot="1" x14ac:dyDescent="0.25">
      <c r="A374" s="155"/>
      <c r="B374" s="111"/>
      <c r="C374" s="57"/>
      <c r="D374" s="74"/>
      <c r="E374" s="8"/>
      <c r="F374" s="59"/>
      <c r="G374" s="60"/>
      <c r="H374" s="18"/>
      <c r="I374" s="61"/>
      <c r="J374" s="62"/>
      <c r="K374" s="146"/>
    </row>
    <row r="375" spans="1:11" ht="16.5" thickBot="1" x14ac:dyDescent="0.25">
      <c r="A375" s="28" t="str">
        <f>IF(G375&lt;&gt;"",1+MAX(#REF!),"")</f>
        <v/>
      </c>
      <c r="B375" s="65"/>
      <c r="C375" s="66" t="s">
        <v>318</v>
      </c>
      <c r="D375" s="67" t="s">
        <v>319</v>
      </c>
      <c r="E375" s="68"/>
      <c r="F375" s="68"/>
      <c r="G375" s="68"/>
      <c r="H375" s="68"/>
      <c r="I375" s="68"/>
      <c r="J375" s="68"/>
      <c r="K375" s="135">
        <f>SUM(J376:J378)</f>
        <v>0</v>
      </c>
    </row>
    <row r="376" spans="1:11" s="63" customFormat="1" x14ac:dyDescent="0.2">
      <c r="A376" s="155"/>
      <c r="B376" s="111"/>
      <c r="C376" s="57"/>
      <c r="D376" s="74"/>
      <c r="E376" s="8"/>
      <c r="F376" s="59"/>
      <c r="G376" s="60"/>
      <c r="H376" s="18"/>
      <c r="I376" s="61"/>
      <c r="J376" s="62"/>
      <c r="K376" s="146"/>
    </row>
    <row r="377" spans="1:11" s="63" customFormat="1" x14ac:dyDescent="0.2">
      <c r="A377" s="155">
        <f>IF(H377&lt;&gt;"",1+MAX($A$1:A376),"")</f>
        <v>217</v>
      </c>
      <c r="B377" s="111"/>
      <c r="C377" s="57"/>
      <c r="D377" s="74" t="s">
        <v>326</v>
      </c>
      <c r="E377" s="8">
        <v>1</v>
      </c>
      <c r="F377" s="2">
        <v>0</v>
      </c>
      <c r="G377" s="8">
        <f t="shared" ref="G377" si="28">E377*(1+F377)</f>
        <v>1</v>
      </c>
      <c r="H377" s="18" t="s">
        <v>21</v>
      </c>
      <c r="I377" s="55"/>
      <c r="J377" s="3"/>
      <c r="K377" s="146"/>
    </row>
    <row r="378" spans="1:11" s="63" customFormat="1" ht="15.75" thickBot="1" x14ac:dyDescent="0.25">
      <c r="A378" s="155"/>
      <c r="B378" s="111"/>
      <c r="C378" s="57"/>
      <c r="D378" s="74"/>
      <c r="E378" s="8"/>
      <c r="F378" s="59"/>
      <c r="G378" s="60"/>
      <c r="H378" s="18"/>
      <c r="I378" s="61"/>
      <c r="J378" s="62"/>
      <c r="K378" s="146"/>
    </row>
    <row r="379" spans="1:11" ht="16.5" thickBot="1" x14ac:dyDescent="0.25">
      <c r="A379" s="28" t="str">
        <f>IF(G379&lt;&gt;"",1+MAX(#REF!),"")</f>
        <v/>
      </c>
      <c r="B379" s="65"/>
      <c r="C379" s="66" t="s">
        <v>327</v>
      </c>
      <c r="D379" s="67" t="s">
        <v>328</v>
      </c>
      <c r="E379" s="68"/>
      <c r="F379" s="68"/>
      <c r="G379" s="68"/>
      <c r="H379" s="68"/>
      <c r="I379" s="68"/>
      <c r="J379" s="68"/>
      <c r="K379" s="135">
        <f>SUM(J380:J413)</f>
        <v>0</v>
      </c>
    </row>
    <row r="380" spans="1:11" s="63" customFormat="1" x14ac:dyDescent="0.2">
      <c r="A380" s="155" t="str">
        <f>IF(H380&lt;&gt;"",1+MAX($A$1:A352),"")</f>
        <v/>
      </c>
      <c r="B380" s="111"/>
      <c r="C380" s="57"/>
      <c r="D380" s="74"/>
      <c r="E380" s="8"/>
      <c r="F380" s="59"/>
      <c r="G380" s="60"/>
      <c r="H380" s="18"/>
      <c r="I380" s="61"/>
      <c r="J380" s="62"/>
      <c r="K380" s="146"/>
    </row>
    <row r="381" spans="1:11" x14ac:dyDescent="0.2">
      <c r="A381" s="138" t="str">
        <f>IF(H381&lt;&gt;"",1+MAX($A$1:A379),"")</f>
        <v/>
      </c>
      <c r="B381" s="50"/>
      <c r="C381" s="52"/>
      <c r="D381" s="53" t="s">
        <v>329</v>
      </c>
      <c r="E381" s="8"/>
      <c r="F381" s="2"/>
      <c r="G381" s="54"/>
      <c r="H381" s="18"/>
      <c r="I381" s="55"/>
      <c r="J381" s="3"/>
      <c r="K381" s="127"/>
    </row>
    <row r="382" spans="1:11" ht="15.75" customHeight="1" x14ac:dyDescent="0.2">
      <c r="A382" s="155">
        <f>IF(H382&lt;&gt;"",1+MAX($A$1:A381),"")</f>
        <v>218</v>
      </c>
      <c r="B382" s="163" t="s">
        <v>321</v>
      </c>
      <c r="C382" s="17"/>
      <c r="D382" s="64" t="s">
        <v>330</v>
      </c>
      <c r="E382" s="8">
        <v>20</v>
      </c>
      <c r="F382" s="2">
        <v>0</v>
      </c>
      <c r="G382" s="8">
        <f t="shared" ref="G382:G392" si="29">E382*(1+F382)</f>
        <v>20</v>
      </c>
      <c r="H382" s="18" t="s">
        <v>21</v>
      </c>
      <c r="I382" s="55"/>
      <c r="J382" s="3"/>
      <c r="K382" s="127"/>
    </row>
    <row r="383" spans="1:11" ht="15.75" customHeight="1" x14ac:dyDescent="0.2">
      <c r="A383" s="155">
        <f>IF(H383&lt;&gt;"",1+MAX($A$1:A382),"")</f>
        <v>219</v>
      </c>
      <c r="B383" s="163"/>
      <c r="C383" s="17"/>
      <c r="D383" s="64" t="s">
        <v>331</v>
      </c>
      <c r="E383" s="8">
        <v>20</v>
      </c>
      <c r="F383" s="2">
        <v>0</v>
      </c>
      <c r="G383" s="8">
        <f t="shared" si="29"/>
        <v>20</v>
      </c>
      <c r="H383" s="18" t="s">
        <v>21</v>
      </c>
      <c r="I383" s="55"/>
      <c r="J383" s="3"/>
      <c r="K383" s="127"/>
    </row>
    <row r="384" spans="1:11" ht="15.75" customHeight="1" x14ac:dyDescent="0.2">
      <c r="A384" s="155">
        <f>IF(H384&lt;&gt;"",1+MAX($A$1:A383),"")</f>
        <v>220</v>
      </c>
      <c r="B384" s="163"/>
      <c r="C384" s="17"/>
      <c r="D384" s="64" t="s">
        <v>332</v>
      </c>
      <c r="E384" s="8">
        <v>20</v>
      </c>
      <c r="F384" s="2">
        <v>0</v>
      </c>
      <c r="G384" s="8">
        <f t="shared" si="29"/>
        <v>20</v>
      </c>
      <c r="H384" s="18" t="s">
        <v>21</v>
      </c>
      <c r="I384" s="55"/>
      <c r="J384" s="3"/>
      <c r="K384" s="127"/>
    </row>
    <row r="385" spans="1:11" ht="15.75" customHeight="1" x14ac:dyDescent="0.2">
      <c r="A385" s="155">
        <f>IF(H385&lt;&gt;"",1+MAX($A$1:A384),"")</f>
        <v>221</v>
      </c>
      <c r="B385" s="163"/>
      <c r="C385" s="17"/>
      <c r="D385" s="64" t="s">
        <v>333</v>
      </c>
      <c r="E385" s="8">
        <v>20</v>
      </c>
      <c r="F385" s="2">
        <v>0</v>
      </c>
      <c r="G385" s="8">
        <f t="shared" si="29"/>
        <v>20</v>
      </c>
      <c r="H385" s="18" t="s">
        <v>21</v>
      </c>
      <c r="I385" s="55"/>
      <c r="J385" s="3"/>
      <c r="K385" s="127"/>
    </row>
    <row r="386" spans="1:11" ht="75" x14ac:dyDescent="0.2">
      <c r="A386" s="155">
        <f>IF(H386&lt;&gt;"",1+MAX($A$1:A385),"")</f>
        <v>222</v>
      </c>
      <c r="B386" s="163" t="s">
        <v>334</v>
      </c>
      <c r="C386" s="17"/>
      <c r="D386" s="58" t="s">
        <v>335</v>
      </c>
      <c r="E386" s="8">
        <v>1</v>
      </c>
      <c r="F386" s="2">
        <v>0</v>
      </c>
      <c r="G386" s="8">
        <f t="shared" si="29"/>
        <v>1</v>
      </c>
      <c r="H386" s="18" t="s">
        <v>21</v>
      </c>
      <c r="I386" s="55"/>
      <c r="J386" s="3"/>
      <c r="K386" s="127"/>
    </row>
    <row r="387" spans="1:11" ht="75" x14ac:dyDescent="0.2">
      <c r="A387" s="155">
        <f>IF(H387&lt;&gt;"",1+MAX($A$1:A386),"")</f>
        <v>223</v>
      </c>
      <c r="B387" s="163"/>
      <c r="C387" s="17"/>
      <c r="D387" s="58" t="s">
        <v>336</v>
      </c>
      <c r="E387" s="8">
        <v>1</v>
      </c>
      <c r="F387" s="2">
        <v>0</v>
      </c>
      <c r="G387" s="8">
        <f t="shared" si="29"/>
        <v>1</v>
      </c>
      <c r="H387" s="18" t="s">
        <v>21</v>
      </c>
      <c r="I387" s="55"/>
      <c r="J387" s="3"/>
      <c r="K387" s="127"/>
    </row>
    <row r="388" spans="1:11" ht="75" x14ac:dyDescent="0.2">
      <c r="A388" s="155">
        <f>IF(H388&lt;&gt;"",1+MAX($A$1:A387),"")</f>
        <v>224</v>
      </c>
      <c r="B388" s="163"/>
      <c r="C388" s="17"/>
      <c r="D388" s="58" t="s">
        <v>337</v>
      </c>
      <c r="E388" s="8">
        <v>2</v>
      </c>
      <c r="F388" s="2">
        <v>0</v>
      </c>
      <c r="G388" s="8">
        <f t="shared" si="29"/>
        <v>2</v>
      </c>
      <c r="H388" s="18" t="s">
        <v>21</v>
      </c>
      <c r="I388" s="55"/>
      <c r="J388" s="3"/>
      <c r="K388" s="127"/>
    </row>
    <row r="389" spans="1:11" x14ac:dyDescent="0.2">
      <c r="A389" s="155">
        <f>IF(H389&lt;&gt;"",1+MAX($A$1:A388),"")</f>
        <v>225</v>
      </c>
      <c r="B389" s="109"/>
      <c r="C389" s="17"/>
      <c r="D389" s="64" t="s">
        <v>338</v>
      </c>
      <c r="E389" s="8">
        <v>1</v>
      </c>
      <c r="F389" s="2">
        <v>0</v>
      </c>
      <c r="G389" s="8">
        <f t="shared" ref="G389" si="30">E389*(1+F389)</f>
        <v>1</v>
      </c>
      <c r="H389" s="18" t="s">
        <v>21</v>
      </c>
      <c r="I389" s="55"/>
      <c r="J389" s="3"/>
      <c r="K389" s="127"/>
    </row>
    <row r="390" spans="1:11" ht="15.75" customHeight="1" x14ac:dyDescent="0.2">
      <c r="A390" s="155"/>
      <c r="B390" s="109"/>
      <c r="C390" s="17"/>
      <c r="D390" s="64"/>
      <c r="E390" s="8"/>
      <c r="F390" s="2"/>
      <c r="G390" s="8"/>
      <c r="H390" s="18"/>
      <c r="I390" s="55"/>
      <c r="J390" s="3"/>
      <c r="K390" s="127"/>
    </row>
    <row r="391" spans="1:11" ht="15.75" customHeight="1" x14ac:dyDescent="0.2">
      <c r="A391" s="155"/>
      <c r="B391" s="109"/>
      <c r="C391" s="17"/>
      <c r="D391" s="58" t="s">
        <v>339</v>
      </c>
      <c r="E391" s="8"/>
      <c r="F391" s="2"/>
      <c r="G391" s="8"/>
      <c r="H391" s="18"/>
      <c r="I391" s="55"/>
      <c r="J391" s="3"/>
      <c r="K391" s="127"/>
    </row>
    <row r="392" spans="1:11" ht="30" x14ac:dyDescent="0.2">
      <c r="A392" s="155">
        <f>IF(H392&lt;&gt;"",1+MAX($A$1:A391),"")</f>
        <v>226</v>
      </c>
      <c r="B392" s="109" t="s">
        <v>340</v>
      </c>
      <c r="C392" s="17"/>
      <c r="D392" s="64" t="s">
        <v>341</v>
      </c>
      <c r="E392" s="8">
        <v>20</v>
      </c>
      <c r="F392" s="2">
        <v>0</v>
      </c>
      <c r="G392" s="8">
        <f t="shared" si="29"/>
        <v>20</v>
      </c>
      <c r="H392" s="18" t="s">
        <v>21</v>
      </c>
      <c r="I392" s="55"/>
      <c r="J392" s="3"/>
      <c r="K392" s="127"/>
    </row>
    <row r="393" spans="1:11" x14ac:dyDescent="0.2">
      <c r="A393" s="155"/>
      <c r="B393" s="109"/>
      <c r="C393" s="17"/>
      <c r="D393" s="64"/>
      <c r="E393" s="8"/>
      <c r="F393" s="2"/>
      <c r="G393" s="8"/>
      <c r="H393" s="18"/>
      <c r="I393" s="55"/>
      <c r="J393" s="3"/>
      <c r="K393" s="127"/>
    </row>
    <row r="394" spans="1:11" x14ac:dyDescent="0.2">
      <c r="A394" s="138"/>
      <c r="B394" s="50"/>
      <c r="C394" s="52"/>
      <c r="D394" s="53" t="s">
        <v>342</v>
      </c>
      <c r="E394" s="8"/>
      <c r="F394" s="2"/>
      <c r="G394" s="8"/>
      <c r="H394" s="18"/>
      <c r="I394" s="55"/>
      <c r="J394" s="3"/>
      <c r="K394" s="127"/>
    </row>
    <row r="395" spans="1:11" s="63" customFormat="1" x14ac:dyDescent="0.2">
      <c r="A395" s="155"/>
      <c r="B395" s="111"/>
      <c r="C395" s="57"/>
      <c r="D395" s="58"/>
      <c r="E395" s="8"/>
      <c r="F395" s="59"/>
      <c r="G395" s="8"/>
      <c r="H395" s="18"/>
      <c r="I395" s="61"/>
      <c r="J395" s="62"/>
      <c r="K395" s="146"/>
    </row>
    <row r="396" spans="1:11" x14ac:dyDescent="0.2">
      <c r="A396" s="155"/>
      <c r="B396" s="109"/>
      <c r="C396" s="17"/>
      <c r="D396" s="58" t="s">
        <v>343</v>
      </c>
      <c r="E396" s="8"/>
      <c r="F396" s="2"/>
      <c r="G396" s="8"/>
      <c r="H396" s="18"/>
      <c r="I396" s="55"/>
      <c r="J396" s="3"/>
      <c r="K396" s="127"/>
    </row>
    <row r="397" spans="1:11" ht="30" x14ac:dyDescent="0.2">
      <c r="A397" s="155">
        <f>IF(H397&lt;&gt;"",1+MAX($A$1:A396),"")</f>
        <v>227</v>
      </c>
      <c r="B397" s="109"/>
      <c r="C397" s="17"/>
      <c r="D397" s="64" t="s">
        <v>344</v>
      </c>
      <c r="E397" s="8">
        <v>1</v>
      </c>
      <c r="F397" s="2">
        <v>0</v>
      </c>
      <c r="G397" s="8">
        <f t="shared" ref="G397" si="31">E397*(1+F397)</f>
        <v>1</v>
      </c>
      <c r="H397" s="18" t="s">
        <v>15</v>
      </c>
      <c r="I397" s="55"/>
      <c r="J397" s="3"/>
      <c r="K397" s="127"/>
    </row>
    <row r="398" spans="1:11" x14ac:dyDescent="0.2">
      <c r="A398" s="155"/>
      <c r="B398" s="109"/>
      <c r="C398" s="17"/>
      <c r="D398" s="64"/>
      <c r="E398" s="8"/>
      <c r="F398" s="2"/>
      <c r="G398" s="8"/>
      <c r="H398" s="18"/>
      <c r="I398" s="55"/>
      <c r="J398" s="3"/>
      <c r="K398" s="127"/>
    </row>
    <row r="399" spans="1:11" x14ac:dyDescent="0.2">
      <c r="A399" s="155"/>
      <c r="B399" s="109"/>
      <c r="C399" s="17"/>
      <c r="D399" s="58" t="s">
        <v>345</v>
      </c>
      <c r="E399" s="8"/>
      <c r="F399" s="2"/>
      <c r="G399" s="8"/>
      <c r="H399" s="18"/>
      <c r="I399" s="55"/>
      <c r="J399" s="3"/>
      <c r="K399" s="127"/>
    </row>
    <row r="400" spans="1:11" ht="30" x14ac:dyDescent="0.2">
      <c r="A400" s="155">
        <f>IF(H400&lt;&gt;"",1+MAX($A$1:A399),"")</f>
        <v>228</v>
      </c>
      <c r="B400" s="109"/>
      <c r="C400" s="17"/>
      <c r="D400" s="64" t="s">
        <v>346</v>
      </c>
      <c r="E400" s="8">
        <v>1</v>
      </c>
      <c r="F400" s="2">
        <v>0</v>
      </c>
      <c r="G400" s="8">
        <f t="shared" ref="G400" si="32">E400*(1+F400)</f>
        <v>1</v>
      </c>
      <c r="H400" s="18" t="s">
        <v>15</v>
      </c>
      <c r="I400" s="55"/>
      <c r="J400" s="3"/>
      <c r="K400" s="127"/>
    </row>
    <row r="401" spans="1:11" x14ac:dyDescent="0.2">
      <c r="A401" s="155"/>
      <c r="B401" s="109"/>
      <c r="C401" s="17"/>
      <c r="D401" s="64"/>
      <c r="E401" s="8"/>
      <c r="F401" s="2"/>
      <c r="G401" s="8"/>
      <c r="H401" s="18"/>
      <c r="I401" s="55"/>
      <c r="J401" s="3"/>
      <c r="K401" s="127"/>
    </row>
    <row r="402" spans="1:11" x14ac:dyDescent="0.2">
      <c r="A402" s="155"/>
      <c r="B402" s="109"/>
      <c r="C402" s="17"/>
      <c r="D402" s="58" t="s">
        <v>347</v>
      </c>
      <c r="E402" s="8"/>
      <c r="F402" s="2"/>
      <c r="G402" s="8"/>
      <c r="H402" s="18"/>
      <c r="I402" s="55"/>
      <c r="J402" s="3"/>
      <c r="K402" s="127"/>
    </row>
    <row r="403" spans="1:11" ht="30" x14ac:dyDescent="0.2">
      <c r="A403" s="155">
        <f>IF(H403&lt;&gt;"",1+MAX($A$1:A402),"")</f>
        <v>229</v>
      </c>
      <c r="B403" s="109"/>
      <c r="C403" s="17"/>
      <c r="D403" s="64" t="s">
        <v>348</v>
      </c>
      <c r="E403" s="8">
        <v>1</v>
      </c>
      <c r="F403" s="2">
        <v>0</v>
      </c>
      <c r="G403" s="8">
        <f t="shared" ref="G403" si="33">E403*(1+F403)</f>
        <v>1</v>
      </c>
      <c r="H403" s="18" t="s">
        <v>15</v>
      </c>
      <c r="I403" s="55"/>
      <c r="J403" s="3"/>
      <c r="K403" s="127"/>
    </row>
    <row r="404" spans="1:11" x14ac:dyDescent="0.2">
      <c r="A404" s="155"/>
      <c r="B404" s="109"/>
      <c r="C404" s="17"/>
      <c r="D404" s="64"/>
      <c r="E404" s="8"/>
      <c r="F404" s="2"/>
      <c r="G404" s="8"/>
      <c r="H404" s="18"/>
      <c r="I404" s="55"/>
      <c r="J404" s="3"/>
      <c r="K404" s="127"/>
    </row>
    <row r="405" spans="1:11" x14ac:dyDescent="0.2">
      <c r="A405" s="155"/>
      <c r="B405" s="109"/>
      <c r="C405" s="17"/>
      <c r="D405" s="58" t="s">
        <v>349</v>
      </c>
      <c r="E405" s="8"/>
      <c r="F405" s="2"/>
      <c r="G405" s="8"/>
      <c r="H405" s="18"/>
      <c r="I405" s="55"/>
      <c r="J405" s="3"/>
      <c r="K405" s="127"/>
    </row>
    <row r="406" spans="1:11" ht="30" x14ac:dyDescent="0.2">
      <c r="A406" s="155">
        <f>IF(H406&lt;&gt;"",1+MAX($A$1:A405),"")</f>
        <v>230</v>
      </c>
      <c r="B406" s="109"/>
      <c r="C406" s="17"/>
      <c r="D406" s="64" t="s">
        <v>350</v>
      </c>
      <c r="E406" s="8">
        <v>1</v>
      </c>
      <c r="F406" s="2">
        <v>0</v>
      </c>
      <c r="G406" s="8">
        <f t="shared" ref="G406" si="34">E406*(1+F406)</f>
        <v>1</v>
      </c>
      <c r="H406" s="18" t="s">
        <v>15</v>
      </c>
      <c r="I406" s="55"/>
      <c r="J406" s="3"/>
      <c r="K406" s="127"/>
    </row>
    <row r="407" spans="1:11" x14ac:dyDescent="0.2">
      <c r="A407" s="155"/>
      <c r="B407" s="109"/>
      <c r="C407" s="17"/>
      <c r="D407" s="64"/>
      <c r="E407" s="8"/>
      <c r="F407" s="2"/>
      <c r="G407" s="8"/>
      <c r="H407" s="18"/>
      <c r="I407" s="55"/>
      <c r="J407" s="3"/>
      <c r="K407" s="127"/>
    </row>
    <row r="408" spans="1:11" x14ac:dyDescent="0.2">
      <c r="A408" s="138"/>
      <c r="B408" s="50"/>
      <c r="C408" s="52"/>
      <c r="D408" s="53" t="s">
        <v>351</v>
      </c>
      <c r="E408" s="8"/>
      <c r="F408" s="2"/>
      <c r="G408" s="8"/>
      <c r="H408" s="18"/>
      <c r="I408" s="55"/>
      <c r="J408" s="3"/>
      <c r="K408" s="127"/>
    </row>
    <row r="409" spans="1:11" ht="45" x14ac:dyDescent="0.2">
      <c r="A409" s="155">
        <f>IF(H409&lt;&gt;"",1+MAX($A$1:A408),"")</f>
        <v>231</v>
      </c>
      <c r="B409" s="109"/>
      <c r="C409" s="17"/>
      <c r="D409" s="64" t="s">
        <v>352</v>
      </c>
      <c r="E409" s="8">
        <v>1</v>
      </c>
      <c r="F409" s="2">
        <v>0</v>
      </c>
      <c r="G409" s="8">
        <f t="shared" ref="G409" si="35">E409*(1+F409)</f>
        <v>1</v>
      </c>
      <c r="H409" s="18" t="s">
        <v>15</v>
      </c>
      <c r="I409" s="55"/>
      <c r="J409" s="3"/>
      <c r="K409" s="127"/>
    </row>
    <row r="410" spans="1:11" x14ac:dyDescent="0.2">
      <c r="A410" s="155"/>
      <c r="B410" s="109"/>
      <c r="C410" s="17"/>
      <c r="D410" s="22"/>
      <c r="E410" s="8"/>
      <c r="F410" s="2"/>
      <c r="G410" s="8"/>
      <c r="H410" s="18"/>
      <c r="I410" s="55"/>
      <c r="J410" s="3"/>
      <c r="K410" s="127"/>
    </row>
    <row r="411" spans="1:11" x14ac:dyDescent="0.2">
      <c r="A411" s="138"/>
      <c r="B411" s="50"/>
      <c r="C411" s="52"/>
      <c r="D411" s="53" t="s">
        <v>353</v>
      </c>
      <c r="E411" s="8"/>
      <c r="F411" s="2"/>
      <c r="G411" s="8"/>
      <c r="H411" s="18"/>
      <c r="I411" s="55"/>
      <c r="J411" s="3"/>
      <c r="K411" s="127"/>
    </row>
    <row r="412" spans="1:11" ht="30" x14ac:dyDescent="0.2">
      <c r="A412" s="155">
        <f>IF(H412&lt;&gt;"",1+MAX($A$1:A411),"")</f>
        <v>232</v>
      </c>
      <c r="B412" s="109"/>
      <c r="C412" s="17"/>
      <c r="D412" s="64" t="s">
        <v>354</v>
      </c>
      <c r="E412" s="8">
        <v>1</v>
      </c>
      <c r="F412" s="2">
        <v>0</v>
      </c>
      <c r="G412" s="8">
        <f t="shared" ref="G412" si="36">E412*(1+F412)</f>
        <v>1</v>
      </c>
      <c r="H412" s="18" t="s">
        <v>15</v>
      </c>
      <c r="I412" s="55"/>
      <c r="J412" s="3"/>
      <c r="K412" s="127"/>
    </row>
    <row r="413" spans="1:11" ht="15.75" customHeight="1" thickBot="1" x14ac:dyDescent="0.25">
      <c r="A413" s="155" t="str">
        <f>IF(H413&lt;&gt;"",1+MAX($A$1:A412),"")</f>
        <v/>
      </c>
      <c r="B413" s="109"/>
      <c r="C413" s="17"/>
      <c r="D413" s="64"/>
      <c r="E413" s="8"/>
      <c r="F413" s="2"/>
      <c r="G413" s="54"/>
      <c r="H413" s="18"/>
      <c r="I413" s="55"/>
      <c r="J413" s="3"/>
      <c r="K413" s="127"/>
    </row>
    <row r="414" spans="1:11" s="39" customFormat="1" ht="16.5" thickBot="1" x14ac:dyDescent="0.25">
      <c r="A414" s="128" t="str">
        <f>IF(G414&lt;&gt;"",1+MAX(#REF!),"")</f>
        <v/>
      </c>
      <c r="B414" s="42"/>
      <c r="C414" s="37" t="s">
        <v>355</v>
      </c>
      <c r="D414" s="38" t="s">
        <v>356</v>
      </c>
      <c r="E414" s="84"/>
      <c r="F414" s="84"/>
      <c r="G414" s="84"/>
      <c r="H414" s="84"/>
      <c r="I414" s="84"/>
      <c r="J414" s="84"/>
      <c r="K414" s="129">
        <f>SUM(J415:J477)</f>
        <v>0</v>
      </c>
    </row>
    <row r="415" spans="1:11" s="48" customFormat="1" ht="15.75" x14ac:dyDescent="0.2">
      <c r="A415" s="132" t="str">
        <f>IF(H415&lt;&gt;"",1+MAX($A$1:A331),"")</f>
        <v/>
      </c>
      <c r="B415" s="110"/>
      <c r="C415" s="107"/>
      <c r="D415" s="106"/>
      <c r="E415" s="86"/>
      <c r="F415" s="94"/>
      <c r="G415" s="95"/>
      <c r="H415" s="79"/>
      <c r="I415" s="92"/>
      <c r="J415" s="96"/>
      <c r="K415" s="133"/>
    </row>
    <row r="416" spans="1:11" s="40" customFormat="1" x14ac:dyDescent="0.2">
      <c r="A416" s="142"/>
      <c r="B416" s="97"/>
      <c r="C416" s="98"/>
      <c r="D416" s="41" t="s">
        <v>319</v>
      </c>
      <c r="E416" s="85"/>
      <c r="F416" s="85"/>
      <c r="G416" s="85"/>
      <c r="H416" s="85"/>
      <c r="I416" s="85"/>
      <c r="J416" s="85"/>
      <c r="K416" s="133"/>
    </row>
    <row r="417" spans="1:11" s="39" customFormat="1" ht="90" x14ac:dyDescent="0.2">
      <c r="A417" s="130">
        <f>IF(H417&lt;&gt;"",1+MAX($A$1:A416),"")</f>
        <v>233</v>
      </c>
      <c r="B417" s="164" t="s">
        <v>357</v>
      </c>
      <c r="C417" s="85"/>
      <c r="D417" s="81" t="s">
        <v>358</v>
      </c>
      <c r="E417" s="8">
        <v>20</v>
      </c>
      <c r="F417" s="87">
        <v>0</v>
      </c>
      <c r="G417" s="86">
        <f t="shared" ref="G417:G424" si="37">E417*(1+F417)</f>
        <v>20</v>
      </c>
      <c r="H417" s="79" t="s">
        <v>21</v>
      </c>
      <c r="I417" s="92"/>
      <c r="J417" s="90"/>
      <c r="K417" s="133"/>
    </row>
    <row r="418" spans="1:11" s="39" customFormat="1" ht="45" x14ac:dyDescent="0.2">
      <c r="A418" s="130">
        <f>IF(H418&lt;&gt;"",1+MAX($A$1:A417),"")</f>
        <v>234</v>
      </c>
      <c r="B418" s="164"/>
      <c r="C418" s="85"/>
      <c r="D418" s="81" t="s">
        <v>359</v>
      </c>
      <c r="E418" s="8">
        <v>20</v>
      </c>
      <c r="F418" s="87">
        <v>0</v>
      </c>
      <c r="G418" s="86">
        <f t="shared" si="37"/>
        <v>20</v>
      </c>
      <c r="H418" s="79" t="s">
        <v>21</v>
      </c>
      <c r="I418" s="92"/>
      <c r="J418" s="90"/>
      <c r="K418" s="133"/>
    </row>
    <row r="419" spans="1:11" s="39" customFormat="1" ht="45" x14ac:dyDescent="0.2">
      <c r="A419" s="130">
        <f>IF(H419&lt;&gt;"",1+MAX($A$1:A418),"")</f>
        <v>235</v>
      </c>
      <c r="B419" s="164"/>
      <c r="C419" s="85"/>
      <c r="D419" s="81" t="s">
        <v>360</v>
      </c>
      <c r="E419" s="8">
        <f>4*4</f>
        <v>16</v>
      </c>
      <c r="F419" s="87">
        <v>0</v>
      </c>
      <c r="G419" s="86">
        <f t="shared" si="37"/>
        <v>16</v>
      </c>
      <c r="H419" s="79" t="s">
        <v>21</v>
      </c>
      <c r="I419" s="92"/>
      <c r="J419" s="90"/>
      <c r="K419" s="133"/>
    </row>
    <row r="420" spans="1:11" s="39" customFormat="1" ht="45" x14ac:dyDescent="0.2">
      <c r="A420" s="130">
        <f>IF(H420&lt;&gt;"",1+MAX($A$1:A419),"")</f>
        <v>236</v>
      </c>
      <c r="B420" s="164"/>
      <c r="C420" s="85"/>
      <c r="D420" s="81" t="s">
        <v>361</v>
      </c>
      <c r="E420" s="8">
        <f>9*4</f>
        <v>36</v>
      </c>
      <c r="F420" s="87">
        <v>0</v>
      </c>
      <c r="G420" s="86">
        <f t="shared" si="37"/>
        <v>36</v>
      </c>
      <c r="H420" s="79" t="s">
        <v>21</v>
      </c>
      <c r="I420" s="92"/>
      <c r="J420" s="90"/>
      <c r="K420" s="133"/>
    </row>
    <row r="421" spans="1:11" s="39" customFormat="1" ht="45" x14ac:dyDescent="0.2">
      <c r="A421" s="130">
        <f>IF(H421&lt;&gt;"",1+MAX($A$1:A420),"")</f>
        <v>237</v>
      </c>
      <c r="B421" s="164"/>
      <c r="C421" s="85"/>
      <c r="D421" s="81" t="s">
        <v>362</v>
      </c>
      <c r="E421" s="8">
        <f>1*4</f>
        <v>4</v>
      </c>
      <c r="F421" s="87">
        <v>0</v>
      </c>
      <c r="G421" s="86">
        <f t="shared" si="37"/>
        <v>4</v>
      </c>
      <c r="H421" s="79" t="s">
        <v>21</v>
      </c>
      <c r="I421" s="92"/>
      <c r="J421" s="90"/>
      <c r="K421" s="133"/>
    </row>
    <row r="422" spans="1:11" s="39" customFormat="1" ht="45" x14ac:dyDescent="0.2">
      <c r="A422" s="130">
        <f>IF(H422&lt;&gt;"",1+MAX($A$1:A421),"")</f>
        <v>238</v>
      </c>
      <c r="B422" s="164"/>
      <c r="C422" s="85"/>
      <c r="D422" s="81" t="s">
        <v>363</v>
      </c>
      <c r="E422" s="8">
        <f>1*4</f>
        <v>4</v>
      </c>
      <c r="F422" s="87">
        <v>0</v>
      </c>
      <c r="G422" s="86">
        <f t="shared" si="37"/>
        <v>4</v>
      </c>
      <c r="H422" s="79" t="s">
        <v>21</v>
      </c>
      <c r="I422" s="92"/>
      <c r="J422" s="90"/>
      <c r="K422" s="133"/>
    </row>
    <row r="423" spans="1:11" s="39" customFormat="1" ht="45" x14ac:dyDescent="0.2">
      <c r="A423" s="130">
        <f>IF(H423&lt;&gt;"",1+MAX($A$1:A422),"")</f>
        <v>239</v>
      </c>
      <c r="B423" s="164"/>
      <c r="C423" s="85"/>
      <c r="D423" s="81" t="s">
        <v>364</v>
      </c>
      <c r="E423" s="8">
        <v>4</v>
      </c>
      <c r="F423" s="87">
        <v>0</v>
      </c>
      <c r="G423" s="86">
        <f t="shared" si="37"/>
        <v>4</v>
      </c>
      <c r="H423" s="79" t="s">
        <v>21</v>
      </c>
      <c r="I423" s="92"/>
      <c r="J423" s="90"/>
      <c r="K423" s="133"/>
    </row>
    <row r="424" spans="1:11" s="39" customFormat="1" ht="60" x14ac:dyDescent="0.2">
      <c r="A424" s="130">
        <f>IF(H424&lt;&gt;"",1+MAX($A$1:A423),"")</f>
        <v>240</v>
      </c>
      <c r="B424" s="164"/>
      <c r="C424" s="85"/>
      <c r="D424" s="81" t="s">
        <v>365</v>
      </c>
      <c r="E424" s="8">
        <v>1</v>
      </c>
      <c r="F424" s="87">
        <v>0</v>
      </c>
      <c r="G424" s="86">
        <f t="shared" si="37"/>
        <v>1</v>
      </c>
      <c r="H424" s="79" t="s">
        <v>21</v>
      </c>
      <c r="I424" s="92"/>
      <c r="J424" s="90"/>
      <c r="K424" s="133"/>
    </row>
    <row r="425" spans="1:11" s="39" customFormat="1" ht="45" x14ac:dyDescent="0.2">
      <c r="A425" s="130">
        <f>IF(H425&lt;&gt;"",1+MAX($A$1:A424),"")</f>
        <v>241</v>
      </c>
      <c r="B425" s="164"/>
      <c r="C425" s="85"/>
      <c r="D425" s="81" t="s">
        <v>366</v>
      </c>
      <c r="E425" s="8">
        <v>4</v>
      </c>
      <c r="F425" s="87">
        <v>0</v>
      </c>
      <c r="G425" s="86">
        <f t="shared" ref="G425:G426" si="38">E425*(1+F425)</f>
        <v>4</v>
      </c>
      <c r="H425" s="79" t="s">
        <v>21</v>
      </c>
      <c r="I425" s="92"/>
      <c r="J425" s="90"/>
      <c r="K425" s="133"/>
    </row>
    <row r="426" spans="1:11" s="39" customFormat="1" ht="45" x14ac:dyDescent="0.2">
      <c r="A426" s="130">
        <f>IF(H426&lt;&gt;"",1+MAX($A$1:A425),"")</f>
        <v>242</v>
      </c>
      <c r="B426" s="164"/>
      <c r="C426" s="85"/>
      <c r="D426" s="81" t="s">
        <v>367</v>
      </c>
      <c r="E426" s="8">
        <v>2</v>
      </c>
      <c r="F426" s="87">
        <v>0</v>
      </c>
      <c r="G426" s="86">
        <f t="shared" si="38"/>
        <v>2</v>
      </c>
      <c r="H426" s="79" t="s">
        <v>21</v>
      </c>
      <c r="I426" s="92"/>
      <c r="J426" s="90"/>
      <c r="K426" s="133"/>
    </row>
    <row r="427" spans="1:11" s="39" customFormat="1" ht="30" x14ac:dyDescent="0.2">
      <c r="A427" s="130">
        <f>IF(H427&lt;&gt;"",1+MAX($A$1:A426),"")</f>
        <v>243</v>
      </c>
      <c r="B427" s="164"/>
      <c r="C427" s="85"/>
      <c r="D427" s="81" t="s">
        <v>368</v>
      </c>
      <c r="E427" s="8">
        <v>3</v>
      </c>
      <c r="F427" s="87">
        <v>0</v>
      </c>
      <c r="G427" s="86">
        <f t="shared" ref="G427:G428" si="39">E427*(1+F427)</f>
        <v>3</v>
      </c>
      <c r="H427" s="79" t="s">
        <v>21</v>
      </c>
      <c r="I427" s="92"/>
      <c r="J427" s="90"/>
      <c r="K427" s="133"/>
    </row>
    <row r="428" spans="1:11" s="39" customFormat="1" ht="30" x14ac:dyDescent="0.2">
      <c r="A428" s="130">
        <f>IF(H428&lt;&gt;"",1+MAX($A$1:A427),"")</f>
        <v>244</v>
      </c>
      <c r="B428" s="164"/>
      <c r="C428" s="85"/>
      <c r="D428" s="81" t="s">
        <v>369</v>
      </c>
      <c r="E428" s="8">
        <v>1</v>
      </c>
      <c r="F428" s="87">
        <v>0</v>
      </c>
      <c r="G428" s="86">
        <f t="shared" si="39"/>
        <v>1</v>
      </c>
      <c r="H428" s="79" t="s">
        <v>21</v>
      </c>
      <c r="I428" s="92"/>
      <c r="J428" s="90"/>
      <c r="K428" s="133"/>
    </row>
    <row r="429" spans="1:11" s="39" customFormat="1" ht="30" x14ac:dyDescent="0.2">
      <c r="A429" s="130">
        <f>IF(H429&lt;&gt;"",1+MAX($A$1:A428),"")</f>
        <v>245</v>
      </c>
      <c r="B429" s="164"/>
      <c r="C429" s="85"/>
      <c r="D429" s="81" t="s">
        <v>370</v>
      </c>
      <c r="E429" s="8">
        <v>4</v>
      </c>
      <c r="F429" s="87">
        <v>0</v>
      </c>
      <c r="G429" s="86">
        <f t="shared" ref="G429" si="40">E429*(1+F429)</f>
        <v>4</v>
      </c>
      <c r="H429" s="79" t="s">
        <v>21</v>
      </c>
      <c r="I429" s="92"/>
      <c r="J429" s="90"/>
      <c r="K429" s="133"/>
    </row>
    <row r="430" spans="1:11" s="39" customFormat="1" ht="30" x14ac:dyDescent="0.2">
      <c r="A430" s="130">
        <f>IF(H430&lt;&gt;"",1+MAX($A$1:A429),"")</f>
        <v>246</v>
      </c>
      <c r="B430" s="164"/>
      <c r="C430" s="85"/>
      <c r="D430" s="81" t="s">
        <v>371</v>
      </c>
      <c r="E430" s="8">
        <v>1</v>
      </c>
      <c r="F430" s="87">
        <v>0</v>
      </c>
      <c r="G430" s="86">
        <f t="shared" ref="G430" si="41">E430*(1+F430)</f>
        <v>1</v>
      </c>
      <c r="H430" s="79" t="s">
        <v>21</v>
      </c>
      <c r="I430" s="92"/>
      <c r="J430" s="90"/>
      <c r="K430" s="133"/>
    </row>
    <row r="431" spans="1:11" s="39" customFormat="1" ht="15.75" x14ac:dyDescent="0.2">
      <c r="A431" s="130" t="str">
        <f>IF(H431&lt;&gt;"",1+MAX($A$1:A430),"")</f>
        <v/>
      </c>
      <c r="B431" s="93"/>
      <c r="C431" s="85"/>
      <c r="D431" s="81"/>
      <c r="E431" s="88"/>
      <c r="F431" s="87"/>
      <c r="G431" s="86"/>
      <c r="H431" s="79"/>
      <c r="I431" s="92"/>
      <c r="J431" s="90"/>
      <c r="K431" s="133"/>
    </row>
    <row r="432" spans="1:11" s="40" customFormat="1" x14ac:dyDescent="0.2">
      <c r="A432" s="142"/>
      <c r="B432" s="97"/>
      <c r="C432" s="98"/>
      <c r="D432" s="41" t="s">
        <v>372</v>
      </c>
      <c r="E432" s="85"/>
      <c r="F432" s="85"/>
      <c r="G432" s="85"/>
      <c r="H432" s="85"/>
      <c r="I432" s="85"/>
      <c r="J432" s="85"/>
      <c r="K432" s="133"/>
    </row>
    <row r="433" spans="1:11" s="39" customFormat="1" ht="15.75" x14ac:dyDescent="0.2">
      <c r="A433" s="130" t="str">
        <f>IF(H433&lt;&gt;"",1+MAX($A$1:A432),"")</f>
        <v/>
      </c>
      <c r="B433" s="108"/>
      <c r="C433" s="85"/>
      <c r="D433" s="81"/>
      <c r="E433" s="88"/>
      <c r="F433" s="87"/>
      <c r="G433" s="86"/>
      <c r="H433" s="79"/>
      <c r="I433" s="92"/>
      <c r="J433" s="90"/>
      <c r="K433" s="133"/>
    </row>
    <row r="434" spans="1:11" s="39" customFormat="1" ht="15.75" x14ac:dyDescent="0.2">
      <c r="A434" s="130" t="str">
        <f>IF(H434&lt;&gt;"",1+MAX($A$1:A433),"")</f>
        <v/>
      </c>
      <c r="B434" s="108"/>
      <c r="C434" s="85"/>
      <c r="D434" s="49" t="s">
        <v>373</v>
      </c>
      <c r="E434" s="8"/>
      <c r="F434" s="87"/>
      <c r="G434" s="86"/>
      <c r="H434" s="79"/>
      <c r="I434" s="92"/>
      <c r="J434" s="90"/>
      <c r="K434" s="133"/>
    </row>
    <row r="435" spans="1:11" s="39" customFormat="1" ht="15.75" x14ac:dyDescent="0.2">
      <c r="A435" s="130">
        <f>IF(H435&lt;&gt;"",1+MAX($A$1:A434),"")</f>
        <v>247</v>
      </c>
      <c r="B435" s="164" t="s">
        <v>357</v>
      </c>
      <c r="C435" s="85"/>
      <c r="D435" s="81" t="s">
        <v>374</v>
      </c>
      <c r="E435" s="8">
        <f>182.29*4</f>
        <v>729.16</v>
      </c>
      <c r="F435" s="87">
        <v>0.1</v>
      </c>
      <c r="G435" s="86">
        <f t="shared" ref="G435:G443" si="42">E435*(1+F435)</f>
        <v>802.07600000000002</v>
      </c>
      <c r="H435" s="79" t="s">
        <v>23</v>
      </c>
      <c r="I435" s="92"/>
      <c r="J435" s="90"/>
      <c r="K435" s="133"/>
    </row>
    <row r="436" spans="1:11" s="39" customFormat="1" ht="15.75" x14ac:dyDescent="0.2">
      <c r="A436" s="130">
        <f>IF(H436&lt;&gt;"",1+MAX($A$1:A435),"")</f>
        <v>248</v>
      </c>
      <c r="B436" s="164"/>
      <c r="C436" s="85"/>
      <c r="D436" s="81" t="s">
        <v>375</v>
      </c>
      <c r="E436" s="8">
        <f>127.3*4</f>
        <v>509.2</v>
      </c>
      <c r="F436" s="87">
        <v>0.1</v>
      </c>
      <c r="G436" s="86">
        <f t="shared" si="42"/>
        <v>560.12</v>
      </c>
      <c r="H436" s="79" t="s">
        <v>23</v>
      </c>
      <c r="I436" s="92"/>
      <c r="J436" s="90"/>
      <c r="K436" s="133"/>
    </row>
    <row r="437" spans="1:11" s="39" customFormat="1" ht="15.75" x14ac:dyDescent="0.2">
      <c r="A437" s="130">
        <f>IF(H437&lt;&gt;"",1+MAX($A$1:A436),"")</f>
        <v>249</v>
      </c>
      <c r="B437" s="164"/>
      <c r="C437" s="85"/>
      <c r="D437" s="81" t="s">
        <v>376</v>
      </c>
      <c r="E437" s="8">
        <f>11.97*4</f>
        <v>47.88</v>
      </c>
      <c r="F437" s="87">
        <v>0.1</v>
      </c>
      <c r="G437" s="86">
        <f t="shared" si="42"/>
        <v>52.668000000000006</v>
      </c>
      <c r="H437" s="79" t="s">
        <v>23</v>
      </c>
      <c r="I437" s="92"/>
      <c r="J437" s="90"/>
      <c r="K437" s="133"/>
    </row>
    <row r="438" spans="1:11" s="39" customFormat="1" ht="15.75" x14ac:dyDescent="0.2">
      <c r="A438" s="130">
        <f>IF(H438&lt;&gt;"",1+MAX($A$1:A437),"")</f>
        <v>250</v>
      </c>
      <c r="B438" s="164"/>
      <c r="C438" s="85"/>
      <c r="D438" s="81" t="s">
        <v>377</v>
      </c>
      <c r="E438" s="8">
        <f>8.68*4</f>
        <v>34.72</v>
      </c>
      <c r="F438" s="87">
        <v>0.1</v>
      </c>
      <c r="G438" s="86">
        <f t="shared" si="42"/>
        <v>38.192</v>
      </c>
      <c r="H438" s="79" t="s">
        <v>23</v>
      </c>
      <c r="I438" s="92"/>
      <c r="J438" s="90"/>
      <c r="K438" s="133"/>
    </row>
    <row r="439" spans="1:11" s="39" customFormat="1" ht="15.75" x14ac:dyDescent="0.2">
      <c r="A439" s="130">
        <f>IF(H439&lt;&gt;"",1+MAX($A$1:A438),"")</f>
        <v>251</v>
      </c>
      <c r="B439" s="164"/>
      <c r="C439" s="85"/>
      <c r="D439" s="81" t="s">
        <v>378</v>
      </c>
      <c r="E439" s="8">
        <f>23.6*4</f>
        <v>94.4</v>
      </c>
      <c r="F439" s="87">
        <v>0.1</v>
      </c>
      <c r="G439" s="86">
        <f t="shared" si="42"/>
        <v>103.84000000000002</v>
      </c>
      <c r="H439" s="79" t="s">
        <v>23</v>
      </c>
      <c r="I439" s="92"/>
      <c r="J439" s="90"/>
      <c r="K439" s="133"/>
    </row>
    <row r="440" spans="1:11" s="39" customFormat="1" ht="15.75" x14ac:dyDescent="0.2">
      <c r="A440" s="130">
        <f>IF(H440&lt;&gt;"",1+MAX($A$1:A439),"")</f>
        <v>252</v>
      </c>
      <c r="B440" s="164"/>
      <c r="C440" s="85"/>
      <c r="D440" s="81" t="s">
        <v>379</v>
      </c>
      <c r="E440" s="8">
        <f>22.13*4</f>
        <v>88.52</v>
      </c>
      <c r="F440" s="87">
        <v>0.1</v>
      </c>
      <c r="G440" s="86">
        <f t="shared" si="42"/>
        <v>97.372</v>
      </c>
      <c r="H440" s="79" t="s">
        <v>23</v>
      </c>
      <c r="I440" s="92"/>
      <c r="J440" s="90"/>
      <c r="K440" s="133"/>
    </row>
    <row r="441" spans="1:11" s="39" customFormat="1" ht="15.75" x14ac:dyDescent="0.2">
      <c r="A441" s="130">
        <f>IF(H441&lt;&gt;"",1+MAX($A$1:A440),"")</f>
        <v>253</v>
      </c>
      <c r="B441" s="164"/>
      <c r="C441" s="85"/>
      <c r="D441" s="81" t="s">
        <v>380</v>
      </c>
      <c r="E441" s="8">
        <f>12.15*4</f>
        <v>48.6</v>
      </c>
      <c r="F441" s="87">
        <v>0.1</v>
      </c>
      <c r="G441" s="86">
        <f t="shared" si="42"/>
        <v>53.460000000000008</v>
      </c>
      <c r="H441" s="79" t="s">
        <v>23</v>
      </c>
      <c r="I441" s="92"/>
      <c r="J441" s="90"/>
      <c r="K441" s="133"/>
    </row>
    <row r="442" spans="1:11" s="39" customFormat="1" ht="15.75" x14ac:dyDescent="0.2">
      <c r="A442" s="130">
        <f>IF(H442&lt;&gt;"",1+MAX($A$1:A441),"")</f>
        <v>254</v>
      </c>
      <c r="B442" s="164"/>
      <c r="C442" s="85"/>
      <c r="D442" s="81" t="s">
        <v>381</v>
      </c>
      <c r="E442" s="8">
        <f>8.74*4</f>
        <v>34.96</v>
      </c>
      <c r="F442" s="87">
        <v>0.1</v>
      </c>
      <c r="G442" s="86">
        <f t="shared" si="42"/>
        <v>38.456000000000003</v>
      </c>
      <c r="H442" s="79" t="s">
        <v>23</v>
      </c>
      <c r="I442" s="92"/>
      <c r="J442" s="90"/>
      <c r="K442" s="133"/>
    </row>
    <row r="443" spans="1:11" s="39" customFormat="1" ht="15.75" x14ac:dyDescent="0.2">
      <c r="A443" s="130">
        <f>IF(H443&lt;&gt;"",1+MAX($A$1:A442),"")</f>
        <v>255</v>
      </c>
      <c r="B443" s="164"/>
      <c r="C443" s="85"/>
      <c r="D443" s="81" t="s">
        <v>382</v>
      </c>
      <c r="E443" s="8">
        <f>65.05*4</f>
        <v>260.2</v>
      </c>
      <c r="F443" s="87">
        <v>0.1</v>
      </c>
      <c r="G443" s="86">
        <f t="shared" si="42"/>
        <v>286.22000000000003</v>
      </c>
      <c r="H443" s="79" t="s">
        <v>23</v>
      </c>
      <c r="I443" s="92"/>
      <c r="J443" s="90"/>
      <c r="K443" s="133"/>
    </row>
    <row r="444" spans="1:11" s="39" customFormat="1" ht="15.75" x14ac:dyDescent="0.2">
      <c r="A444" s="130" t="str">
        <f>IF(H444&lt;&gt;"",1+MAX($A$1:A443),"")</f>
        <v/>
      </c>
      <c r="B444" s="108"/>
      <c r="C444" s="85"/>
      <c r="D444" s="81"/>
      <c r="E444" s="8"/>
      <c r="F444" s="87"/>
      <c r="G444" s="86"/>
      <c r="H444" s="79"/>
      <c r="I444" s="92"/>
      <c r="J444" s="90"/>
      <c r="K444" s="133"/>
    </row>
    <row r="445" spans="1:11" s="39" customFormat="1" ht="15.75" x14ac:dyDescent="0.2">
      <c r="A445" s="130" t="str">
        <f>IF(H445&lt;&gt;"",1+MAX($A$1:A444),"")</f>
        <v/>
      </c>
      <c r="B445" s="108"/>
      <c r="C445" s="85"/>
      <c r="D445" s="49" t="s">
        <v>383</v>
      </c>
      <c r="E445" s="8"/>
      <c r="F445" s="87"/>
      <c r="G445" s="86"/>
      <c r="H445" s="79"/>
      <c r="I445" s="92"/>
      <c r="J445" s="90"/>
      <c r="K445" s="133"/>
    </row>
    <row r="446" spans="1:11" s="39" customFormat="1" ht="15.75" x14ac:dyDescent="0.2">
      <c r="A446" s="130">
        <f>IF(H446&lt;&gt;"",1+MAX($A$1:A445),"")</f>
        <v>256</v>
      </c>
      <c r="B446" s="164" t="s">
        <v>357</v>
      </c>
      <c r="C446" s="85"/>
      <c r="D446" s="81" t="s">
        <v>384</v>
      </c>
      <c r="E446" s="8">
        <f>1.67*4</f>
        <v>6.68</v>
      </c>
      <c r="F446" s="87">
        <v>0.1</v>
      </c>
      <c r="G446" s="86">
        <f>E446*(1+F446)</f>
        <v>7.3479999999999999</v>
      </c>
      <c r="H446" s="79" t="s">
        <v>23</v>
      </c>
      <c r="I446" s="92"/>
      <c r="J446" s="90"/>
      <c r="K446" s="133"/>
    </row>
    <row r="447" spans="1:11" s="39" customFormat="1" ht="15.75" x14ac:dyDescent="0.2">
      <c r="A447" s="130">
        <f>IF(H447&lt;&gt;"",1+MAX($A$1:A446),"")</f>
        <v>257</v>
      </c>
      <c r="B447" s="164"/>
      <c r="C447" s="85"/>
      <c r="D447" s="81" t="s">
        <v>385</v>
      </c>
      <c r="E447" s="8">
        <f>2.59*4</f>
        <v>10.36</v>
      </c>
      <c r="F447" s="87">
        <v>0.1</v>
      </c>
      <c r="G447" s="86">
        <f>E447*(1+F447)</f>
        <v>11.396000000000001</v>
      </c>
      <c r="H447" s="79" t="s">
        <v>23</v>
      </c>
      <c r="I447" s="92"/>
      <c r="J447" s="90"/>
      <c r="K447" s="133"/>
    </row>
    <row r="448" spans="1:11" s="39" customFormat="1" ht="15.75" x14ac:dyDescent="0.2">
      <c r="A448" s="130">
        <f>IF(H448&lt;&gt;"",1+MAX($A$1:A447),"")</f>
        <v>258</v>
      </c>
      <c r="B448" s="164"/>
      <c r="C448" s="85"/>
      <c r="D448" s="81" t="s">
        <v>386</v>
      </c>
      <c r="E448" s="8">
        <f>6.61*4</f>
        <v>26.44</v>
      </c>
      <c r="F448" s="87">
        <v>0.1</v>
      </c>
      <c r="G448" s="86">
        <f>E448*(1+F448)</f>
        <v>29.084000000000003</v>
      </c>
      <c r="H448" s="79" t="s">
        <v>23</v>
      </c>
      <c r="I448" s="92"/>
      <c r="J448" s="90"/>
      <c r="K448" s="133"/>
    </row>
    <row r="449" spans="1:11" s="39" customFormat="1" ht="15.75" x14ac:dyDescent="0.2">
      <c r="A449" s="130">
        <f>IF(H449&lt;&gt;"",1+MAX($A$1:A448),"")</f>
        <v>259</v>
      </c>
      <c r="B449" s="164"/>
      <c r="C449" s="85"/>
      <c r="D449" s="81" t="s">
        <v>386</v>
      </c>
      <c r="E449" s="8">
        <f>6.61*4</f>
        <v>26.44</v>
      </c>
      <c r="F449" s="87">
        <v>0.1</v>
      </c>
      <c r="G449" s="86">
        <f>E449*(1+F449)</f>
        <v>29.084000000000003</v>
      </c>
      <c r="H449" s="79" t="s">
        <v>23</v>
      </c>
      <c r="I449" s="92"/>
      <c r="J449" s="90"/>
      <c r="K449" s="133"/>
    </row>
    <row r="450" spans="1:11" s="39" customFormat="1" ht="15.75" x14ac:dyDescent="0.2">
      <c r="A450" s="130" t="str">
        <f>IF(H450&lt;&gt;"",1+MAX($A$1:A449),"")</f>
        <v/>
      </c>
      <c r="B450" s="108"/>
      <c r="C450" s="85"/>
      <c r="D450" s="81"/>
      <c r="E450" s="8"/>
      <c r="F450" s="87"/>
      <c r="G450" s="86"/>
      <c r="H450" s="79"/>
      <c r="I450" s="92"/>
      <c r="J450" s="90"/>
      <c r="K450" s="133"/>
    </row>
    <row r="451" spans="1:11" s="39" customFormat="1" ht="15.75" x14ac:dyDescent="0.2">
      <c r="A451" s="130" t="str">
        <f>IF(H451&lt;&gt;"",1+MAX($A$1:A450),"")</f>
        <v/>
      </c>
      <c r="B451" s="108"/>
      <c r="C451" s="85"/>
      <c r="D451" s="49" t="s">
        <v>387</v>
      </c>
      <c r="E451" s="8"/>
      <c r="F451" s="87"/>
      <c r="G451" s="86"/>
      <c r="H451" s="79"/>
      <c r="I451" s="92"/>
      <c r="J451" s="90"/>
      <c r="K451" s="133"/>
    </row>
    <row r="452" spans="1:11" s="39" customFormat="1" ht="15.75" x14ac:dyDescent="0.2">
      <c r="A452" s="130">
        <f>IF(H452&lt;&gt;"",1+MAX($A$1:A451),"")</f>
        <v>260</v>
      </c>
      <c r="B452" s="164" t="s">
        <v>357</v>
      </c>
      <c r="C452" s="85"/>
      <c r="D452" s="81" t="s">
        <v>388</v>
      </c>
      <c r="E452" s="8">
        <f>391.29*4</f>
        <v>1565.16</v>
      </c>
      <c r="F452" s="87">
        <v>0.1</v>
      </c>
      <c r="G452" s="86">
        <f t="shared" ref="G452" si="43">E452*(1+F452)</f>
        <v>1721.6760000000002</v>
      </c>
      <c r="H452" s="79" t="s">
        <v>23</v>
      </c>
      <c r="I452" s="92"/>
      <c r="J452" s="90"/>
      <c r="K452" s="133"/>
    </row>
    <row r="453" spans="1:11" s="39" customFormat="1" ht="15.75" x14ac:dyDescent="0.2">
      <c r="A453" s="130">
        <f>IF(H453&lt;&gt;"",1+MAX($A$1:A452),"")</f>
        <v>261</v>
      </c>
      <c r="B453" s="164"/>
      <c r="C453" s="85"/>
      <c r="D453" s="81" t="s">
        <v>389</v>
      </c>
      <c r="E453" s="8">
        <f>35.92*4</f>
        <v>143.68</v>
      </c>
      <c r="F453" s="87">
        <v>0.1</v>
      </c>
      <c r="G453" s="86">
        <f>E453*(1+F453)</f>
        <v>158.04800000000003</v>
      </c>
      <c r="H453" s="79" t="s">
        <v>23</v>
      </c>
      <c r="I453" s="92"/>
      <c r="J453" s="90"/>
      <c r="K453" s="133"/>
    </row>
    <row r="454" spans="1:11" s="39" customFormat="1" ht="15.75" x14ac:dyDescent="0.2">
      <c r="A454" s="130">
        <f>IF(H454&lt;&gt;"",1+MAX($A$1:A453),"")</f>
        <v>262</v>
      </c>
      <c r="B454" s="164"/>
      <c r="C454" s="85"/>
      <c r="D454" s="81" t="s">
        <v>390</v>
      </c>
      <c r="E454" s="8">
        <f>36.06*4</f>
        <v>144.24</v>
      </c>
      <c r="F454" s="87">
        <v>0.1</v>
      </c>
      <c r="G454" s="86">
        <f>E454*(1+F454)</f>
        <v>158.66400000000002</v>
      </c>
      <c r="H454" s="79" t="s">
        <v>23</v>
      </c>
      <c r="I454" s="92"/>
      <c r="J454" s="90"/>
      <c r="K454" s="133"/>
    </row>
    <row r="455" spans="1:11" s="39" customFormat="1" ht="15.75" x14ac:dyDescent="0.2">
      <c r="A455" s="130">
        <f>IF(H455&lt;&gt;"",1+MAX($A$1:A454),"")</f>
        <v>263</v>
      </c>
      <c r="B455" s="164"/>
      <c r="C455" s="85"/>
      <c r="D455" s="81" t="s">
        <v>391</v>
      </c>
      <c r="E455" s="8">
        <f>26.6*4</f>
        <v>106.4</v>
      </c>
      <c r="F455" s="87">
        <v>0.1</v>
      </c>
      <c r="G455" s="86">
        <f>E455*(1+F455)</f>
        <v>117.04000000000002</v>
      </c>
      <c r="H455" s="79" t="s">
        <v>23</v>
      </c>
      <c r="I455" s="92"/>
      <c r="J455" s="90"/>
      <c r="K455" s="133"/>
    </row>
    <row r="456" spans="1:11" s="39" customFormat="1" ht="15.75" x14ac:dyDescent="0.2">
      <c r="A456" s="130" t="str">
        <f>IF(H456&lt;&gt;"",1+MAX($A$1:A455),"")</f>
        <v/>
      </c>
      <c r="B456" s="95"/>
      <c r="C456" s="85"/>
      <c r="D456" s="81"/>
      <c r="E456" s="8"/>
      <c r="F456" s="87"/>
      <c r="G456" s="86"/>
      <c r="H456" s="79"/>
      <c r="I456" s="92"/>
      <c r="J456" s="90"/>
      <c r="K456" s="133"/>
    </row>
    <row r="457" spans="1:11" s="40" customFormat="1" x14ac:dyDescent="0.2">
      <c r="A457" s="142"/>
      <c r="B457" s="97"/>
      <c r="C457" s="98"/>
      <c r="D457" s="41" t="s">
        <v>392</v>
      </c>
      <c r="E457" s="8"/>
      <c r="F457" s="85"/>
      <c r="G457" s="85"/>
      <c r="H457" s="85"/>
      <c r="I457" s="85"/>
      <c r="J457" s="85"/>
      <c r="K457" s="133"/>
    </row>
    <row r="458" spans="1:11" s="39" customFormat="1" ht="15.75" x14ac:dyDescent="0.2">
      <c r="A458" s="130">
        <f>IF(H458&lt;&gt;"",1+MAX($A$1:A457),"")</f>
        <v>264</v>
      </c>
      <c r="B458" s="164" t="s">
        <v>357</v>
      </c>
      <c r="C458" s="85"/>
      <c r="D458" s="81" t="s">
        <v>393</v>
      </c>
      <c r="E458" s="8">
        <f>38*4+4</f>
        <v>156</v>
      </c>
      <c r="F458" s="87">
        <v>0</v>
      </c>
      <c r="G458" s="86">
        <f t="shared" ref="G458:G463" si="44">E458*(1+F458)</f>
        <v>156</v>
      </c>
      <c r="H458" s="79" t="s">
        <v>21</v>
      </c>
      <c r="I458" s="92"/>
      <c r="J458" s="90"/>
      <c r="K458" s="133"/>
    </row>
    <row r="459" spans="1:11" s="39" customFormat="1" ht="15.75" x14ac:dyDescent="0.2">
      <c r="A459" s="130">
        <f>IF(H459&lt;&gt;"",1+MAX($A$1:A458),"")</f>
        <v>265</v>
      </c>
      <c r="B459" s="164"/>
      <c r="C459" s="85"/>
      <c r="D459" s="81" t="s">
        <v>394</v>
      </c>
      <c r="E459" s="8">
        <v>5</v>
      </c>
      <c r="F459" s="87">
        <v>0</v>
      </c>
      <c r="G459" s="86">
        <f t="shared" si="44"/>
        <v>5</v>
      </c>
      <c r="H459" s="79" t="s">
        <v>21</v>
      </c>
      <c r="I459" s="92"/>
      <c r="J459" s="90"/>
      <c r="K459" s="133"/>
    </row>
    <row r="460" spans="1:11" s="39" customFormat="1" ht="15.75" x14ac:dyDescent="0.2">
      <c r="A460" s="130">
        <f>IF(H460&lt;&gt;"",1+MAX($A$1:A459),"")</f>
        <v>266</v>
      </c>
      <c r="B460" s="164"/>
      <c r="C460" s="85"/>
      <c r="D460" s="81" t="s">
        <v>395</v>
      </c>
      <c r="E460" s="8">
        <v>20</v>
      </c>
      <c r="F460" s="87">
        <v>0</v>
      </c>
      <c r="G460" s="86">
        <f t="shared" si="44"/>
        <v>20</v>
      </c>
      <c r="H460" s="79" t="s">
        <v>21</v>
      </c>
      <c r="I460" s="92"/>
      <c r="J460" s="90"/>
      <c r="K460" s="133"/>
    </row>
    <row r="461" spans="1:11" s="39" customFormat="1" ht="15.75" x14ac:dyDescent="0.2">
      <c r="A461" s="130">
        <f>IF(H461&lt;&gt;"",1+MAX($A$1:A460),"")</f>
        <v>267</v>
      </c>
      <c r="B461" s="164"/>
      <c r="C461" s="85"/>
      <c r="D461" s="81" t="s">
        <v>396</v>
      </c>
      <c r="E461" s="8">
        <v>1</v>
      </c>
      <c r="F461" s="87">
        <v>0</v>
      </c>
      <c r="G461" s="86">
        <f t="shared" si="44"/>
        <v>1</v>
      </c>
      <c r="H461" s="79" t="s">
        <v>21</v>
      </c>
      <c r="I461" s="92"/>
      <c r="J461" s="90"/>
      <c r="K461" s="133"/>
    </row>
    <row r="462" spans="1:11" s="39" customFormat="1" ht="30" x14ac:dyDescent="0.2">
      <c r="A462" s="130">
        <f>IF(H462&lt;&gt;"",1+MAX($A$1:A461),"")</f>
        <v>268</v>
      </c>
      <c r="B462" s="110"/>
      <c r="C462" s="85"/>
      <c r="D462" s="81" t="s">
        <v>397</v>
      </c>
      <c r="E462" s="8">
        <v>5</v>
      </c>
      <c r="F462" s="87">
        <v>0</v>
      </c>
      <c r="G462" s="86">
        <f t="shared" si="44"/>
        <v>5</v>
      </c>
      <c r="H462" s="79" t="s">
        <v>21</v>
      </c>
      <c r="I462" s="92"/>
      <c r="J462" s="90"/>
      <c r="K462" s="133"/>
    </row>
    <row r="463" spans="1:11" s="39" customFormat="1" ht="30" x14ac:dyDescent="0.2">
      <c r="A463" s="130">
        <f>IF(H463&lt;&gt;"",1+MAX($A$1:A462),"")</f>
        <v>269</v>
      </c>
      <c r="B463" s="110"/>
      <c r="C463" s="85"/>
      <c r="D463" s="81" t="s">
        <v>398</v>
      </c>
      <c r="E463" s="8">
        <v>3</v>
      </c>
      <c r="F463" s="87">
        <v>0</v>
      </c>
      <c r="G463" s="86">
        <f t="shared" si="44"/>
        <v>3</v>
      </c>
      <c r="H463" s="79" t="s">
        <v>21</v>
      </c>
      <c r="I463" s="92"/>
      <c r="J463" s="90"/>
      <c r="K463" s="133"/>
    </row>
    <row r="464" spans="1:11" s="39" customFormat="1" ht="15.75" x14ac:dyDescent="0.2">
      <c r="A464" s="130" t="str">
        <f>IF(G464&lt;&gt;"",1+MAX($A$1:A461),"")</f>
        <v/>
      </c>
      <c r="B464" s="108"/>
      <c r="C464" s="85"/>
      <c r="D464" s="81"/>
      <c r="E464" s="8"/>
      <c r="F464" s="87"/>
      <c r="G464" s="86"/>
      <c r="H464" s="79"/>
      <c r="I464" s="92"/>
      <c r="J464" s="90"/>
      <c r="K464" s="133"/>
    </row>
    <row r="465" spans="1:11" s="40" customFormat="1" x14ac:dyDescent="0.2">
      <c r="A465" s="142"/>
      <c r="B465" s="97"/>
      <c r="C465" s="98"/>
      <c r="D465" s="41" t="s">
        <v>399</v>
      </c>
      <c r="E465" s="8"/>
      <c r="F465" s="85"/>
      <c r="G465" s="85"/>
      <c r="H465" s="85"/>
      <c r="I465" s="85"/>
      <c r="J465" s="85"/>
      <c r="K465" s="133"/>
    </row>
    <row r="466" spans="1:11" s="39" customFormat="1" ht="15.75" x14ac:dyDescent="0.2">
      <c r="A466" s="130" t="str">
        <f>IF(H466&lt;&gt;"",1+MAX($A$1:A465),"")</f>
        <v/>
      </c>
      <c r="B466" s="108"/>
      <c r="C466" s="85"/>
      <c r="D466" s="81"/>
      <c r="E466" s="8"/>
      <c r="F466" s="87"/>
      <c r="G466" s="86"/>
      <c r="H466" s="79"/>
      <c r="I466" s="92"/>
      <c r="J466" s="90"/>
      <c r="K466" s="133"/>
    </row>
    <row r="467" spans="1:11" s="39" customFormat="1" ht="15.75" x14ac:dyDescent="0.2">
      <c r="A467" s="130">
        <f>IF(H467&lt;&gt;"",1+MAX($A$1:A466),"")</f>
        <v>270</v>
      </c>
      <c r="B467" s="164" t="s">
        <v>357</v>
      </c>
      <c r="C467" s="85"/>
      <c r="D467" s="81" t="s">
        <v>400</v>
      </c>
      <c r="E467" s="8">
        <f>4*4+4</f>
        <v>20</v>
      </c>
      <c r="F467" s="87">
        <v>0</v>
      </c>
      <c r="G467" s="86">
        <f>E467*(1+F467)</f>
        <v>20</v>
      </c>
      <c r="H467" s="79" t="s">
        <v>21</v>
      </c>
      <c r="I467" s="92"/>
      <c r="J467" s="90"/>
      <c r="K467" s="133"/>
    </row>
    <row r="468" spans="1:11" s="39" customFormat="1" ht="15.75" x14ac:dyDescent="0.2">
      <c r="A468" s="130">
        <f>IF(H468&lt;&gt;"",1+MAX($A$1:A467),"")</f>
        <v>271</v>
      </c>
      <c r="B468" s="164"/>
      <c r="C468" s="85"/>
      <c r="D468" s="81" t="s">
        <v>401</v>
      </c>
      <c r="E468" s="8">
        <f>7*4</f>
        <v>28</v>
      </c>
      <c r="F468" s="87">
        <v>0</v>
      </c>
      <c r="G468" s="86">
        <f>E468*(1+F468)</f>
        <v>28</v>
      </c>
      <c r="H468" s="79" t="s">
        <v>21</v>
      </c>
      <c r="I468" s="92"/>
      <c r="J468" s="90"/>
      <c r="K468" s="133"/>
    </row>
    <row r="469" spans="1:11" s="39" customFormat="1" ht="15.75" x14ac:dyDescent="0.2">
      <c r="A469" s="130">
        <f>IF(H469&lt;&gt;"",1+MAX($A$1:A468),"")</f>
        <v>272</v>
      </c>
      <c r="B469" s="164"/>
      <c r="C469" s="85"/>
      <c r="D469" s="81" t="s">
        <v>402</v>
      </c>
      <c r="E469" s="8">
        <f>4*4</f>
        <v>16</v>
      </c>
      <c r="F469" s="87">
        <v>0</v>
      </c>
      <c r="G469" s="86">
        <f>E469*(1+F469)</f>
        <v>16</v>
      </c>
      <c r="H469" s="79" t="s">
        <v>21</v>
      </c>
      <c r="I469" s="92"/>
      <c r="J469" s="90"/>
      <c r="K469" s="133"/>
    </row>
    <row r="470" spans="1:11" s="39" customFormat="1" ht="15.75" x14ac:dyDescent="0.2">
      <c r="A470" s="130" t="str">
        <f>IF(H470&lt;&gt;"",1+MAX($A$1:A469),"")</f>
        <v/>
      </c>
      <c r="B470" s="95"/>
      <c r="C470" s="85"/>
      <c r="D470" s="81"/>
      <c r="E470" s="8"/>
      <c r="F470" s="87"/>
      <c r="G470" s="86"/>
      <c r="H470" s="79"/>
      <c r="I470" s="92"/>
      <c r="J470" s="90"/>
      <c r="K470" s="133"/>
    </row>
    <row r="471" spans="1:11" s="40" customFormat="1" x14ac:dyDescent="0.2">
      <c r="A471" s="142"/>
      <c r="B471" s="97"/>
      <c r="C471" s="98"/>
      <c r="D471" s="41" t="s">
        <v>403</v>
      </c>
      <c r="E471" s="8"/>
      <c r="F471" s="85"/>
      <c r="G471" s="85"/>
      <c r="H471" s="85"/>
      <c r="I471" s="85"/>
      <c r="J471" s="85"/>
      <c r="K471" s="133"/>
    </row>
    <row r="472" spans="1:11" s="39" customFormat="1" ht="30" x14ac:dyDescent="0.2">
      <c r="A472" s="130">
        <f>IF(H472&lt;&gt;"",1+MAX($A$1:A471),"")</f>
        <v>273</v>
      </c>
      <c r="B472" s="79"/>
      <c r="C472" s="85"/>
      <c r="D472" s="81" t="s">
        <v>404</v>
      </c>
      <c r="E472" s="8">
        <v>1</v>
      </c>
      <c r="F472" s="87">
        <v>0</v>
      </c>
      <c r="G472" s="86">
        <f t="shared" ref="G472" si="45">E472*(1+F472)</f>
        <v>1</v>
      </c>
      <c r="H472" s="79" t="s">
        <v>21</v>
      </c>
      <c r="I472" s="92"/>
      <c r="J472" s="90"/>
      <c r="K472" s="133"/>
    </row>
    <row r="473" spans="1:11" s="39" customFormat="1" ht="15.75" x14ac:dyDescent="0.2">
      <c r="A473" s="130">
        <f>IF(H473&lt;&gt;"",1+MAX($A$1:A472),"")</f>
        <v>274</v>
      </c>
      <c r="B473" s="164" t="s">
        <v>405</v>
      </c>
      <c r="C473" s="85"/>
      <c r="D473" s="81" t="s">
        <v>406</v>
      </c>
      <c r="E473" s="8">
        <v>1</v>
      </c>
      <c r="F473" s="87">
        <v>0</v>
      </c>
      <c r="G473" s="86">
        <f t="shared" ref="G473" si="46">E473*(1+F473)</f>
        <v>1</v>
      </c>
      <c r="H473" s="79" t="s">
        <v>21</v>
      </c>
      <c r="I473" s="92"/>
      <c r="J473" s="90"/>
      <c r="K473" s="133"/>
    </row>
    <row r="474" spans="1:11" s="39" customFormat="1" ht="30" x14ac:dyDescent="0.2">
      <c r="A474" s="130">
        <f>IF(H474&lt;&gt;"",1+MAX($A$1:A473),"")</f>
        <v>275</v>
      </c>
      <c r="B474" s="164"/>
      <c r="C474" s="85"/>
      <c r="D474" s="81" t="s">
        <v>407</v>
      </c>
      <c r="E474" s="8">
        <v>1</v>
      </c>
      <c r="F474" s="87">
        <v>0</v>
      </c>
      <c r="G474" s="86">
        <f t="shared" ref="G474" si="47">E474*(1+F474)</f>
        <v>1</v>
      </c>
      <c r="H474" s="79" t="s">
        <v>21</v>
      </c>
      <c r="I474" s="92"/>
      <c r="J474" s="90"/>
      <c r="K474" s="133"/>
    </row>
    <row r="475" spans="1:11" s="39" customFormat="1" ht="15.75" x14ac:dyDescent="0.2">
      <c r="A475" s="130" t="str">
        <f>IF(H475&lt;&gt;"",1+MAX($A$1:A474),"")</f>
        <v/>
      </c>
      <c r="B475" s="93"/>
      <c r="C475" s="85"/>
      <c r="D475" s="81"/>
      <c r="E475" s="88"/>
      <c r="F475" s="87"/>
      <c r="G475" s="86"/>
      <c r="H475" s="79"/>
      <c r="I475" s="92"/>
      <c r="J475" s="90"/>
      <c r="K475" s="133"/>
    </row>
    <row r="476" spans="1:11" s="39" customFormat="1" ht="45" x14ac:dyDescent="0.2">
      <c r="A476" s="155">
        <f>IF(H476&lt;&gt;"",1+MAX($A$1:A475),"")</f>
        <v>276</v>
      </c>
      <c r="B476" s="109"/>
      <c r="C476" s="17"/>
      <c r="D476" s="64" t="s">
        <v>408</v>
      </c>
      <c r="E476" s="8">
        <v>1</v>
      </c>
      <c r="F476" s="2">
        <v>0</v>
      </c>
      <c r="G476" s="8">
        <f t="shared" ref="G476" si="48">E476*(1+F476)</f>
        <v>1</v>
      </c>
      <c r="H476" s="18" t="s">
        <v>15</v>
      </c>
      <c r="I476" s="55"/>
      <c r="J476" s="3"/>
      <c r="K476" s="127"/>
    </row>
    <row r="477" spans="1:11" s="39" customFormat="1" ht="16.5" thickBot="1" x14ac:dyDescent="0.25">
      <c r="A477" s="155"/>
      <c r="B477" s="80"/>
      <c r="C477" s="17"/>
      <c r="D477" s="64"/>
      <c r="E477" s="8"/>
      <c r="F477" s="2"/>
      <c r="G477" s="8"/>
      <c r="H477" s="18"/>
      <c r="I477" s="55"/>
      <c r="J477" s="3"/>
      <c r="K477" s="127"/>
    </row>
    <row r="478" spans="1:11" s="40" customFormat="1" ht="16.5" thickBot="1" x14ac:dyDescent="0.25">
      <c r="A478" s="141" t="str">
        <f>IF(H478&lt;&gt;"",1+MAX(#REF!),"")</f>
        <v/>
      </c>
      <c r="B478" s="36"/>
      <c r="C478" s="37" t="s">
        <v>409</v>
      </c>
      <c r="D478" s="38" t="s">
        <v>410</v>
      </c>
      <c r="E478" s="84"/>
      <c r="F478" s="84"/>
      <c r="G478" s="84"/>
      <c r="H478" s="84"/>
      <c r="I478" s="84"/>
      <c r="J478" s="84"/>
      <c r="K478" s="129">
        <f>SUM(J479:J540)</f>
        <v>0</v>
      </c>
    </row>
    <row r="479" spans="1:11" x14ac:dyDescent="0.2">
      <c r="A479" s="130" t="str">
        <f>IF(H479&lt;&gt;"",1+MAX($A$1:A478),"")</f>
        <v/>
      </c>
      <c r="B479" s="114"/>
      <c r="C479" s="85"/>
      <c r="D479" s="85"/>
      <c r="E479" s="85"/>
      <c r="F479" s="85"/>
      <c r="G479" s="85"/>
      <c r="H479" s="85"/>
      <c r="I479" s="85"/>
      <c r="J479" s="85"/>
      <c r="K479" s="133"/>
    </row>
    <row r="480" spans="1:11" s="63" customFormat="1" ht="45" x14ac:dyDescent="0.2">
      <c r="A480" s="155">
        <f>IF(H480&lt;&gt;"",1+MAX($A$1:A479),"")</f>
        <v>277</v>
      </c>
      <c r="B480" s="109"/>
      <c r="C480" s="17"/>
      <c r="D480" s="64" t="s">
        <v>411</v>
      </c>
      <c r="E480" s="8">
        <v>1</v>
      </c>
      <c r="F480" s="2">
        <v>0</v>
      </c>
      <c r="G480" s="8">
        <f t="shared" ref="G480" si="49">E480*(1+F480)</f>
        <v>1</v>
      </c>
      <c r="H480" s="18" t="s">
        <v>15</v>
      </c>
      <c r="I480" s="55"/>
      <c r="J480" s="3"/>
      <c r="K480" s="127"/>
    </row>
    <row r="481" spans="1:11" x14ac:dyDescent="0.2">
      <c r="A481" s="155" t="str">
        <f>IF(H481&lt;&gt;"",1+MAX($A$1:A480),"")</f>
        <v/>
      </c>
      <c r="B481" s="111"/>
      <c r="C481" s="57"/>
      <c r="D481" s="74"/>
      <c r="E481" s="8"/>
      <c r="F481" s="59"/>
      <c r="G481" s="8"/>
      <c r="H481" s="18"/>
      <c r="I481" s="61"/>
      <c r="J481" s="62"/>
      <c r="K481" s="146"/>
    </row>
    <row r="482" spans="1:11" ht="30" x14ac:dyDescent="0.2">
      <c r="A482" s="155">
        <f>IF(H482&lt;&gt;"",1+MAX($A$1:A481),"")</f>
        <v>278</v>
      </c>
      <c r="B482" s="163" t="s">
        <v>412</v>
      </c>
      <c r="C482" s="17"/>
      <c r="D482" s="64" t="s">
        <v>413</v>
      </c>
      <c r="E482" s="8">
        <v>17</v>
      </c>
      <c r="F482" s="2">
        <v>0</v>
      </c>
      <c r="G482" s="8">
        <f t="shared" ref="G482:G496" si="50">E482*(1+F482)</f>
        <v>17</v>
      </c>
      <c r="H482" s="18" t="s">
        <v>21</v>
      </c>
      <c r="I482" s="55"/>
      <c r="J482" s="3"/>
      <c r="K482" s="127"/>
    </row>
    <row r="483" spans="1:11" s="63" customFormat="1" x14ac:dyDescent="0.2">
      <c r="A483" s="155">
        <f>IF(H483&lt;&gt;"",1+MAX($A$1:A482),"")</f>
        <v>279</v>
      </c>
      <c r="B483" s="163"/>
      <c r="C483" s="17"/>
      <c r="D483" s="64" t="s">
        <v>414</v>
      </c>
      <c r="E483" s="8">
        <v>26</v>
      </c>
      <c r="F483" s="2">
        <v>0</v>
      </c>
      <c r="G483" s="8">
        <f t="shared" si="50"/>
        <v>26</v>
      </c>
      <c r="H483" s="18" t="s">
        <v>21</v>
      </c>
      <c r="I483" s="55"/>
      <c r="J483" s="3"/>
      <c r="K483" s="127"/>
    </row>
    <row r="484" spans="1:11" x14ac:dyDescent="0.2">
      <c r="A484" s="155">
        <f>IF(H484&lt;&gt;"",1+MAX($A$1:A483),"")</f>
        <v>280</v>
      </c>
      <c r="B484" s="163"/>
      <c r="C484" s="57"/>
      <c r="D484" s="64" t="s">
        <v>415</v>
      </c>
      <c r="E484" s="8">
        <v>8</v>
      </c>
      <c r="F484" s="59">
        <v>0</v>
      </c>
      <c r="G484" s="8">
        <f t="shared" si="50"/>
        <v>8</v>
      </c>
      <c r="H484" s="18" t="s">
        <v>21</v>
      </c>
      <c r="I484" s="61"/>
      <c r="J484" s="62"/>
      <c r="K484" s="146"/>
    </row>
    <row r="485" spans="1:11" x14ac:dyDescent="0.2">
      <c r="A485" s="155">
        <f>IF(H485&lt;&gt;"",1+MAX($A$1:A484),"")</f>
        <v>281</v>
      </c>
      <c r="B485" s="163"/>
      <c r="C485" s="17"/>
      <c r="D485" s="64" t="s">
        <v>416</v>
      </c>
      <c r="E485" s="8">
        <v>11</v>
      </c>
      <c r="F485" s="2">
        <v>0</v>
      </c>
      <c r="G485" s="8">
        <f t="shared" si="50"/>
        <v>11</v>
      </c>
      <c r="H485" s="18" t="s">
        <v>21</v>
      </c>
      <c r="I485" s="55"/>
      <c r="J485" s="3"/>
      <c r="K485" s="127"/>
    </row>
    <row r="486" spans="1:11" ht="30" x14ac:dyDescent="0.2">
      <c r="A486" s="155">
        <f>IF(H486&lt;&gt;"",1+MAX($A$1:A485),"")</f>
        <v>282</v>
      </c>
      <c r="B486" s="163"/>
      <c r="C486" s="17"/>
      <c r="D486" s="64" t="s">
        <v>417</v>
      </c>
      <c r="E486" s="8">
        <v>31</v>
      </c>
      <c r="F486" s="2">
        <v>0</v>
      </c>
      <c r="G486" s="8">
        <f t="shared" si="50"/>
        <v>31</v>
      </c>
      <c r="H486" s="18" t="s">
        <v>21</v>
      </c>
      <c r="I486" s="55"/>
      <c r="J486" s="3"/>
      <c r="K486" s="127"/>
    </row>
    <row r="487" spans="1:11" x14ac:dyDescent="0.2">
      <c r="A487" s="155">
        <f>IF(H487&lt;&gt;"",1+MAX($A$1:A486),"")</f>
        <v>283</v>
      </c>
      <c r="B487" s="163"/>
      <c r="C487" s="17"/>
      <c r="D487" s="64" t="s">
        <v>418</v>
      </c>
      <c r="E487" s="8">
        <v>7</v>
      </c>
      <c r="F487" s="2">
        <v>0</v>
      </c>
      <c r="G487" s="8">
        <f t="shared" si="50"/>
        <v>7</v>
      </c>
      <c r="H487" s="18" t="s">
        <v>21</v>
      </c>
      <c r="I487" s="55"/>
      <c r="J487" s="3"/>
      <c r="K487" s="127"/>
    </row>
    <row r="488" spans="1:11" x14ac:dyDescent="0.2">
      <c r="A488" s="155">
        <f>IF(H488&lt;&gt;"",1+MAX($A$1:A487),"")</f>
        <v>284</v>
      </c>
      <c r="B488" s="163"/>
      <c r="C488" s="17"/>
      <c r="D488" s="64" t="s">
        <v>419</v>
      </c>
      <c r="E488" s="8">
        <v>2</v>
      </c>
      <c r="F488" s="2">
        <v>0</v>
      </c>
      <c r="G488" s="8">
        <f t="shared" si="50"/>
        <v>2</v>
      </c>
      <c r="H488" s="18" t="s">
        <v>21</v>
      </c>
      <c r="I488" s="55"/>
      <c r="J488" s="3"/>
      <c r="K488" s="127"/>
    </row>
    <row r="489" spans="1:11" ht="30" x14ac:dyDescent="0.2">
      <c r="A489" s="155">
        <f>IF(H489&lt;&gt;"",1+MAX($A$1:A488),"")</f>
        <v>285</v>
      </c>
      <c r="B489" s="163"/>
      <c r="C489" s="17"/>
      <c r="D489" s="64" t="s">
        <v>420</v>
      </c>
      <c r="E489" s="8">
        <v>69</v>
      </c>
      <c r="F489" s="2">
        <v>0</v>
      </c>
      <c r="G489" s="8">
        <f t="shared" si="50"/>
        <v>69</v>
      </c>
      <c r="H489" s="18" t="s">
        <v>21</v>
      </c>
      <c r="I489" s="55"/>
      <c r="J489" s="3"/>
      <c r="K489" s="127"/>
    </row>
    <row r="490" spans="1:11" x14ac:dyDescent="0.2">
      <c r="A490" s="155">
        <f>IF(H490&lt;&gt;"",1+MAX($A$1:A489),"")</f>
        <v>286</v>
      </c>
      <c r="B490" s="163"/>
      <c r="C490" s="17"/>
      <c r="D490" s="64" t="s">
        <v>421</v>
      </c>
      <c r="E490" s="8">
        <v>30</v>
      </c>
      <c r="F490" s="2">
        <v>0</v>
      </c>
      <c r="G490" s="8">
        <f t="shared" si="50"/>
        <v>30</v>
      </c>
      <c r="H490" s="18" t="s">
        <v>21</v>
      </c>
      <c r="I490" s="55"/>
      <c r="J490" s="3"/>
      <c r="K490" s="127"/>
    </row>
    <row r="491" spans="1:11" x14ac:dyDescent="0.2">
      <c r="A491" s="155">
        <f>IF(H491&lt;&gt;"",1+MAX($A$1:A490),"")</f>
        <v>287</v>
      </c>
      <c r="B491" s="163"/>
      <c r="C491" s="17"/>
      <c r="D491" s="64" t="s">
        <v>422</v>
      </c>
      <c r="E491" s="8">
        <v>20</v>
      </c>
      <c r="F491" s="2">
        <v>0</v>
      </c>
      <c r="G491" s="8">
        <f t="shared" si="50"/>
        <v>20</v>
      </c>
      <c r="H491" s="18" t="s">
        <v>21</v>
      </c>
      <c r="I491" s="55"/>
      <c r="J491" s="3"/>
      <c r="K491" s="127"/>
    </row>
    <row r="492" spans="1:11" x14ac:dyDescent="0.2">
      <c r="A492" s="155">
        <f>IF(H492&lt;&gt;"",1+MAX($A$1:A491),"")</f>
        <v>288</v>
      </c>
      <c r="B492" s="163"/>
      <c r="C492" s="17"/>
      <c r="D492" s="64" t="s">
        <v>423</v>
      </c>
      <c r="E492" s="8">
        <v>20</v>
      </c>
      <c r="F492" s="2">
        <v>0</v>
      </c>
      <c r="G492" s="8">
        <f t="shared" si="50"/>
        <v>20</v>
      </c>
      <c r="H492" s="18" t="s">
        <v>21</v>
      </c>
      <c r="I492" s="55"/>
      <c r="J492" s="3"/>
      <c r="K492" s="127"/>
    </row>
    <row r="493" spans="1:11" x14ac:dyDescent="0.2">
      <c r="A493" s="155">
        <f>IF(H493&lt;&gt;"",1+MAX($A$1:A492),"")</f>
        <v>289</v>
      </c>
      <c r="B493" s="163"/>
      <c r="C493" s="17"/>
      <c r="D493" s="64" t="s">
        <v>424</v>
      </c>
      <c r="E493" s="8">
        <v>40</v>
      </c>
      <c r="F493" s="2">
        <v>0</v>
      </c>
      <c r="G493" s="8">
        <f t="shared" si="50"/>
        <v>40</v>
      </c>
      <c r="H493" s="18" t="s">
        <v>21</v>
      </c>
      <c r="I493" s="55"/>
      <c r="J493" s="3"/>
      <c r="K493" s="127"/>
    </row>
    <row r="494" spans="1:11" x14ac:dyDescent="0.2">
      <c r="A494" s="155">
        <f>IF(H494&lt;&gt;"",1+MAX($A$1:A493),"")</f>
        <v>290</v>
      </c>
      <c r="B494" s="163"/>
      <c r="C494" s="17"/>
      <c r="D494" s="64" t="s">
        <v>425</v>
      </c>
      <c r="E494" s="8">
        <v>35</v>
      </c>
      <c r="F494" s="2">
        <v>0</v>
      </c>
      <c r="G494" s="8">
        <f t="shared" si="50"/>
        <v>35</v>
      </c>
      <c r="H494" s="18" t="s">
        <v>21</v>
      </c>
      <c r="I494" s="55"/>
      <c r="J494" s="3"/>
      <c r="K494" s="127"/>
    </row>
    <row r="495" spans="1:11" x14ac:dyDescent="0.2">
      <c r="A495" s="155">
        <f>IF(H495&lt;&gt;"",1+MAX($A$1:A494),"")</f>
        <v>291</v>
      </c>
      <c r="B495" s="163"/>
      <c r="C495" s="17"/>
      <c r="D495" s="64" t="s">
        <v>426</v>
      </c>
      <c r="E495" s="8">
        <v>5</v>
      </c>
      <c r="F495" s="2">
        <v>0</v>
      </c>
      <c r="G495" s="8">
        <f t="shared" si="50"/>
        <v>5</v>
      </c>
      <c r="H495" s="18" t="s">
        <v>21</v>
      </c>
      <c r="I495" s="55"/>
      <c r="J495" s="3"/>
      <c r="K495" s="127"/>
    </row>
    <row r="496" spans="1:11" ht="30" x14ac:dyDescent="0.2">
      <c r="A496" s="155">
        <f>IF(H496&lt;&gt;"",1+MAX($A$1:A495),"")</f>
        <v>292</v>
      </c>
      <c r="B496" s="163"/>
      <c r="C496" s="17"/>
      <c r="D496" s="64" t="s">
        <v>427</v>
      </c>
      <c r="E496" s="8">
        <v>55</v>
      </c>
      <c r="F496" s="2">
        <v>0</v>
      </c>
      <c r="G496" s="8">
        <f t="shared" si="50"/>
        <v>55</v>
      </c>
      <c r="H496" s="18" t="s">
        <v>21</v>
      </c>
      <c r="I496" s="55"/>
      <c r="J496" s="3"/>
      <c r="K496" s="127"/>
    </row>
    <row r="497" spans="1:11" s="63" customFormat="1" x14ac:dyDescent="0.2">
      <c r="A497" s="155"/>
      <c r="B497" s="109"/>
      <c r="C497" s="17"/>
      <c r="D497" s="64"/>
      <c r="E497" s="8"/>
      <c r="F497" s="2"/>
      <c r="G497" s="8"/>
      <c r="H497" s="18"/>
      <c r="I497" s="55"/>
      <c r="J497" s="3"/>
      <c r="K497" s="127"/>
    </row>
    <row r="498" spans="1:11" x14ac:dyDescent="0.2">
      <c r="A498" s="155"/>
      <c r="B498" s="111"/>
      <c r="C498" s="57"/>
      <c r="D498" s="76" t="s">
        <v>428</v>
      </c>
      <c r="E498" s="8"/>
      <c r="F498" s="59"/>
      <c r="G498" s="8"/>
      <c r="H498" s="18"/>
      <c r="I498" s="61"/>
      <c r="J498" s="62"/>
      <c r="K498" s="146"/>
    </row>
    <row r="499" spans="1:11" x14ac:dyDescent="0.2">
      <c r="A499" s="155">
        <f>IF(H499&lt;&gt;"",1+MAX($A$1:A498),"")</f>
        <v>293</v>
      </c>
      <c r="B499" s="163" t="s">
        <v>412</v>
      </c>
      <c r="C499" s="17"/>
      <c r="D499" s="64" t="s">
        <v>429</v>
      </c>
      <c r="E499" s="8">
        <v>183</v>
      </c>
      <c r="F499" s="2">
        <v>0</v>
      </c>
      <c r="G499" s="8">
        <f t="shared" ref="G499:G500" si="51">E499*(1+F499)</f>
        <v>183</v>
      </c>
      <c r="H499" s="18" t="s">
        <v>21</v>
      </c>
      <c r="I499" s="55"/>
      <c r="J499" s="3"/>
      <c r="K499" s="127"/>
    </row>
    <row r="500" spans="1:11" ht="15.75" customHeight="1" x14ac:dyDescent="0.2">
      <c r="A500" s="155">
        <f>IF(H500&lt;&gt;"",1+MAX($A$1:A499),"")</f>
        <v>294</v>
      </c>
      <c r="B500" s="163"/>
      <c r="C500" s="17"/>
      <c r="D500" s="64" t="s">
        <v>430</v>
      </c>
      <c r="E500" s="8">
        <v>67</v>
      </c>
      <c r="F500" s="2">
        <v>0</v>
      </c>
      <c r="G500" s="8">
        <f t="shared" si="51"/>
        <v>67</v>
      </c>
      <c r="H500" s="18" t="s">
        <v>21</v>
      </c>
      <c r="I500" s="55"/>
      <c r="J500" s="3"/>
      <c r="K500" s="127"/>
    </row>
    <row r="501" spans="1:11" s="63" customFormat="1" x14ac:dyDescent="0.2">
      <c r="A501" s="155"/>
      <c r="B501" s="109"/>
      <c r="C501" s="17"/>
      <c r="D501" s="64"/>
      <c r="E501" s="8"/>
      <c r="F501" s="2"/>
      <c r="G501" s="8"/>
      <c r="H501" s="18"/>
      <c r="I501" s="55"/>
      <c r="J501" s="3"/>
      <c r="K501" s="127"/>
    </row>
    <row r="502" spans="1:11" x14ac:dyDescent="0.2">
      <c r="A502" s="155"/>
      <c r="B502" s="111"/>
      <c r="C502" s="57"/>
      <c r="D502" s="76" t="s">
        <v>431</v>
      </c>
      <c r="E502" s="8"/>
      <c r="F502" s="59"/>
      <c r="G502" s="8"/>
      <c r="H502" s="18"/>
      <c r="I502" s="61"/>
      <c r="J502" s="62"/>
      <c r="K502" s="146"/>
    </row>
    <row r="503" spans="1:11" x14ac:dyDescent="0.2">
      <c r="A503" s="155">
        <f>IF(H503&lt;&gt;"",1+MAX($A$1:A502),"")</f>
        <v>295</v>
      </c>
      <c r="B503" s="109" t="s">
        <v>412</v>
      </c>
      <c r="C503" s="17"/>
      <c r="D503" s="64" t="s">
        <v>418</v>
      </c>
      <c r="E503" s="8">
        <v>30</v>
      </c>
      <c r="F503" s="2">
        <v>0</v>
      </c>
      <c r="G503" s="8">
        <f t="shared" ref="G503" si="52">E503*(1+F503)</f>
        <v>30</v>
      </c>
      <c r="H503" s="18" t="s">
        <v>21</v>
      </c>
      <c r="I503" s="55"/>
      <c r="J503" s="3"/>
      <c r="K503" s="127"/>
    </row>
    <row r="504" spans="1:11" s="63" customFormat="1" x14ac:dyDescent="0.2">
      <c r="A504" s="155"/>
      <c r="B504" s="109"/>
      <c r="C504" s="17"/>
      <c r="D504" s="22"/>
      <c r="E504" s="8"/>
      <c r="F504" s="2"/>
      <c r="G504" s="8"/>
      <c r="H504" s="18"/>
      <c r="I504" s="55"/>
      <c r="J504" s="3"/>
      <c r="K504" s="127"/>
    </row>
    <row r="505" spans="1:11" x14ac:dyDescent="0.2">
      <c r="A505" s="155"/>
      <c r="B505" s="111"/>
      <c r="C505" s="57"/>
      <c r="D505" s="76" t="s">
        <v>432</v>
      </c>
      <c r="E505" s="8"/>
      <c r="F505" s="59"/>
      <c r="G505" s="8"/>
      <c r="H505" s="18"/>
      <c r="I505" s="61"/>
      <c r="J505" s="62"/>
      <c r="K505" s="146"/>
    </row>
    <row r="506" spans="1:11" x14ac:dyDescent="0.2">
      <c r="A506" s="155">
        <f>IF(H506&lt;&gt;"",1+MAX($A$1:A505),"")</f>
        <v>296</v>
      </c>
      <c r="B506" s="163" t="s">
        <v>433</v>
      </c>
      <c r="C506" s="17"/>
      <c r="D506" s="64" t="s">
        <v>434</v>
      </c>
      <c r="E506" s="8">
        <v>303</v>
      </c>
      <c r="F506" s="2">
        <v>0</v>
      </c>
      <c r="G506" s="8">
        <f t="shared" ref="G506:G511" si="53">E506*(1+F506)</f>
        <v>303</v>
      </c>
      <c r="H506" s="18" t="s">
        <v>21</v>
      </c>
      <c r="I506" s="55"/>
      <c r="J506" s="3"/>
      <c r="K506" s="127"/>
    </row>
    <row r="507" spans="1:11" ht="30" x14ac:dyDescent="0.2">
      <c r="A507" s="155">
        <f>IF(H507&lt;&gt;"",1+MAX($A$1:A506),"")</f>
        <v>297</v>
      </c>
      <c r="B507" s="163"/>
      <c r="C507" s="17"/>
      <c r="D507" s="64" t="s">
        <v>435</v>
      </c>
      <c r="E507" s="8">
        <v>42</v>
      </c>
      <c r="F507" s="2">
        <v>0</v>
      </c>
      <c r="G507" s="8">
        <f t="shared" si="53"/>
        <v>42</v>
      </c>
      <c r="H507" s="18" t="s">
        <v>21</v>
      </c>
      <c r="I507" s="55"/>
      <c r="J507" s="3"/>
      <c r="K507" s="127"/>
    </row>
    <row r="508" spans="1:11" x14ac:dyDescent="0.2">
      <c r="A508" s="155">
        <f>IF(H508&lt;&gt;"",1+MAX($A$1:A507),"")</f>
        <v>298</v>
      </c>
      <c r="B508" s="163"/>
      <c r="C508" s="17"/>
      <c r="D508" s="64" t="s">
        <v>436</v>
      </c>
      <c r="E508" s="8">
        <v>147</v>
      </c>
      <c r="F508" s="2">
        <v>0</v>
      </c>
      <c r="G508" s="8">
        <f t="shared" si="53"/>
        <v>147</v>
      </c>
      <c r="H508" s="18" t="s">
        <v>21</v>
      </c>
      <c r="I508" s="55"/>
      <c r="J508" s="3"/>
      <c r="K508" s="127"/>
    </row>
    <row r="509" spans="1:11" ht="30" x14ac:dyDescent="0.2">
      <c r="A509" s="155">
        <f>IF(H509&lt;&gt;"",1+MAX($A$1:A508),"")</f>
        <v>299</v>
      </c>
      <c r="B509" s="163"/>
      <c r="C509" s="17"/>
      <c r="D509" s="64" t="s">
        <v>437</v>
      </c>
      <c r="E509" s="8">
        <v>30</v>
      </c>
      <c r="F509" s="2">
        <v>0</v>
      </c>
      <c r="G509" s="8">
        <f t="shared" si="53"/>
        <v>30</v>
      </c>
      <c r="H509" s="18" t="s">
        <v>21</v>
      </c>
      <c r="I509" s="55"/>
      <c r="J509" s="3"/>
      <c r="K509" s="127"/>
    </row>
    <row r="510" spans="1:11" x14ac:dyDescent="0.2">
      <c r="A510" s="155">
        <f>IF(H510&lt;&gt;"",1+MAX($A$1:A509),"")</f>
        <v>300</v>
      </c>
      <c r="B510" s="163"/>
      <c r="C510" s="17"/>
      <c r="D510" s="64" t="s">
        <v>438</v>
      </c>
      <c r="E510" s="8">
        <v>20</v>
      </c>
      <c r="F510" s="2">
        <v>0</v>
      </c>
      <c r="G510" s="8">
        <f t="shared" si="53"/>
        <v>20</v>
      </c>
      <c r="H510" s="18" t="s">
        <v>21</v>
      </c>
      <c r="I510" s="55"/>
      <c r="J510" s="3"/>
      <c r="K510" s="127"/>
    </row>
    <row r="511" spans="1:11" x14ac:dyDescent="0.2">
      <c r="A511" s="155">
        <f>IF(H511&lt;&gt;"",1+MAX($A$1:A510),"")</f>
        <v>301</v>
      </c>
      <c r="B511" s="163"/>
      <c r="C511" s="17"/>
      <c r="D511" s="64" t="s">
        <v>439</v>
      </c>
      <c r="E511" s="8">
        <v>40</v>
      </c>
      <c r="F511" s="2">
        <v>0</v>
      </c>
      <c r="G511" s="8">
        <f t="shared" si="53"/>
        <v>40</v>
      </c>
      <c r="H511" s="18" t="s">
        <v>21</v>
      </c>
      <c r="I511" s="55"/>
      <c r="J511" s="3"/>
      <c r="K511" s="127"/>
    </row>
    <row r="512" spans="1:11" x14ac:dyDescent="0.2">
      <c r="A512" s="155"/>
      <c r="B512" s="109"/>
      <c r="C512" s="17"/>
      <c r="D512" s="64"/>
      <c r="E512" s="8"/>
      <c r="F512" s="2"/>
      <c r="G512" s="8"/>
      <c r="H512" s="18"/>
      <c r="I512" s="55"/>
      <c r="J512" s="3"/>
      <c r="K512" s="127"/>
    </row>
    <row r="513" spans="1:11" x14ac:dyDescent="0.2">
      <c r="A513" s="155"/>
      <c r="B513" s="109"/>
      <c r="C513" s="17"/>
      <c r="D513" s="58" t="s">
        <v>440</v>
      </c>
      <c r="E513" s="8"/>
      <c r="F513" s="2"/>
      <c r="G513" s="8"/>
      <c r="H513" s="18"/>
      <c r="I513" s="55"/>
      <c r="J513" s="3"/>
      <c r="K513" s="127"/>
    </row>
    <row r="514" spans="1:11" x14ac:dyDescent="0.2">
      <c r="A514" s="155">
        <f>IF(H514&lt;&gt;"",1+MAX($A$1:A513),"")</f>
        <v>302</v>
      </c>
      <c r="B514" s="167" t="s">
        <v>433</v>
      </c>
      <c r="C514" s="17"/>
      <c r="D514" s="64" t="s">
        <v>441</v>
      </c>
      <c r="E514" s="8">
        <v>15</v>
      </c>
      <c r="F514" s="2">
        <v>0</v>
      </c>
      <c r="G514" s="8">
        <f t="shared" ref="G514:G516" si="54">E514*(1+F514)</f>
        <v>15</v>
      </c>
      <c r="H514" s="18" t="s">
        <v>21</v>
      </c>
      <c r="I514" s="55"/>
      <c r="J514" s="3"/>
      <c r="K514" s="127"/>
    </row>
    <row r="515" spans="1:11" x14ac:dyDescent="0.2">
      <c r="A515" s="155">
        <f>IF(H515&lt;&gt;"",1+MAX($A$1:A514),"")</f>
        <v>303</v>
      </c>
      <c r="B515" s="167"/>
      <c r="C515" s="17"/>
      <c r="D515" s="64" t="s">
        <v>442</v>
      </c>
      <c r="E515" s="8">
        <v>2</v>
      </c>
      <c r="F515" s="2">
        <v>0</v>
      </c>
      <c r="G515" s="8">
        <f t="shared" si="54"/>
        <v>2</v>
      </c>
      <c r="H515" s="18" t="s">
        <v>21</v>
      </c>
      <c r="I515" s="55"/>
      <c r="J515" s="3"/>
      <c r="K515" s="127"/>
    </row>
    <row r="516" spans="1:11" x14ac:dyDescent="0.2">
      <c r="A516" s="155">
        <f>IF(H516&lt;&gt;"",1+MAX($A$1:A515),"")</f>
        <v>304</v>
      </c>
      <c r="B516" s="167"/>
      <c r="C516" s="17"/>
      <c r="D516" s="64" t="s">
        <v>443</v>
      </c>
      <c r="E516" s="8">
        <v>1</v>
      </c>
      <c r="F516" s="2">
        <v>0</v>
      </c>
      <c r="G516" s="8">
        <f t="shared" si="54"/>
        <v>1</v>
      </c>
      <c r="H516" s="18" t="s">
        <v>21</v>
      </c>
      <c r="I516" s="55"/>
      <c r="J516" s="3"/>
      <c r="K516" s="127"/>
    </row>
    <row r="517" spans="1:11" x14ac:dyDescent="0.2">
      <c r="A517" s="155">
        <f>IF(H517&lt;&gt;"",1+MAX($A$1:A516),"")</f>
        <v>305</v>
      </c>
      <c r="B517" s="167"/>
      <c r="C517" s="17"/>
      <c r="D517" s="64" t="s">
        <v>444</v>
      </c>
      <c r="E517" s="8">
        <v>1</v>
      </c>
      <c r="F517" s="2">
        <v>0</v>
      </c>
      <c r="G517" s="8">
        <f>E517*(1+F517)</f>
        <v>1</v>
      </c>
      <c r="H517" s="18" t="s">
        <v>21</v>
      </c>
      <c r="I517" s="55"/>
      <c r="J517" s="3"/>
      <c r="K517" s="127"/>
    </row>
    <row r="518" spans="1:11" x14ac:dyDescent="0.2">
      <c r="A518" s="155">
        <f>IF(H518&lt;&gt;"",1+MAX($A$1:A517),"")</f>
        <v>306</v>
      </c>
      <c r="B518" s="167"/>
      <c r="C518" s="17"/>
      <c r="D518" s="64" t="s">
        <v>445</v>
      </c>
      <c r="E518" s="8">
        <v>2</v>
      </c>
      <c r="F518" s="2">
        <v>0</v>
      </c>
      <c r="G518" s="8">
        <f>E518*(1+F518)</f>
        <v>2</v>
      </c>
      <c r="H518" s="18" t="s">
        <v>21</v>
      </c>
      <c r="I518" s="55"/>
      <c r="J518" s="3"/>
      <c r="K518" s="127"/>
    </row>
    <row r="519" spans="1:11" x14ac:dyDescent="0.2">
      <c r="A519" s="155">
        <f>IF(H519&lt;&gt;"",1+MAX($A$1:A518),"")</f>
        <v>307</v>
      </c>
      <c r="B519" s="167"/>
      <c r="C519" s="17"/>
      <c r="D519" s="64" t="s">
        <v>446</v>
      </c>
      <c r="E519" s="8">
        <v>1</v>
      </c>
      <c r="F519" s="2">
        <v>0</v>
      </c>
      <c r="G519" s="8">
        <f t="shared" ref="G519:G524" si="55">E519*(1+F519)</f>
        <v>1</v>
      </c>
      <c r="H519" s="18" t="s">
        <v>21</v>
      </c>
      <c r="I519" s="55"/>
      <c r="J519" s="3"/>
      <c r="K519" s="127"/>
    </row>
    <row r="520" spans="1:11" x14ac:dyDescent="0.2">
      <c r="A520" s="155">
        <f>IF(H520&lt;&gt;"",1+MAX($A$1:A519),"")</f>
        <v>308</v>
      </c>
      <c r="B520" s="167"/>
      <c r="C520" s="17"/>
      <c r="D520" s="64" t="s">
        <v>447</v>
      </c>
      <c r="E520" s="8">
        <v>1</v>
      </c>
      <c r="F520" s="2">
        <v>0</v>
      </c>
      <c r="G520" s="8">
        <f t="shared" si="55"/>
        <v>1</v>
      </c>
      <c r="H520" s="18" t="s">
        <v>21</v>
      </c>
      <c r="I520" s="55"/>
      <c r="J520" s="3"/>
      <c r="K520" s="127"/>
    </row>
    <row r="521" spans="1:11" x14ac:dyDescent="0.2">
      <c r="A521" s="155">
        <f>IF(H521&lt;&gt;"",1+MAX($A$1:A520),"")</f>
        <v>309</v>
      </c>
      <c r="B521" s="167"/>
      <c r="C521" s="17"/>
      <c r="D521" s="64" t="s">
        <v>448</v>
      </c>
      <c r="E521" s="8">
        <v>1</v>
      </c>
      <c r="F521" s="2">
        <v>0</v>
      </c>
      <c r="G521" s="8">
        <f t="shared" si="55"/>
        <v>1</v>
      </c>
      <c r="H521" s="18" t="s">
        <v>21</v>
      </c>
      <c r="I521" s="55"/>
      <c r="J521" s="3"/>
      <c r="K521" s="127"/>
    </row>
    <row r="522" spans="1:11" x14ac:dyDescent="0.2">
      <c r="A522" s="155">
        <f>IF(H522&lt;&gt;"",1+MAX($A$1:A521),"")</f>
        <v>310</v>
      </c>
      <c r="B522" s="167"/>
      <c r="C522" s="17"/>
      <c r="D522" s="64" t="s">
        <v>449</v>
      </c>
      <c r="E522" s="8">
        <v>2</v>
      </c>
      <c r="F522" s="2">
        <v>0</v>
      </c>
      <c r="G522" s="8">
        <f t="shared" si="55"/>
        <v>2</v>
      </c>
      <c r="H522" s="18" t="s">
        <v>21</v>
      </c>
      <c r="I522" s="55"/>
      <c r="J522" s="3"/>
      <c r="K522" s="127"/>
    </row>
    <row r="523" spans="1:11" x14ac:dyDescent="0.2">
      <c r="A523" s="155">
        <f>IF(H523&lt;&gt;"",1+MAX($A$1:A522),"")</f>
        <v>311</v>
      </c>
      <c r="B523" s="167"/>
      <c r="C523" s="17"/>
      <c r="D523" s="64" t="s">
        <v>446</v>
      </c>
      <c r="E523" s="8">
        <v>1</v>
      </c>
      <c r="F523" s="2">
        <v>0</v>
      </c>
      <c r="G523" s="8">
        <f t="shared" si="55"/>
        <v>1</v>
      </c>
      <c r="H523" s="18" t="s">
        <v>21</v>
      </c>
      <c r="I523" s="55"/>
      <c r="J523" s="3"/>
      <c r="K523" s="127"/>
    </row>
    <row r="524" spans="1:11" x14ac:dyDescent="0.2">
      <c r="A524" s="155">
        <f>IF(H524&lt;&gt;"",1+MAX($A$1:A523),"")</f>
        <v>312</v>
      </c>
      <c r="B524" s="167"/>
      <c r="C524" s="17"/>
      <c r="D524" s="64" t="s">
        <v>450</v>
      </c>
      <c r="E524" s="8">
        <v>1</v>
      </c>
      <c r="F524" s="2">
        <v>0</v>
      </c>
      <c r="G524" s="8">
        <f t="shared" si="55"/>
        <v>1</v>
      </c>
      <c r="H524" s="18" t="s">
        <v>21</v>
      </c>
      <c r="I524" s="55"/>
      <c r="J524" s="3"/>
      <c r="K524" s="127"/>
    </row>
    <row r="525" spans="1:11" x14ac:dyDescent="0.2">
      <c r="A525" s="155"/>
      <c r="B525" s="109"/>
      <c r="C525" s="17"/>
      <c r="D525" s="64"/>
      <c r="E525" s="8"/>
      <c r="F525" s="2"/>
      <c r="G525" s="8"/>
      <c r="H525" s="18"/>
      <c r="I525" s="55"/>
      <c r="J525" s="3"/>
      <c r="K525" s="127"/>
    </row>
    <row r="526" spans="1:11" x14ac:dyDescent="0.2">
      <c r="A526" s="155"/>
      <c r="B526" s="109"/>
      <c r="C526" s="17"/>
      <c r="D526" s="58" t="s">
        <v>451</v>
      </c>
      <c r="E526" s="8"/>
      <c r="F526" s="2"/>
      <c r="G526" s="8"/>
      <c r="H526" s="18"/>
      <c r="I526" s="55"/>
      <c r="J526" s="3"/>
      <c r="K526" s="127"/>
    </row>
    <row r="527" spans="1:11" x14ac:dyDescent="0.2">
      <c r="A527" s="155">
        <f>IF(H527&lt;&gt;"",1+MAX($A$1:A526),"")</f>
        <v>313</v>
      </c>
      <c r="B527" s="163" t="s">
        <v>433</v>
      </c>
      <c r="C527" s="17"/>
      <c r="D527" s="64" t="s">
        <v>452</v>
      </c>
      <c r="E527" s="8">
        <v>20</v>
      </c>
      <c r="F527" s="2">
        <v>0</v>
      </c>
      <c r="G527" s="8">
        <f t="shared" ref="G527:G531" si="56">E527*(1+F527)</f>
        <v>20</v>
      </c>
      <c r="H527" s="18" t="s">
        <v>21</v>
      </c>
      <c r="I527" s="55"/>
      <c r="J527" s="3"/>
      <c r="K527" s="127"/>
    </row>
    <row r="528" spans="1:11" x14ac:dyDescent="0.2">
      <c r="A528" s="155">
        <f>IF(H528&lt;&gt;"",1+MAX($A$1:A527),"")</f>
        <v>314</v>
      </c>
      <c r="B528" s="163"/>
      <c r="C528" s="17"/>
      <c r="D528" s="64" t="s">
        <v>453</v>
      </c>
      <c r="E528" s="8">
        <v>20</v>
      </c>
      <c r="F528" s="2">
        <v>0</v>
      </c>
      <c r="G528" s="8">
        <f t="shared" si="56"/>
        <v>20</v>
      </c>
      <c r="H528" s="18" t="s">
        <v>21</v>
      </c>
      <c r="I528" s="55"/>
      <c r="J528" s="3"/>
      <c r="K528" s="127"/>
    </row>
    <row r="529" spans="1:11" x14ac:dyDescent="0.2">
      <c r="A529" s="155">
        <f>IF(H529&lt;&gt;"",1+MAX($A$1:A528),"")</f>
        <v>315</v>
      </c>
      <c r="B529" s="163"/>
      <c r="C529" s="17"/>
      <c r="D529" s="64" t="s">
        <v>454</v>
      </c>
      <c r="E529" s="8">
        <v>45</v>
      </c>
      <c r="F529" s="2">
        <v>0</v>
      </c>
      <c r="G529" s="8">
        <f t="shared" si="56"/>
        <v>45</v>
      </c>
      <c r="H529" s="18" t="s">
        <v>21</v>
      </c>
      <c r="I529" s="55"/>
      <c r="J529" s="3"/>
      <c r="K529" s="127"/>
    </row>
    <row r="530" spans="1:11" x14ac:dyDescent="0.2">
      <c r="A530" s="155">
        <f>IF(H530&lt;&gt;"",1+MAX($A$1:A529),"")</f>
        <v>316</v>
      </c>
      <c r="B530" s="163"/>
      <c r="C530" s="17"/>
      <c r="D530" s="64" t="s">
        <v>455</v>
      </c>
      <c r="E530" s="8">
        <v>20</v>
      </c>
      <c r="F530" s="2">
        <v>0</v>
      </c>
      <c r="G530" s="8">
        <f t="shared" si="56"/>
        <v>20</v>
      </c>
      <c r="H530" s="18" t="s">
        <v>21</v>
      </c>
      <c r="I530" s="55"/>
      <c r="J530" s="3"/>
      <c r="K530" s="127"/>
    </row>
    <row r="531" spans="1:11" x14ac:dyDescent="0.2">
      <c r="A531" s="155">
        <f>IF(H531&lt;&gt;"",1+MAX($A$1:A529),"")</f>
        <v>316</v>
      </c>
      <c r="B531" s="163"/>
      <c r="C531" s="17"/>
      <c r="D531" s="64" t="s">
        <v>456</v>
      </c>
      <c r="E531" s="8">
        <v>14</v>
      </c>
      <c r="F531" s="2">
        <v>0</v>
      </c>
      <c r="G531" s="8">
        <f t="shared" si="56"/>
        <v>14</v>
      </c>
      <c r="H531" s="18" t="s">
        <v>21</v>
      </c>
      <c r="I531" s="55"/>
      <c r="J531" s="3"/>
      <c r="K531" s="127"/>
    </row>
    <row r="532" spans="1:11" s="40" customFormat="1" x14ac:dyDescent="0.2">
      <c r="A532" s="155"/>
      <c r="B532" s="109"/>
      <c r="C532" s="17"/>
      <c r="D532" s="64"/>
      <c r="E532" s="8"/>
      <c r="F532" s="2"/>
      <c r="G532" s="8"/>
      <c r="H532" s="18"/>
      <c r="I532" s="55"/>
      <c r="J532" s="3"/>
      <c r="K532" s="127"/>
    </row>
    <row r="533" spans="1:11" s="39" customFormat="1" ht="15.75" x14ac:dyDescent="0.2">
      <c r="A533" s="142"/>
      <c r="B533" s="97"/>
      <c r="C533" s="98"/>
      <c r="D533" s="41" t="s">
        <v>457</v>
      </c>
      <c r="E533" s="85"/>
      <c r="F533" s="85"/>
      <c r="G533" s="8"/>
      <c r="H533" s="85"/>
      <c r="I533" s="85"/>
      <c r="J533" s="85"/>
      <c r="K533" s="133"/>
    </row>
    <row r="534" spans="1:11" s="39" customFormat="1" ht="45" x14ac:dyDescent="0.2">
      <c r="A534" s="130">
        <f>IF(G534&lt;&gt;"",1+MAX($A$1:A533),"")</f>
        <v>317</v>
      </c>
      <c r="B534" s="163" t="s">
        <v>458</v>
      </c>
      <c r="C534" s="85"/>
      <c r="D534" s="81" t="s">
        <v>459</v>
      </c>
      <c r="E534" s="8">
        <v>1</v>
      </c>
      <c r="F534" s="87">
        <v>0</v>
      </c>
      <c r="G534" s="8">
        <f>E534*(1+F534)</f>
        <v>1</v>
      </c>
      <c r="H534" s="79" t="s">
        <v>21</v>
      </c>
      <c r="I534" s="92"/>
      <c r="J534" s="90"/>
      <c r="K534" s="133"/>
    </row>
    <row r="535" spans="1:11" s="39" customFormat="1" ht="45" x14ac:dyDescent="0.2">
      <c r="A535" s="130">
        <f>IF(G535&lt;&gt;"",1+MAX($A$1:A534),"")</f>
        <v>318</v>
      </c>
      <c r="B535" s="163"/>
      <c r="C535" s="85"/>
      <c r="D535" s="81" t="s">
        <v>460</v>
      </c>
      <c r="E535" s="8">
        <v>2</v>
      </c>
      <c r="F535" s="87">
        <v>0</v>
      </c>
      <c r="G535" s="8">
        <f t="shared" ref="G535:G536" si="57">E535*(1+F535)</f>
        <v>2</v>
      </c>
      <c r="H535" s="79" t="s">
        <v>21</v>
      </c>
      <c r="I535" s="92"/>
      <c r="J535" s="90"/>
      <c r="K535" s="133"/>
    </row>
    <row r="536" spans="1:11" s="39" customFormat="1" ht="45" x14ac:dyDescent="0.2">
      <c r="A536" s="130">
        <f>IF(G536&lt;&gt;"",1+MAX($A$1:A535),"")</f>
        <v>319</v>
      </c>
      <c r="B536" s="163"/>
      <c r="C536" s="85"/>
      <c r="D536" s="81" t="s">
        <v>461</v>
      </c>
      <c r="E536" s="8">
        <v>6</v>
      </c>
      <c r="F536" s="87">
        <v>0</v>
      </c>
      <c r="G536" s="8">
        <f t="shared" si="57"/>
        <v>6</v>
      </c>
      <c r="H536" s="79" t="s">
        <v>21</v>
      </c>
      <c r="I536" s="92"/>
      <c r="J536" s="90"/>
      <c r="K536" s="133"/>
    </row>
    <row r="537" spans="1:11" s="39" customFormat="1" ht="15.75" x14ac:dyDescent="0.2">
      <c r="A537" s="130"/>
      <c r="B537" s="80"/>
      <c r="C537" s="85"/>
      <c r="D537" s="81"/>
      <c r="E537" s="8"/>
      <c r="F537" s="87"/>
      <c r="G537" s="8"/>
      <c r="H537" s="79"/>
      <c r="I537" s="92"/>
      <c r="J537" s="90"/>
      <c r="K537" s="133"/>
    </row>
    <row r="538" spans="1:11" s="39" customFormat="1" ht="15.75" x14ac:dyDescent="0.2">
      <c r="A538" s="142"/>
      <c r="B538" s="97"/>
      <c r="C538" s="98"/>
      <c r="D538" s="41" t="s">
        <v>462</v>
      </c>
      <c r="E538" s="8"/>
      <c r="F538" s="87"/>
      <c r="G538" s="8"/>
      <c r="H538" s="79"/>
      <c r="I538" s="92"/>
      <c r="J538" s="90"/>
      <c r="K538" s="133"/>
    </row>
    <row r="539" spans="1:11" s="40" customFormat="1" ht="45" x14ac:dyDescent="0.2">
      <c r="A539" s="130">
        <f>IF(G539&lt;&gt;"",1+MAX($A$1:A538),"")</f>
        <v>320</v>
      </c>
      <c r="B539" s="80"/>
      <c r="C539" s="85"/>
      <c r="D539" s="81" t="s">
        <v>463</v>
      </c>
      <c r="E539" s="8">
        <v>1</v>
      </c>
      <c r="F539" s="87">
        <v>0</v>
      </c>
      <c r="G539" s="8">
        <f>E539*(1+F539)</f>
        <v>1</v>
      </c>
      <c r="H539" s="79" t="s">
        <v>21</v>
      </c>
      <c r="I539" s="92"/>
      <c r="J539" s="90"/>
      <c r="K539" s="133"/>
    </row>
    <row r="540" spans="1:11" s="39" customFormat="1" ht="16.5" thickBot="1" x14ac:dyDescent="0.25">
      <c r="A540" s="130" t="str">
        <f>IF(H540&lt;&gt;"",1+MAX($A$1:A533),"")</f>
        <v/>
      </c>
      <c r="B540" s="93"/>
      <c r="C540" s="85"/>
      <c r="D540" s="85"/>
      <c r="E540" s="99"/>
      <c r="F540" s="87"/>
      <c r="G540" s="100"/>
      <c r="H540" s="79"/>
      <c r="I540" s="92"/>
      <c r="J540" s="90"/>
      <c r="K540" s="133"/>
    </row>
    <row r="541" spans="1:11" s="40" customFormat="1" ht="16.5" thickBot="1" x14ac:dyDescent="0.25">
      <c r="A541" s="141" t="str">
        <f>IF(H541&lt;&gt;"",1+MAX(#REF!),"")</f>
        <v/>
      </c>
      <c r="B541" s="36"/>
      <c r="C541" s="37" t="s">
        <v>464</v>
      </c>
      <c r="D541" s="38" t="s">
        <v>465</v>
      </c>
      <c r="E541" s="84"/>
      <c r="F541" s="84"/>
      <c r="G541" s="84"/>
      <c r="H541" s="84"/>
      <c r="I541" s="84"/>
      <c r="J541" s="84"/>
      <c r="K541" s="129">
        <f>SUM(J542:J562)</f>
        <v>0</v>
      </c>
    </row>
    <row r="542" spans="1:11" s="40" customFormat="1" x14ac:dyDescent="0.2">
      <c r="A542" s="130" t="str">
        <f>IF(H542&lt;&gt;"",1+MAX($A$1:A541),"")</f>
        <v/>
      </c>
      <c r="B542" s="114"/>
      <c r="C542" s="85"/>
      <c r="D542" s="85"/>
      <c r="E542" s="85"/>
      <c r="F542" s="85"/>
      <c r="G542" s="85"/>
      <c r="H542" s="85"/>
      <c r="I542" s="85"/>
      <c r="J542" s="85"/>
      <c r="K542" s="133"/>
    </row>
    <row r="543" spans="1:11" s="40" customFormat="1" x14ac:dyDescent="0.2">
      <c r="A543" s="142"/>
      <c r="B543" s="97"/>
      <c r="C543" s="98"/>
      <c r="D543" s="41" t="s">
        <v>466</v>
      </c>
      <c r="E543" s="85"/>
      <c r="F543" s="85"/>
      <c r="G543" s="85"/>
      <c r="H543" s="85"/>
      <c r="I543" s="85"/>
      <c r="J543" s="85"/>
      <c r="K543" s="133"/>
    </row>
    <row r="544" spans="1:11" s="39" customFormat="1" ht="15.75" x14ac:dyDescent="0.2">
      <c r="A544" s="130">
        <f>IF(H544&lt;&gt;"",1+MAX($A$1:A543),"")</f>
        <v>321</v>
      </c>
      <c r="B544" s="168" t="s">
        <v>35</v>
      </c>
      <c r="C544" s="85"/>
      <c r="D544" s="85" t="s">
        <v>467</v>
      </c>
      <c r="E544" s="8">
        <f>E545+E546+E547+E548+E549</f>
        <v>894.6796101851852</v>
      </c>
      <c r="F544" s="87">
        <v>0.1</v>
      </c>
      <c r="G544" s="8">
        <f t="shared" ref="G544" si="58">E544*(1+F544)</f>
        <v>984.14757120370382</v>
      </c>
      <c r="H544" s="79" t="s">
        <v>33</v>
      </c>
      <c r="I544" s="92"/>
      <c r="J544" s="90"/>
      <c r="K544" s="133"/>
    </row>
    <row r="545" spans="1:11" s="39" customFormat="1" ht="15.75" x14ac:dyDescent="0.2">
      <c r="A545" s="130">
        <f>IF(H545&lt;&gt;"",1+MAX($A$1:A544),"")</f>
        <v>322</v>
      </c>
      <c r="B545" s="168"/>
      <c r="C545" s="85"/>
      <c r="D545" s="73" t="s">
        <v>468</v>
      </c>
      <c r="E545" s="8">
        <f>293*4*1.75/27</f>
        <v>75.962962962962962</v>
      </c>
      <c r="F545" s="87">
        <v>0.1</v>
      </c>
      <c r="G545" s="8">
        <f>E545*(1+F545)</f>
        <v>83.559259259259264</v>
      </c>
      <c r="H545" s="79" t="s">
        <v>33</v>
      </c>
      <c r="I545" s="92"/>
      <c r="J545" s="90"/>
      <c r="K545" s="133"/>
    </row>
    <row r="546" spans="1:11" s="39" customFormat="1" ht="15.75" x14ac:dyDescent="0.2">
      <c r="A546" s="130">
        <f>IF(H546&lt;&gt;"",1+MAX($A$1:A545),"")</f>
        <v>323</v>
      </c>
      <c r="B546" s="168"/>
      <c r="C546" s="85"/>
      <c r="D546" s="73" t="s">
        <v>469</v>
      </c>
      <c r="E546" s="8">
        <f>(7*7*1.75)*9/27+(8*8*1.75)*7/27+(9*9*1.75)*2/27</f>
        <v>68.120370370370367</v>
      </c>
      <c r="F546" s="87">
        <v>0.1</v>
      </c>
      <c r="G546" s="8">
        <f>E546*(1+F546)</f>
        <v>74.93240740740741</v>
      </c>
      <c r="H546" s="79" t="s">
        <v>33</v>
      </c>
      <c r="I546" s="92"/>
      <c r="J546" s="90"/>
      <c r="K546" s="133"/>
    </row>
    <row r="547" spans="1:11" s="39" customFormat="1" ht="15.75" x14ac:dyDescent="0.2">
      <c r="A547" s="130">
        <f>IF(H547&lt;&gt;"",1+MAX($A$1:A546),"")</f>
        <v>324</v>
      </c>
      <c r="B547" s="168"/>
      <c r="C547" s="85"/>
      <c r="D547" s="73" t="s">
        <v>470</v>
      </c>
      <c r="E547" s="8">
        <f>27.17*30.42*2.75/27+24.25*18.75*1.75/27+11*14.08*1.75/27</f>
        <v>123.6907212962963</v>
      </c>
      <c r="F547" s="87">
        <v>0.1</v>
      </c>
      <c r="G547" s="8">
        <f>E547*(1+F547)</f>
        <v>136.05979342592593</v>
      </c>
      <c r="H547" s="79" t="s">
        <v>33</v>
      </c>
      <c r="I547" s="92"/>
      <c r="J547" s="90"/>
      <c r="K547" s="133"/>
    </row>
    <row r="548" spans="1:11" s="39" customFormat="1" ht="15.75" x14ac:dyDescent="0.2">
      <c r="A548" s="130">
        <f>IF(H548&lt;&gt;"",1+MAX($A$1:A547),"")</f>
        <v>325</v>
      </c>
      <c r="B548" s="168"/>
      <c r="C548" s="85"/>
      <c r="D548" s="73" t="s">
        <v>471</v>
      </c>
      <c r="E548" s="8">
        <f>(1636.3*9.5)/27</f>
        <v>575.73518518518517</v>
      </c>
      <c r="F548" s="87">
        <v>0.1</v>
      </c>
      <c r="G548" s="8">
        <f>E548*(1+F548)</f>
        <v>633.30870370370371</v>
      </c>
      <c r="H548" s="79" t="s">
        <v>33</v>
      </c>
      <c r="I548" s="92"/>
      <c r="J548" s="90"/>
      <c r="K548" s="133"/>
    </row>
    <row r="549" spans="1:11" s="40" customFormat="1" x14ac:dyDescent="0.2">
      <c r="A549" s="130">
        <f>IF(H549&lt;&gt;"",1+MAX($A$1:A548),"")</f>
        <v>326</v>
      </c>
      <c r="B549" s="168"/>
      <c r="C549" s="85"/>
      <c r="D549" s="73" t="s">
        <v>472</v>
      </c>
      <c r="E549" s="8">
        <f>(172.7*8)/27</f>
        <v>51.170370370370364</v>
      </c>
      <c r="F549" s="87">
        <v>0.1</v>
      </c>
      <c r="G549" s="8">
        <f>E549*(1+F549)</f>
        <v>56.287407407407407</v>
      </c>
      <c r="H549" s="79" t="s">
        <v>33</v>
      </c>
      <c r="I549" s="92"/>
      <c r="J549" s="90"/>
      <c r="K549" s="133"/>
    </row>
    <row r="550" spans="1:11" s="40" customFormat="1" x14ac:dyDescent="0.2">
      <c r="A550" s="130" t="str">
        <f>IF(H550&lt;&gt;"",1+MAX($A$1:A549),"")</f>
        <v/>
      </c>
      <c r="B550" s="114"/>
      <c r="C550" s="85"/>
      <c r="D550" s="85"/>
      <c r="E550" s="8"/>
      <c r="F550" s="85"/>
      <c r="G550" s="8"/>
      <c r="H550" s="85"/>
      <c r="I550" s="85"/>
      <c r="J550" s="85"/>
      <c r="K550" s="133"/>
    </row>
    <row r="551" spans="1:11" s="40" customFormat="1" x14ac:dyDescent="0.2">
      <c r="A551" s="142"/>
      <c r="B551" s="97"/>
      <c r="C551" s="98"/>
      <c r="D551" s="41" t="s">
        <v>473</v>
      </c>
      <c r="E551" s="8"/>
      <c r="F551" s="85"/>
      <c r="G551" s="8"/>
      <c r="H551" s="85"/>
      <c r="I551" s="85"/>
      <c r="J551" s="85"/>
      <c r="K551" s="133"/>
    </row>
    <row r="552" spans="1:11" s="39" customFormat="1" ht="15.75" x14ac:dyDescent="0.2">
      <c r="A552" s="130">
        <f>IF(H552&lt;&gt;"",1+MAX($A$1:A551),"")</f>
        <v>327</v>
      </c>
      <c r="B552" s="168" t="s">
        <v>35</v>
      </c>
      <c r="C552" s="85"/>
      <c r="D552" s="85" t="s">
        <v>474</v>
      </c>
      <c r="E552" s="8">
        <f>E553+E554+E555+E556+E557</f>
        <v>481.19259259259258</v>
      </c>
      <c r="F552" s="87">
        <v>0.1</v>
      </c>
      <c r="G552" s="8">
        <f t="shared" ref="G552" si="59">E552*(1+F552)</f>
        <v>529.31185185185188</v>
      </c>
      <c r="H552" s="79" t="s">
        <v>33</v>
      </c>
      <c r="I552" s="92"/>
      <c r="J552" s="90"/>
      <c r="K552" s="133"/>
    </row>
    <row r="553" spans="1:11" s="39" customFormat="1" ht="15.75" x14ac:dyDescent="0.2">
      <c r="A553" s="130">
        <f>IF(H553&lt;&gt;"",1+MAX($A$1:A552),"")</f>
        <v>328</v>
      </c>
      <c r="B553" s="168"/>
      <c r="C553" s="85"/>
      <c r="D553" s="73" t="s">
        <v>475</v>
      </c>
      <c r="E553" s="8">
        <f>76-32.6</f>
        <v>43.4</v>
      </c>
      <c r="F553" s="87">
        <v>0.1</v>
      </c>
      <c r="G553" s="8">
        <f t="shared" ref="G553:G558" si="60">E553*(1+F553)</f>
        <v>47.74</v>
      </c>
      <c r="H553" s="79" t="s">
        <v>33</v>
      </c>
      <c r="I553" s="92"/>
      <c r="J553" s="90"/>
      <c r="K553" s="133"/>
    </row>
    <row r="554" spans="1:11" s="39" customFormat="1" ht="15.75" x14ac:dyDescent="0.2">
      <c r="A554" s="130">
        <f>IF(H554&lt;&gt;"",1+MAX($A$1:A553),"")</f>
        <v>329</v>
      </c>
      <c r="B554" s="168"/>
      <c r="C554" s="85"/>
      <c r="D554" s="73" t="s">
        <v>476</v>
      </c>
      <c r="E554" s="8">
        <f>68.1-(18-19.1-7.1)</f>
        <v>76.3</v>
      </c>
      <c r="F554" s="87">
        <v>0.1</v>
      </c>
      <c r="G554" s="8">
        <f t="shared" si="60"/>
        <v>83.93</v>
      </c>
      <c r="H554" s="79" t="s">
        <v>33</v>
      </c>
      <c r="I554" s="92"/>
      <c r="J554" s="90"/>
      <c r="K554" s="133"/>
    </row>
    <row r="555" spans="1:11" s="39" customFormat="1" ht="15.75" x14ac:dyDescent="0.2">
      <c r="A555" s="130">
        <f>IF(H555&lt;&gt;"",1+MAX($A$1:A554),"")</f>
        <v>330</v>
      </c>
      <c r="B555" s="168"/>
      <c r="C555" s="85"/>
      <c r="D555" s="73" t="s">
        <v>477</v>
      </c>
      <c r="E555" s="8">
        <f>123.7-(71.3-22.9-7.3)</f>
        <v>82.6</v>
      </c>
      <c r="F555" s="87">
        <v>0.1</v>
      </c>
      <c r="G555" s="8">
        <f t="shared" si="60"/>
        <v>90.86</v>
      </c>
      <c r="H555" s="79" t="s">
        <v>33</v>
      </c>
      <c r="I555" s="92"/>
      <c r="J555" s="90"/>
      <c r="K555" s="133"/>
    </row>
    <row r="556" spans="1:11" s="39" customFormat="1" ht="15.75" x14ac:dyDescent="0.2">
      <c r="A556" s="130">
        <f>IF(H556&lt;&gt;"",1+MAX($A$1:A555),"")</f>
        <v>331</v>
      </c>
      <c r="B556" s="168"/>
      <c r="C556" s="85"/>
      <c r="D556" s="73" t="s">
        <v>478</v>
      </c>
      <c r="E556" s="8">
        <f>(723*9.5)/27</f>
        <v>254.38888888888889</v>
      </c>
      <c r="F556" s="87">
        <v>0.1</v>
      </c>
      <c r="G556" s="8">
        <f t="shared" si="60"/>
        <v>279.82777777777778</v>
      </c>
      <c r="H556" s="79" t="s">
        <v>33</v>
      </c>
      <c r="I556" s="92"/>
      <c r="J556" s="90"/>
      <c r="K556" s="133"/>
    </row>
    <row r="557" spans="1:11" s="39" customFormat="1" ht="15.75" x14ac:dyDescent="0.2">
      <c r="A557" s="130">
        <f>IF(H557&lt;&gt;"",1+MAX($A$1:A556),"")</f>
        <v>332</v>
      </c>
      <c r="B557" s="168"/>
      <c r="C557" s="85"/>
      <c r="D557" s="73" t="s">
        <v>479</v>
      </c>
      <c r="E557" s="8">
        <f>(82.7*8)/27</f>
        <v>24.503703703703703</v>
      </c>
      <c r="F557" s="87">
        <v>0.1</v>
      </c>
      <c r="G557" s="8">
        <f t="shared" si="60"/>
        <v>26.954074074074075</v>
      </c>
      <c r="H557" s="79" t="s">
        <v>33</v>
      </c>
      <c r="I557" s="92"/>
      <c r="J557" s="90"/>
      <c r="K557" s="133"/>
    </row>
    <row r="558" spans="1:11" s="39" customFormat="1" ht="30" x14ac:dyDescent="0.2">
      <c r="A558" s="130">
        <f>IF(H558&lt;&gt;"",1+MAX($A$1:A557),"")</f>
        <v>333</v>
      </c>
      <c r="B558" s="114" t="s">
        <v>480</v>
      </c>
      <c r="C558" s="85"/>
      <c r="D558" s="73" t="s">
        <v>481</v>
      </c>
      <c r="E558" s="8">
        <v>1289</v>
      </c>
      <c r="F558" s="87">
        <v>0.1</v>
      </c>
      <c r="G558" s="8">
        <f t="shared" si="60"/>
        <v>1417.9</v>
      </c>
      <c r="H558" s="79" t="s">
        <v>25</v>
      </c>
      <c r="I558" s="92"/>
      <c r="J558" s="90"/>
      <c r="K558" s="133"/>
    </row>
    <row r="559" spans="1:11" s="40" customFormat="1" x14ac:dyDescent="0.2">
      <c r="A559" s="130" t="str">
        <f>IF(H559&lt;&gt;"",1+MAX($A$1:A557),"")</f>
        <v/>
      </c>
      <c r="B559" s="114"/>
      <c r="C559" s="85"/>
      <c r="D559" s="73"/>
      <c r="E559" s="8"/>
      <c r="F559" s="87"/>
      <c r="G559" s="8"/>
      <c r="H559" s="79"/>
      <c r="I559" s="92"/>
      <c r="J559" s="90"/>
      <c r="K559" s="133"/>
    </row>
    <row r="560" spans="1:11" s="40" customFormat="1" x14ac:dyDescent="0.2">
      <c r="A560" s="142"/>
      <c r="B560" s="97"/>
      <c r="C560" s="98"/>
      <c r="D560" s="41" t="s">
        <v>482</v>
      </c>
      <c r="E560" s="8"/>
      <c r="F560" s="85"/>
      <c r="G560" s="8"/>
      <c r="H560" s="85"/>
      <c r="I560" s="85"/>
      <c r="J560" s="85"/>
      <c r="K560" s="133"/>
    </row>
    <row r="561" spans="1:11" s="40" customFormat="1" x14ac:dyDescent="0.2">
      <c r="A561" s="130">
        <f>IF(H561&lt;&gt;"",1+MAX($A$1:A560),"")</f>
        <v>334</v>
      </c>
      <c r="B561" s="114" t="s">
        <v>480</v>
      </c>
      <c r="C561" s="85"/>
      <c r="D561" s="85" t="s">
        <v>483</v>
      </c>
      <c r="E561" s="8">
        <f>(4928.9*3)/27</f>
        <v>547.65555555555557</v>
      </c>
      <c r="F561" s="87">
        <v>0.1</v>
      </c>
      <c r="G561" s="8">
        <f t="shared" ref="G561" si="61">E561*(1+F561)</f>
        <v>602.42111111111114</v>
      </c>
      <c r="H561" s="79" t="s">
        <v>33</v>
      </c>
      <c r="I561" s="92"/>
      <c r="J561" s="90"/>
      <c r="K561" s="133"/>
    </row>
    <row r="562" spans="1:11" s="39" customFormat="1" ht="16.5" thickBot="1" x14ac:dyDescent="0.25">
      <c r="A562" s="130"/>
      <c r="B562" s="114"/>
      <c r="C562" s="85"/>
      <c r="D562" s="85"/>
      <c r="E562" s="99"/>
      <c r="F562" s="87"/>
      <c r="G562" s="100"/>
      <c r="H562" s="79"/>
      <c r="I562" s="92"/>
      <c r="J562" s="90"/>
      <c r="K562" s="133"/>
    </row>
    <row r="563" spans="1:11" s="40" customFormat="1" ht="16.5" thickBot="1" x14ac:dyDescent="0.25">
      <c r="A563" s="141" t="str">
        <f>IF(H563&lt;&gt;"",1+MAX(#REF!),"")</f>
        <v/>
      </c>
      <c r="B563" s="36"/>
      <c r="C563" s="37" t="s">
        <v>484</v>
      </c>
      <c r="D563" s="38" t="s">
        <v>485</v>
      </c>
      <c r="E563" s="84"/>
      <c r="F563" s="84"/>
      <c r="G563" s="84"/>
      <c r="H563" s="84"/>
      <c r="I563" s="84"/>
      <c r="J563" s="84"/>
      <c r="K563" s="129">
        <f>SUM(J564:J613)</f>
        <v>0</v>
      </c>
    </row>
    <row r="564" spans="1:11" x14ac:dyDescent="0.2">
      <c r="A564" s="130" t="str">
        <f>IF(H564&lt;&gt;"",1+MAX($A$1:A563),"")</f>
        <v/>
      </c>
      <c r="B564" s="114"/>
      <c r="C564" s="85"/>
      <c r="D564" s="85"/>
      <c r="E564" s="85"/>
      <c r="F564" s="85"/>
      <c r="G564" s="85"/>
      <c r="H564" s="85"/>
      <c r="I564" s="85"/>
      <c r="J564" s="85"/>
      <c r="K564" s="133"/>
    </row>
    <row r="565" spans="1:11" s="63" customFormat="1" x14ac:dyDescent="0.2">
      <c r="A565" s="138"/>
      <c r="B565" s="51"/>
      <c r="C565" s="52"/>
      <c r="D565" s="53" t="s">
        <v>486</v>
      </c>
      <c r="E565" s="140"/>
      <c r="F565" s="2"/>
      <c r="G565" s="54"/>
      <c r="H565" s="18"/>
      <c r="I565" s="55"/>
      <c r="J565" s="3"/>
      <c r="K565" s="127"/>
    </row>
    <row r="566" spans="1:11" s="63" customFormat="1" x14ac:dyDescent="0.2">
      <c r="A566" s="155"/>
      <c r="B566" s="56"/>
      <c r="C566" s="57"/>
      <c r="D566" s="58"/>
      <c r="E566" s="156"/>
      <c r="F566" s="59"/>
      <c r="G566" s="60"/>
      <c r="H566" s="18"/>
      <c r="I566" s="61"/>
      <c r="J566" s="62"/>
      <c r="K566" s="146"/>
    </row>
    <row r="567" spans="1:11" x14ac:dyDescent="0.2">
      <c r="A567" s="155"/>
      <c r="B567" s="56"/>
      <c r="C567" s="57"/>
      <c r="D567" s="58" t="s">
        <v>487</v>
      </c>
      <c r="E567" s="156"/>
      <c r="F567" s="59"/>
      <c r="G567" s="60"/>
      <c r="H567" s="18"/>
      <c r="I567" s="61"/>
      <c r="J567" s="62"/>
      <c r="K567" s="146"/>
    </row>
    <row r="568" spans="1:11" ht="30" x14ac:dyDescent="0.2">
      <c r="A568" s="139">
        <f>IF(H568&lt;&gt;"",1+MAX($A$1:A567),"")</f>
        <v>335</v>
      </c>
      <c r="B568" s="109" t="s">
        <v>26</v>
      </c>
      <c r="C568" s="17"/>
      <c r="D568" s="64" t="s">
        <v>488</v>
      </c>
      <c r="E568" s="8">
        <v>1</v>
      </c>
      <c r="F568" s="2">
        <v>0</v>
      </c>
      <c r="G568" s="8">
        <f t="shared" ref="G568" si="62">E568*(1+F568)</f>
        <v>1</v>
      </c>
      <c r="H568" s="18" t="s">
        <v>21</v>
      </c>
      <c r="I568" s="55"/>
      <c r="J568" s="3"/>
      <c r="K568" s="127"/>
    </row>
    <row r="569" spans="1:11" x14ac:dyDescent="0.2">
      <c r="A569" s="139"/>
      <c r="B569" s="56"/>
      <c r="C569" s="17"/>
      <c r="D569" s="64"/>
      <c r="E569" s="8"/>
      <c r="F569" s="2"/>
      <c r="G569" s="8"/>
      <c r="H569" s="18"/>
      <c r="I569" s="55"/>
      <c r="J569" s="3"/>
      <c r="K569" s="127"/>
    </row>
    <row r="570" spans="1:11" x14ac:dyDescent="0.2">
      <c r="A570" s="139"/>
      <c r="B570" s="56"/>
      <c r="C570" s="17"/>
      <c r="D570" s="58" t="s">
        <v>489</v>
      </c>
      <c r="E570" s="8"/>
      <c r="F570" s="2"/>
      <c r="G570" s="8"/>
      <c r="H570" s="18"/>
      <c r="I570" s="55"/>
      <c r="J570" s="3"/>
      <c r="K570" s="127"/>
    </row>
    <row r="571" spans="1:11" ht="30" x14ac:dyDescent="0.2">
      <c r="A571" s="139">
        <f>IF(H571&lt;&gt;"",1+MAX($A$1:A568),"")</f>
        <v>336</v>
      </c>
      <c r="B571" s="109" t="s">
        <v>26</v>
      </c>
      <c r="C571" s="17"/>
      <c r="D571" s="64" t="s">
        <v>490</v>
      </c>
      <c r="E571" s="8">
        <v>10</v>
      </c>
      <c r="F571" s="2">
        <v>0</v>
      </c>
      <c r="G571" s="8">
        <f t="shared" ref="G571" si="63">E571*(1+F571)</f>
        <v>10</v>
      </c>
      <c r="H571" s="18" t="s">
        <v>21</v>
      </c>
      <c r="I571" s="55"/>
      <c r="J571" s="3"/>
      <c r="K571" s="127"/>
    </row>
    <row r="572" spans="1:11" x14ac:dyDescent="0.2">
      <c r="A572" s="139"/>
      <c r="B572" s="109"/>
      <c r="C572" s="17"/>
      <c r="D572" s="58"/>
      <c r="E572" s="8"/>
      <c r="F572" s="2"/>
      <c r="G572" s="8"/>
      <c r="H572" s="18"/>
      <c r="I572" s="55"/>
      <c r="J572" s="3"/>
      <c r="K572" s="127"/>
    </row>
    <row r="573" spans="1:11" x14ac:dyDescent="0.2">
      <c r="A573" s="139"/>
      <c r="B573" s="109"/>
      <c r="C573" s="17"/>
      <c r="D573" s="58" t="s">
        <v>491</v>
      </c>
      <c r="E573" s="8"/>
      <c r="F573" s="2"/>
      <c r="G573" s="8"/>
      <c r="H573" s="18"/>
      <c r="I573" s="55"/>
      <c r="J573" s="3"/>
      <c r="K573" s="127"/>
    </row>
    <row r="574" spans="1:11" ht="45" x14ac:dyDescent="0.2">
      <c r="A574" s="139">
        <f>IF(H574&lt;&gt;"",1+MAX($A$1:A571),"")</f>
        <v>337</v>
      </c>
      <c r="B574" s="109" t="s">
        <v>26</v>
      </c>
      <c r="C574" s="17"/>
      <c r="D574" s="64" t="s">
        <v>492</v>
      </c>
      <c r="E574" s="8">
        <v>16</v>
      </c>
      <c r="F574" s="2">
        <v>0</v>
      </c>
      <c r="G574" s="8">
        <f t="shared" ref="G574:G575" si="64">E574*(1+F574)</f>
        <v>16</v>
      </c>
      <c r="H574" s="18" t="s">
        <v>21</v>
      </c>
      <c r="I574" s="55"/>
      <c r="J574" s="3"/>
      <c r="K574" s="127"/>
    </row>
    <row r="575" spans="1:11" ht="30" x14ac:dyDescent="0.2">
      <c r="A575" s="139">
        <f>IF(H575&lt;&gt;"",1+MAX($A$1:A574),"")</f>
        <v>338</v>
      </c>
      <c r="B575" s="56"/>
      <c r="C575" s="17"/>
      <c r="D575" s="64" t="s">
        <v>493</v>
      </c>
      <c r="E575" s="8">
        <v>9</v>
      </c>
      <c r="F575" s="2">
        <v>0</v>
      </c>
      <c r="G575" s="8">
        <f t="shared" si="64"/>
        <v>9</v>
      </c>
      <c r="H575" s="18" t="s">
        <v>21</v>
      </c>
      <c r="I575" s="55"/>
      <c r="J575" s="3"/>
      <c r="K575" s="127"/>
    </row>
    <row r="576" spans="1:11" x14ac:dyDescent="0.2">
      <c r="A576" s="139"/>
      <c r="B576" s="56"/>
      <c r="C576" s="17"/>
      <c r="D576" s="64"/>
      <c r="E576" s="8"/>
      <c r="F576" s="2"/>
      <c r="G576" s="8"/>
      <c r="H576" s="18"/>
      <c r="I576" s="55"/>
      <c r="J576" s="3"/>
      <c r="K576" s="127"/>
    </row>
    <row r="577" spans="1:11" x14ac:dyDescent="0.2">
      <c r="A577" s="139"/>
      <c r="B577" s="56"/>
      <c r="C577" s="17"/>
      <c r="D577" s="58" t="s">
        <v>494</v>
      </c>
      <c r="E577" s="8"/>
      <c r="F577" s="2"/>
      <c r="G577" s="8"/>
      <c r="H577" s="18"/>
      <c r="I577" s="55"/>
      <c r="J577" s="3"/>
      <c r="K577" s="127"/>
    </row>
    <row r="578" spans="1:11" ht="30" x14ac:dyDescent="0.2">
      <c r="A578" s="139">
        <f>IF(H578&lt;&gt;"",1+MAX($A$1:A575),"")</f>
        <v>339</v>
      </c>
      <c r="B578" s="109" t="s">
        <v>26</v>
      </c>
      <c r="C578" s="17"/>
      <c r="D578" s="64" t="s">
        <v>495</v>
      </c>
      <c r="E578" s="8">
        <v>8</v>
      </c>
      <c r="F578" s="2">
        <v>0</v>
      </c>
      <c r="G578" s="8">
        <f t="shared" ref="G578" si="65">E578*(1+F578)</f>
        <v>8</v>
      </c>
      <c r="H578" s="18" t="s">
        <v>21</v>
      </c>
      <c r="I578" s="55"/>
      <c r="J578" s="3"/>
      <c r="K578" s="127"/>
    </row>
    <row r="579" spans="1:11" x14ac:dyDescent="0.2">
      <c r="A579" s="139"/>
      <c r="B579" s="56"/>
      <c r="C579" s="17"/>
      <c r="D579" s="157"/>
      <c r="E579" s="8"/>
      <c r="F579" s="2"/>
      <c r="G579" s="8"/>
      <c r="H579" s="18"/>
      <c r="I579" s="55"/>
      <c r="J579" s="3"/>
      <c r="K579" s="127"/>
    </row>
    <row r="580" spans="1:11" x14ac:dyDescent="0.2">
      <c r="A580" s="139"/>
      <c r="B580" s="56"/>
      <c r="C580" s="17"/>
      <c r="D580" s="58" t="s">
        <v>496</v>
      </c>
      <c r="E580" s="8"/>
      <c r="F580" s="2"/>
      <c r="G580" s="8"/>
      <c r="H580" s="18"/>
      <c r="I580" s="55"/>
      <c r="J580" s="3"/>
      <c r="K580" s="127"/>
    </row>
    <row r="581" spans="1:11" ht="75" x14ac:dyDescent="0.2">
      <c r="A581" s="139">
        <f>IF(H581&lt;&gt;"",1+MAX($A$1:A578),"")</f>
        <v>340</v>
      </c>
      <c r="B581" s="109" t="s">
        <v>26</v>
      </c>
      <c r="C581" s="17"/>
      <c r="D581" s="64" t="s">
        <v>497</v>
      </c>
      <c r="E581" s="8">
        <v>943.59</v>
      </c>
      <c r="F581" s="2">
        <v>0.1</v>
      </c>
      <c r="G581" s="8">
        <f t="shared" ref="G581" si="66">E581*(1+F581)</f>
        <v>1037.9490000000001</v>
      </c>
      <c r="H581" s="18" t="s">
        <v>25</v>
      </c>
      <c r="I581" s="55"/>
      <c r="J581" s="3"/>
      <c r="K581" s="127"/>
    </row>
    <row r="582" spans="1:11" x14ac:dyDescent="0.2">
      <c r="A582" s="139"/>
      <c r="B582" s="56"/>
      <c r="C582" s="17"/>
      <c r="D582" s="140"/>
      <c r="E582" s="8"/>
      <c r="F582" s="2"/>
      <c r="G582" s="8"/>
      <c r="H582" s="18"/>
      <c r="I582" s="55"/>
      <c r="J582" s="3"/>
      <c r="K582" s="127"/>
    </row>
    <row r="583" spans="1:11" x14ac:dyDescent="0.2">
      <c r="A583" s="139"/>
      <c r="B583" s="56"/>
      <c r="C583" s="17"/>
      <c r="D583" s="58" t="s">
        <v>498</v>
      </c>
      <c r="E583" s="8"/>
      <c r="F583" s="2"/>
      <c r="G583" s="8"/>
      <c r="H583" s="18"/>
      <c r="I583" s="55"/>
      <c r="J583" s="3"/>
      <c r="K583" s="127"/>
    </row>
    <row r="584" spans="1:11" ht="105" x14ac:dyDescent="0.2">
      <c r="A584" s="139">
        <f>IF(H584&lt;&gt;"",1+MAX($A$1:A581),"")</f>
        <v>341</v>
      </c>
      <c r="B584" s="109" t="s">
        <v>26</v>
      </c>
      <c r="C584" s="17"/>
      <c r="D584" s="64" t="s">
        <v>499</v>
      </c>
      <c r="E584" s="8">
        <v>240</v>
      </c>
      <c r="F584" s="2">
        <v>0.1</v>
      </c>
      <c r="G584" s="8">
        <f t="shared" ref="G584" si="67">E584*(1+F584)</f>
        <v>264</v>
      </c>
      <c r="H584" s="18" t="s">
        <v>23</v>
      </c>
      <c r="I584" s="55"/>
      <c r="J584" s="3"/>
      <c r="K584" s="127"/>
    </row>
    <row r="585" spans="1:11" x14ac:dyDescent="0.2">
      <c r="A585" s="139"/>
      <c r="B585" s="56"/>
      <c r="C585" s="17"/>
      <c r="D585" s="140"/>
      <c r="E585" s="8"/>
      <c r="F585" s="2"/>
      <c r="G585" s="8"/>
      <c r="H585" s="18"/>
      <c r="I585" s="55"/>
      <c r="J585" s="3"/>
      <c r="K585" s="127"/>
    </row>
    <row r="586" spans="1:11" s="63" customFormat="1" x14ac:dyDescent="0.2">
      <c r="A586" s="138"/>
      <c r="B586" s="51"/>
      <c r="C586" s="52"/>
      <c r="D586" s="53" t="s">
        <v>500</v>
      </c>
      <c r="E586" s="8"/>
      <c r="F586" s="2"/>
      <c r="G586" s="8"/>
      <c r="H586" s="18"/>
      <c r="I586" s="55"/>
      <c r="J586" s="3"/>
      <c r="K586" s="127"/>
    </row>
    <row r="587" spans="1:11" s="63" customFormat="1" x14ac:dyDescent="0.2">
      <c r="A587" s="155"/>
      <c r="B587" s="56"/>
      <c r="C587" s="57"/>
      <c r="D587" s="58"/>
      <c r="E587" s="8"/>
      <c r="F587" s="59"/>
      <c r="G587" s="8"/>
      <c r="H587" s="18"/>
      <c r="I587" s="61"/>
      <c r="J587" s="62"/>
      <c r="K587" s="146"/>
    </row>
    <row r="588" spans="1:11" x14ac:dyDescent="0.2">
      <c r="A588" s="155"/>
      <c r="B588" s="56"/>
      <c r="C588" s="57"/>
      <c r="D588" s="58" t="s">
        <v>501</v>
      </c>
      <c r="E588" s="8"/>
      <c r="F588" s="59"/>
      <c r="G588" s="8"/>
      <c r="H588" s="18"/>
      <c r="I588" s="61"/>
      <c r="J588" s="62"/>
      <c r="K588" s="146"/>
    </row>
    <row r="589" spans="1:11" x14ac:dyDescent="0.2">
      <c r="A589" s="139">
        <f>IF(H589&lt;&gt;"",1+MAX($A$1:A588),"")</f>
        <v>342</v>
      </c>
      <c r="B589" s="109" t="s">
        <v>502</v>
      </c>
      <c r="C589" s="17"/>
      <c r="D589" s="64" t="s">
        <v>503</v>
      </c>
      <c r="E589" s="8">
        <v>1257.98</v>
      </c>
      <c r="F589" s="2">
        <v>0.1</v>
      </c>
      <c r="G589" s="8">
        <f t="shared" ref="G589" si="68">E589*(1+F589)</f>
        <v>1383.778</v>
      </c>
      <c r="H589" s="18" t="s">
        <v>25</v>
      </c>
      <c r="I589" s="55"/>
      <c r="J589" s="3"/>
      <c r="K589" s="127"/>
    </row>
    <row r="590" spans="1:11" x14ac:dyDescent="0.2">
      <c r="A590" s="139"/>
      <c r="B590" s="56"/>
      <c r="C590" s="17"/>
      <c r="D590" s="64"/>
      <c r="E590" s="8"/>
      <c r="F590" s="2"/>
      <c r="G590" s="8"/>
      <c r="H590" s="18"/>
      <c r="I590" s="55"/>
      <c r="J590" s="3"/>
      <c r="K590" s="127"/>
    </row>
    <row r="591" spans="1:11" x14ac:dyDescent="0.2">
      <c r="A591" s="139"/>
      <c r="B591" s="56"/>
      <c r="C591" s="17"/>
      <c r="D591" s="58" t="s">
        <v>504</v>
      </c>
      <c r="E591" s="8"/>
      <c r="F591" s="2"/>
      <c r="G591" s="8"/>
      <c r="H591" s="18"/>
      <c r="I591" s="55"/>
      <c r="J591" s="3"/>
      <c r="K591" s="127"/>
    </row>
    <row r="592" spans="1:11" ht="30" x14ac:dyDescent="0.2">
      <c r="A592" s="139">
        <f>IF(H592&lt;&gt;"",1+MAX($A$1:A589),"")</f>
        <v>343</v>
      </c>
      <c r="B592" s="109" t="s">
        <v>502</v>
      </c>
      <c r="C592" s="17"/>
      <c r="D592" s="64" t="s">
        <v>505</v>
      </c>
      <c r="E592" s="8">
        <v>433.44</v>
      </c>
      <c r="F592" s="2">
        <v>0.1</v>
      </c>
      <c r="G592" s="8">
        <f t="shared" ref="G592" si="69">E592*(1+F592)</f>
        <v>476.78400000000005</v>
      </c>
      <c r="H592" s="18" t="s">
        <v>23</v>
      </c>
      <c r="I592" s="55"/>
      <c r="J592" s="3"/>
      <c r="K592" s="127"/>
    </row>
    <row r="593" spans="1:11" x14ac:dyDescent="0.2">
      <c r="A593" s="139"/>
      <c r="B593" s="109"/>
      <c r="C593" s="17"/>
      <c r="D593" s="58"/>
      <c r="E593" s="8"/>
      <c r="F593" s="2"/>
      <c r="G593" s="8"/>
      <c r="H593" s="18"/>
      <c r="I593" s="55"/>
      <c r="J593" s="3"/>
      <c r="K593" s="127"/>
    </row>
    <row r="594" spans="1:11" x14ac:dyDescent="0.2">
      <c r="A594" s="139"/>
      <c r="B594" s="56"/>
      <c r="C594" s="17"/>
      <c r="D594" s="58" t="s">
        <v>506</v>
      </c>
      <c r="E594" s="8"/>
      <c r="F594" s="2"/>
      <c r="G594" s="8"/>
      <c r="H594" s="18"/>
      <c r="I594" s="55"/>
      <c r="J594" s="3"/>
      <c r="K594" s="127"/>
    </row>
    <row r="595" spans="1:11" x14ac:dyDescent="0.2">
      <c r="A595" s="139">
        <f>IF(H595&lt;&gt;"",1+MAX($A$1:A592),"")</f>
        <v>344</v>
      </c>
      <c r="B595" s="109" t="s">
        <v>502</v>
      </c>
      <c r="C595" s="17"/>
      <c r="D595" s="64" t="s">
        <v>507</v>
      </c>
      <c r="E595" s="8">
        <v>81.2</v>
      </c>
      <c r="F595" s="2">
        <v>0.1</v>
      </c>
      <c r="G595" s="8">
        <f t="shared" ref="G595" si="70">E595*(1+F595)</f>
        <v>89.320000000000007</v>
      </c>
      <c r="H595" s="18" t="s">
        <v>25</v>
      </c>
      <c r="I595" s="55"/>
      <c r="J595" s="3"/>
      <c r="K595" s="127"/>
    </row>
    <row r="596" spans="1:11" x14ac:dyDescent="0.2">
      <c r="A596" s="139"/>
      <c r="B596" s="109"/>
      <c r="C596" s="17"/>
      <c r="D596" s="58"/>
      <c r="E596" s="8"/>
      <c r="F596" s="2"/>
      <c r="G596" s="8"/>
      <c r="H596" s="18"/>
      <c r="I596" s="55"/>
      <c r="J596" s="3"/>
      <c r="K596" s="127"/>
    </row>
    <row r="597" spans="1:11" s="63" customFormat="1" x14ac:dyDescent="0.2">
      <c r="A597" s="138"/>
      <c r="B597" s="51"/>
      <c r="C597" s="52"/>
      <c r="D597" s="53" t="s">
        <v>508</v>
      </c>
      <c r="E597" s="8"/>
      <c r="F597" s="2"/>
      <c r="G597" s="8"/>
      <c r="H597" s="18"/>
      <c r="I597" s="55"/>
      <c r="J597" s="3"/>
      <c r="K597" s="127"/>
    </row>
    <row r="598" spans="1:11" s="63" customFormat="1" x14ac:dyDescent="0.2">
      <c r="A598" s="155"/>
      <c r="B598" s="56"/>
      <c r="C598" s="57"/>
      <c r="D598" s="58"/>
      <c r="E598" s="8"/>
      <c r="F598" s="59"/>
      <c r="G598" s="8"/>
      <c r="H598" s="18"/>
      <c r="I598" s="61"/>
      <c r="J598" s="62"/>
      <c r="K598" s="146"/>
    </row>
    <row r="599" spans="1:11" x14ac:dyDescent="0.2">
      <c r="A599" s="155"/>
      <c r="B599" s="56"/>
      <c r="C599" s="57"/>
      <c r="D599" s="58" t="s">
        <v>509</v>
      </c>
      <c r="E599" s="8"/>
      <c r="F599" s="59"/>
      <c r="G599" s="8"/>
      <c r="H599" s="18"/>
      <c r="I599" s="61"/>
      <c r="J599" s="62"/>
      <c r="K599" s="146"/>
    </row>
    <row r="600" spans="1:11" x14ac:dyDescent="0.2">
      <c r="A600" s="139">
        <f>IF(H600&lt;&gt;"",1+MAX($A$1:A599),"")</f>
        <v>345</v>
      </c>
      <c r="B600" s="163" t="s">
        <v>510</v>
      </c>
      <c r="C600" s="17"/>
      <c r="D600" s="64" t="s">
        <v>511</v>
      </c>
      <c r="E600" s="8">
        <v>49.25</v>
      </c>
      <c r="F600" s="2">
        <v>0.1</v>
      </c>
      <c r="G600" s="8">
        <f t="shared" ref="G600:G601" si="71">E600*(1+F600)</f>
        <v>54.175000000000004</v>
      </c>
      <c r="H600" s="18" t="s">
        <v>23</v>
      </c>
      <c r="I600" s="55"/>
      <c r="J600" s="3"/>
      <c r="K600" s="127"/>
    </row>
    <row r="601" spans="1:11" x14ac:dyDescent="0.2">
      <c r="A601" s="139">
        <f>IF(H601&lt;&gt;"",1+MAX($A$1:A600),"")</f>
        <v>346</v>
      </c>
      <c r="B601" s="163"/>
      <c r="C601" s="17"/>
      <c r="D601" s="64" t="s">
        <v>512</v>
      </c>
      <c r="E601" s="8">
        <v>21.84</v>
      </c>
      <c r="F601" s="2">
        <v>0.1</v>
      </c>
      <c r="G601" s="8">
        <f t="shared" si="71"/>
        <v>24.024000000000001</v>
      </c>
      <c r="H601" s="18" t="s">
        <v>23</v>
      </c>
      <c r="I601" s="55"/>
      <c r="J601" s="3"/>
      <c r="K601" s="127"/>
    </row>
    <row r="602" spans="1:11" x14ac:dyDescent="0.2">
      <c r="A602" s="139"/>
      <c r="B602" s="56"/>
      <c r="C602" s="17"/>
      <c r="D602" s="64"/>
      <c r="E602" s="8"/>
      <c r="F602" s="2"/>
      <c r="G602" s="8"/>
      <c r="H602" s="18"/>
      <c r="I602" s="55"/>
      <c r="J602" s="3"/>
      <c r="K602" s="127"/>
    </row>
    <row r="603" spans="1:11" x14ac:dyDescent="0.2">
      <c r="A603" s="139"/>
      <c r="B603" s="56"/>
      <c r="C603" s="17"/>
      <c r="D603" s="58" t="s">
        <v>513</v>
      </c>
      <c r="E603" s="8"/>
      <c r="F603" s="2"/>
      <c r="G603" s="8"/>
      <c r="H603" s="18"/>
      <c r="I603" s="55"/>
      <c r="J603" s="3"/>
      <c r="K603" s="127"/>
    </row>
    <row r="604" spans="1:11" ht="30" x14ac:dyDescent="0.2">
      <c r="A604" s="139">
        <f>IF(H604&lt;&gt;"",1+MAX($A$1:A603),"")</f>
        <v>347</v>
      </c>
      <c r="B604" s="163" t="s">
        <v>510</v>
      </c>
      <c r="C604" s="17"/>
      <c r="D604" s="64" t="s">
        <v>514</v>
      </c>
      <c r="E604" s="8">
        <v>1727.28</v>
      </c>
      <c r="F604" s="2">
        <v>0.1</v>
      </c>
      <c r="G604" s="8">
        <f t="shared" ref="G604" si="72">E604*(1+F604)</f>
        <v>1900.008</v>
      </c>
      <c r="H604" s="18" t="s">
        <v>25</v>
      </c>
      <c r="I604" s="55"/>
      <c r="J604" s="3"/>
      <c r="K604" s="127"/>
    </row>
    <row r="605" spans="1:11" ht="30" x14ac:dyDescent="0.2">
      <c r="A605" s="139">
        <f>IF(H605&lt;&gt;"",1+MAX($A$1:A604),"")</f>
        <v>348</v>
      </c>
      <c r="B605" s="163"/>
      <c r="C605" s="17"/>
      <c r="D605" s="64" t="s">
        <v>515</v>
      </c>
      <c r="E605" s="8">
        <v>1727.28</v>
      </c>
      <c r="F605" s="2">
        <v>0.1</v>
      </c>
      <c r="G605" s="8">
        <f t="shared" ref="G605" si="73">E605*(1+F605)</f>
        <v>1900.008</v>
      </c>
      <c r="H605" s="18" t="s">
        <v>25</v>
      </c>
      <c r="I605" s="55"/>
      <c r="J605" s="3"/>
      <c r="K605" s="127"/>
    </row>
    <row r="606" spans="1:11" ht="30" x14ac:dyDescent="0.2">
      <c r="A606" s="139">
        <f>IF(H606&lt;&gt;"",1+MAX($A$1:A605),"")</f>
        <v>349</v>
      </c>
      <c r="B606" s="163"/>
      <c r="C606" s="17"/>
      <c r="D606" s="64" t="s">
        <v>516</v>
      </c>
      <c r="E606" s="8">
        <v>447</v>
      </c>
      <c r="F606" s="2">
        <v>0.1</v>
      </c>
      <c r="G606" s="8">
        <f t="shared" ref="G606" si="74">E606*(1+F606)</f>
        <v>491.70000000000005</v>
      </c>
      <c r="H606" s="18" t="s">
        <v>23</v>
      </c>
      <c r="I606" s="55"/>
      <c r="J606" s="3"/>
      <c r="K606" s="127"/>
    </row>
    <row r="607" spans="1:11" x14ac:dyDescent="0.2">
      <c r="A607" s="139"/>
      <c r="B607" s="109"/>
      <c r="C607" s="17"/>
      <c r="D607" s="58"/>
      <c r="E607" s="8"/>
      <c r="F607" s="2"/>
      <c r="G607" s="8"/>
      <c r="H607" s="18"/>
      <c r="I607" s="55"/>
      <c r="J607" s="3"/>
      <c r="K607" s="127"/>
    </row>
    <row r="608" spans="1:11" x14ac:dyDescent="0.2">
      <c r="A608" s="139"/>
      <c r="B608" s="56"/>
      <c r="C608" s="17"/>
      <c r="D608" s="58" t="s">
        <v>504</v>
      </c>
      <c r="E608" s="8"/>
      <c r="F608" s="2"/>
      <c r="G608" s="8"/>
      <c r="H608" s="18"/>
      <c r="I608" s="55"/>
      <c r="J608" s="3"/>
      <c r="K608" s="127"/>
    </row>
    <row r="609" spans="1:11" x14ac:dyDescent="0.2">
      <c r="A609" s="139">
        <f>IF(H609&lt;&gt;"",1+MAX($A$1:A604),"")</f>
        <v>348</v>
      </c>
      <c r="B609" s="109" t="s">
        <v>510</v>
      </c>
      <c r="C609" s="17"/>
      <c r="D609" s="64" t="s">
        <v>517</v>
      </c>
      <c r="E609" s="8">
        <v>421.66</v>
      </c>
      <c r="F609" s="2">
        <v>0.1</v>
      </c>
      <c r="G609" s="8">
        <f t="shared" ref="G609" si="75">E609*(1+F609)</f>
        <v>463.82600000000008</v>
      </c>
      <c r="H609" s="18" t="s">
        <v>23</v>
      </c>
      <c r="I609" s="55"/>
      <c r="J609" s="3"/>
      <c r="K609" s="127"/>
    </row>
    <row r="610" spans="1:11" x14ac:dyDescent="0.2">
      <c r="A610" s="139"/>
      <c r="B610" s="109"/>
      <c r="C610" s="17"/>
      <c r="D610" s="58"/>
      <c r="E610" s="8"/>
      <c r="F610" s="2"/>
      <c r="G610" s="8"/>
      <c r="H610" s="18"/>
      <c r="I610" s="55"/>
      <c r="J610" s="3"/>
      <c r="K610" s="127"/>
    </row>
    <row r="611" spans="1:11" x14ac:dyDescent="0.2">
      <c r="A611" s="139"/>
      <c r="B611" s="56"/>
      <c r="C611" s="17"/>
      <c r="D611" s="58" t="s">
        <v>518</v>
      </c>
      <c r="E611" s="8"/>
      <c r="F611" s="2"/>
      <c r="G611" s="8"/>
      <c r="H611" s="18"/>
      <c r="I611" s="55"/>
      <c r="J611" s="3"/>
      <c r="K611" s="127"/>
    </row>
    <row r="612" spans="1:11" x14ac:dyDescent="0.2">
      <c r="A612" s="139">
        <f>IF(H612&lt;&gt;"",1+MAX($A$1:A609),"")</f>
        <v>350</v>
      </c>
      <c r="B612" s="109" t="s">
        <v>510</v>
      </c>
      <c r="C612" s="17"/>
      <c r="D612" s="64" t="s">
        <v>519</v>
      </c>
      <c r="E612" s="8">
        <v>2134.65</v>
      </c>
      <c r="F612" s="2">
        <v>0.1</v>
      </c>
      <c r="G612" s="8">
        <f t="shared" ref="G612" si="76">E612*(1+F612)</f>
        <v>2348.1150000000002</v>
      </c>
      <c r="H612" s="18" t="s">
        <v>25</v>
      </c>
      <c r="I612" s="55"/>
      <c r="J612" s="3"/>
      <c r="K612" s="127"/>
    </row>
    <row r="613" spans="1:11" s="39" customFormat="1" ht="16.5" thickBot="1" x14ac:dyDescent="0.25">
      <c r="A613" s="155"/>
      <c r="B613" s="109"/>
      <c r="C613" s="34"/>
      <c r="D613" s="35"/>
      <c r="E613" s="8"/>
      <c r="F613" s="2"/>
      <c r="G613" s="8"/>
      <c r="H613" s="18"/>
      <c r="I613" s="140"/>
      <c r="J613" s="3"/>
      <c r="K613" s="127"/>
    </row>
    <row r="614" spans="1:11" ht="16.5" thickBot="1" x14ac:dyDescent="0.25">
      <c r="A614" s="141" t="str">
        <f>IF(H614&lt;&gt;"",1+MAX(#REF!),"")</f>
        <v/>
      </c>
      <c r="B614" s="36"/>
      <c r="C614" s="37" t="s">
        <v>520</v>
      </c>
      <c r="D614" s="38" t="s">
        <v>521</v>
      </c>
      <c r="E614" s="84"/>
      <c r="F614" s="84"/>
      <c r="G614" s="84"/>
      <c r="H614" s="84"/>
      <c r="I614" s="84"/>
      <c r="J614" s="84"/>
      <c r="K614" s="129">
        <f>SUM(J615:J635)</f>
        <v>0</v>
      </c>
    </row>
    <row r="615" spans="1:11" s="63" customFormat="1" x14ac:dyDescent="0.2">
      <c r="A615" s="139"/>
      <c r="B615" s="56"/>
      <c r="C615" s="17"/>
      <c r="D615" s="64"/>
      <c r="E615" s="54"/>
      <c r="F615" s="2"/>
      <c r="G615" s="54"/>
      <c r="H615" s="18"/>
      <c r="I615" s="55"/>
      <c r="J615" s="3"/>
      <c r="K615" s="127"/>
    </row>
    <row r="616" spans="1:11" x14ac:dyDescent="0.2">
      <c r="A616" s="138"/>
      <c r="B616" s="51"/>
      <c r="C616" s="52"/>
      <c r="D616" s="53" t="s">
        <v>522</v>
      </c>
      <c r="E616" s="156"/>
      <c r="F616" s="59"/>
      <c r="G616" s="60"/>
      <c r="H616" s="18"/>
      <c r="I616" s="61"/>
      <c r="J616" s="62"/>
      <c r="K616" s="146"/>
    </row>
    <row r="617" spans="1:11" x14ac:dyDescent="0.2">
      <c r="A617" s="139">
        <f>IF(H617&lt;&gt;"",1+MAX($A$1:A616),"")</f>
        <v>351</v>
      </c>
      <c r="B617" s="163" t="s">
        <v>523</v>
      </c>
      <c r="C617" s="17"/>
      <c r="D617" s="64" t="s">
        <v>524</v>
      </c>
      <c r="E617" s="8">
        <v>88.53</v>
      </c>
      <c r="F617" s="2">
        <v>0.1</v>
      </c>
      <c r="G617" s="8">
        <f t="shared" ref="G617:G627" si="77">E617*(1+F617)</f>
        <v>97.38300000000001</v>
      </c>
      <c r="H617" s="18" t="s">
        <v>23</v>
      </c>
      <c r="I617" s="55"/>
      <c r="J617" s="3"/>
      <c r="K617" s="127"/>
    </row>
    <row r="618" spans="1:11" x14ac:dyDescent="0.2">
      <c r="A618" s="139">
        <f>IF(H618&lt;&gt;"",1+MAX($A$1:A617),"")</f>
        <v>352</v>
      </c>
      <c r="B618" s="163"/>
      <c r="C618" s="17"/>
      <c r="D618" s="64" t="s">
        <v>525</v>
      </c>
      <c r="E618" s="8">
        <v>67.17</v>
      </c>
      <c r="F618" s="2">
        <v>0.1</v>
      </c>
      <c r="G618" s="8">
        <f t="shared" si="77"/>
        <v>73.887000000000015</v>
      </c>
      <c r="H618" s="18" t="s">
        <v>23</v>
      </c>
      <c r="I618" s="55"/>
      <c r="J618" s="3"/>
      <c r="K618" s="127"/>
    </row>
    <row r="619" spans="1:11" x14ac:dyDescent="0.2">
      <c r="A619" s="139">
        <f>IF(H619&lt;&gt;"",1+MAX($A$1:A618),"")</f>
        <v>353</v>
      </c>
      <c r="B619" s="163"/>
      <c r="C619" s="17"/>
      <c r="D619" s="64" t="s">
        <v>526</v>
      </c>
      <c r="E619" s="8">
        <v>150.18</v>
      </c>
      <c r="F619" s="2">
        <v>0.1</v>
      </c>
      <c r="G619" s="8">
        <f t="shared" si="77"/>
        <v>165.19800000000001</v>
      </c>
      <c r="H619" s="18" t="s">
        <v>23</v>
      </c>
      <c r="I619" s="55"/>
      <c r="J619" s="3"/>
      <c r="K619" s="127"/>
    </row>
    <row r="620" spans="1:11" x14ac:dyDescent="0.2">
      <c r="A620" s="139">
        <f>IF(H620&lt;&gt;"",1+MAX($A$1:A619),"")</f>
        <v>354</v>
      </c>
      <c r="B620" s="163"/>
      <c r="C620" s="17"/>
      <c r="D620" s="64" t="s">
        <v>527</v>
      </c>
      <c r="E620" s="8">
        <v>5.42</v>
      </c>
      <c r="F620" s="2">
        <v>0.1</v>
      </c>
      <c r="G620" s="8">
        <f t="shared" si="77"/>
        <v>5.9620000000000006</v>
      </c>
      <c r="H620" s="18" t="s">
        <v>23</v>
      </c>
      <c r="I620" s="55"/>
      <c r="J620" s="3"/>
      <c r="K620" s="127"/>
    </row>
    <row r="621" spans="1:11" x14ac:dyDescent="0.2">
      <c r="A621" s="139">
        <f>IF(H621&lt;&gt;"",1+MAX($A$1:A620),"")</f>
        <v>355</v>
      </c>
      <c r="B621" s="163"/>
      <c r="C621" s="17"/>
      <c r="D621" s="64" t="s">
        <v>528</v>
      </c>
      <c r="E621" s="8">
        <v>16.260000000000002</v>
      </c>
      <c r="F621" s="2">
        <v>0.1</v>
      </c>
      <c r="G621" s="8">
        <f t="shared" si="77"/>
        <v>17.886000000000003</v>
      </c>
      <c r="H621" s="18" t="s">
        <v>23</v>
      </c>
      <c r="I621" s="55"/>
      <c r="J621" s="3"/>
      <c r="K621" s="127"/>
    </row>
    <row r="622" spans="1:11" x14ac:dyDescent="0.2">
      <c r="A622" s="139">
        <f>IF(H622&lt;&gt;"",1+MAX($A$1:A621),"")</f>
        <v>356</v>
      </c>
      <c r="B622" s="163"/>
      <c r="C622" s="17"/>
      <c r="D622" s="64" t="s">
        <v>529</v>
      </c>
      <c r="E622" s="8">
        <v>16.84</v>
      </c>
      <c r="F622" s="2">
        <v>0.1</v>
      </c>
      <c r="G622" s="8">
        <f t="shared" si="77"/>
        <v>18.524000000000001</v>
      </c>
      <c r="H622" s="18" t="s">
        <v>23</v>
      </c>
      <c r="I622" s="55"/>
      <c r="J622" s="3"/>
      <c r="K622" s="127"/>
    </row>
    <row r="623" spans="1:11" x14ac:dyDescent="0.2">
      <c r="A623" s="139">
        <f>IF(H623&lt;&gt;"",1+MAX($A$1:A622),"")</f>
        <v>357</v>
      </c>
      <c r="B623" s="163"/>
      <c r="C623" s="17"/>
      <c r="D623" s="64" t="s">
        <v>530</v>
      </c>
      <c r="E623" s="8">
        <v>37.43</v>
      </c>
      <c r="F623" s="2">
        <v>0.1</v>
      </c>
      <c r="G623" s="8">
        <f t="shared" si="77"/>
        <v>41.173000000000002</v>
      </c>
      <c r="H623" s="18" t="s">
        <v>23</v>
      </c>
      <c r="I623" s="55"/>
      <c r="J623" s="3"/>
      <c r="K623" s="127"/>
    </row>
    <row r="624" spans="1:11" x14ac:dyDescent="0.2">
      <c r="A624" s="139">
        <f>IF(H624&lt;&gt;"",1+MAX($A$1:A623),"")</f>
        <v>358</v>
      </c>
      <c r="B624" s="163"/>
      <c r="C624" s="17"/>
      <c r="D624" s="64" t="s">
        <v>531</v>
      </c>
      <c r="E624" s="8">
        <v>67.33</v>
      </c>
      <c r="F624" s="2">
        <v>0.1</v>
      </c>
      <c r="G624" s="8">
        <f t="shared" si="77"/>
        <v>74.063000000000002</v>
      </c>
      <c r="H624" s="18" t="s">
        <v>23</v>
      </c>
      <c r="I624" s="55"/>
      <c r="J624" s="3"/>
      <c r="K624" s="127"/>
    </row>
    <row r="625" spans="1:59" x14ac:dyDescent="0.2">
      <c r="A625" s="139">
        <f>IF(H625&lt;&gt;"",1+MAX($A$1:A624),"")</f>
        <v>359</v>
      </c>
      <c r="B625" s="163"/>
      <c r="C625" s="17"/>
      <c r="D625" s="64" t="s">
        <v>532</v>
      </c>
      <c r="E625" s="8">
        <v>32.32</v>
      </c>
      <c r="F625" s="2">
        <v>0.1</v>
      </c>
      <c r="G625" s="8">
        <f t="shared" si="77"/>
        <v>35.552000000000007</v>
      </c>
      <c r="H625" s="18" t="s">
        <v>23</v>
      </c>
      <c r="I625" s="55"/>
      <c r="J625" s="3"/>
      <c r="K625" s="127"/>
    </row>
    <row r="626" spans="1:59" x14ac:dyDescent="0.2">
      <c r="A626" s="139">
        <f>IF(H626&lt;&gt;"",1+MAX($A$1:A625),"")</f>
        <v>360</v>
      </c>
      <c r="B626" s="163"/>
      <c r="C626" s="17"/>
      <c r="D626" s="64" t="s">
        <v>533</v>
      </c>
      <c r="E626" s="8">
        <v>57.78</v>
      </c>
      <c r="F626" s="2">
        <v>0.1</v>
      </c>
      <c r="G626" s="8">
        <f t="shared" si="77"/>
        <v>63.558000000000007</v>
      </c>
      <c r="H626" s="18" t="s">
        <v>23</v>
      </c>
      <c r="I626" s="55"/>
      <c r="J626" s="3"/>
      <c r="K626" s="127"/>
    </row>
    <row r="627" spans="1:59" x14ac:dyDescent="0.2">
      <c r="A627" s="139">
        <f>IF(H627&lt;&gt;"",1+MAX($A$1:A626),"")</f>
        <v>361</v>
      </c>
      <c r="B627" s="163"/>
      <c r="C627" s="17"/>
      <c r="D627" s="64" t="s">
        <v>534</v>
      </c>
      <c r="E627" s="8">
        <v>105.46</v>
      </c>
      <c r="F627" s="2">
        <v>0.1</v>
      </c>
      <c r="G627" s="8">
        <f t="shared" si="77"/>
        <v>116.006</v>
      </c>
      <c r="H627" s="18" t="s">
        <v>23</v>
      </c>
      <c r="I627" s="55"/>
      <c r="J627" s="3"/>
      <c r="K627" s="127"/>
    </row>
    <row r="628" spans="1:59" x14ac:dyDescent="0.2">
      <c r="A628" s="139"/>
      <c r="B628" s="56"/>
      <c r="C628" s="17"/>
      <c r="D628" s="64"/>
      <c r="E628" s="8"/>
      <c r="F628" s="2"/>
      <c r="G628" s="8"/>
      <c r="H628" s="18"/>
      <c r="I628" s="55"/>
      <c r="J628" s="3"/>
      <c r="K628" s="127"/>
    </row>
    <row r="629" spans="1:59" x14ac:dyDescent="0.2">
      <c r="A629" s="138"/>
      <c r="B629" s="51"/>
      <c r="C629" s="52"/>
      <c r="D629" s="53" t="s">
        <v>535</v>
      </c>
      <c r="E629" s="8"/>
      <c r="F629" s="2"/>
      <c r="G629" s="8"/>
      <c r="H629" s="18"/>
      <c r="I629" s="55"/>
      <c r="J629" s="3"/>
      <c r="K629" s="127"/>
    </row>
    <row r="630" spans="1:59" x14ac:dyDescent="0.2">
      <c r="A630" s="139">
        <f>IF(H630&lt;&gt;"",1+MAX($A$1:A629),"")</f>
        <v>362</v>
      </c>
      <c r="B630" s="163" t="s">
        <v>523</v>
      </c>
      <c r="C630" s="17"/>
      <c r="D630" s="64" t="s">
        <v>536</v>
      </c>
      <c r="E630" s="8">
        <v>2</v>
      </c>
      <c r="F630" s="2">
        <v>0</v>
      </c>
      <c r="G630" s="8">
        <f t="shared" ref="G630:G634" si="78">E630*(1+F630)</f>
        <v>2</v>
      </c>
      <c r="H630" s="18" t="s">
        <v>21</v>
      </c>
      <c r="I630" s="55"/>
      <c r="J630" s="3"/>
      <c r="K630" s="127"/>
    </row>
    <row r="631" spans="1:59" x14ac:dyDescent="0.2">
      <c r="A631" s="139">
        <f>IF(H631&lt;&gt;"",1+MAX($A$1:A630),"")</f>
        <v>363</v>
      </c>
      <c r="B631" s="163"/>
      <c r="C631" s="17"/>
      <c r="D631" s="64" t="s">
        <v>537</v>
      </c>
      <c r="E631" s="8">
        <v>1</v>
      </c>
      <c r="F631" s="2">
        <v>0</v>
      </c>
      <c r="G631" s="8">
        <f t="shared" si="78"/>
        <v>1</v>
      </c>
      <c r="H631" s="18" t="s">
        <v>21</v>
      </c>
      <c r="I631" s="55"/>
      <c r="J631" s="3"/>
      <c r="K631" s="127"/>
    </row>
    <row r="632" spans="1:59" x14ac:dyDescent="0.2">
      <c r="A632" s="139">
        <f>IF(H632&lt;&gt;"",1+MAX($A$1:A631),"")</f>
        <v>364</v>
      </c>
      <c r="B632" s="163"/>
      <c r="C632" s="17"/>
      <c r="D632" s="64" t="s">
        <v>538</v>
      </c>
      <c r="E632" s="8">
        <v>1</v>
      </c>
      <c r="F632" s="2">
        <v>0</v>
      </c>
      <c r="G632" s="8">
        <f t="shared" si="78"/>
        <v>1</v>
      </c>
      <c r="H632" s="18" t="s">
        <v>21</v>
      </c>
      <c r="I632" s="55"/>
      <c r="J632" s="3"/>
      <c r="K632" s="127"/>
    </row>
    <row r="633" spans="1:59" x14ac:dyDescent="0.2">
      <c r="A633" s="139">
        <f>IF(H633&lt;&gt;"",1+MAX($A$1:A632),"")</f>
        <v>365</v>
      </c>
      <c r="B633" s="163"/>
      <c r="C633" s="17"/>
      <c r="D633" s="64" t="s">
        <v>539</v>
      </c>
      <c r="E633" s="8">
        <v>1</v>
      </c>
      <c r="F633" s="2">
        <v>0</v>
      </c>
      <c r="G633" s="8">
        <f t="shared" si="78"/>
        <v>1</v>
      </c>
      <c r="H633" s="18" t="s">
        <v>21</v>
      </c>
      <c r="I633" s="55"/>
      <c r="J633" s="3"/>
      <c r="K633" s="127"/>
    </row>
    <row r="634" spans="1:59" x14ac:dyDescent="0.2">
      <c r="A634" s="139">
        <f>IF(H634&lt;&gt;"",1+MAX($A$1:A633),"")</f>
        <v>366</v>
      </c>
      <c r="B634" s="163"/>
      <c r="C634" s="17"/>
      <c r="D634" s="64" t="s">
        <v>540</v>
      </c>
      <c r="E634" s="8">
        <v>1</v>
      </c>
      <c r="F634" s="2">
        <v>0</v>
      </c>
      <c r="G634" s="8">
        <f t="shared" si="78"/>
        <v>1</v>
      </c>
      <c r="H634" s="18" t="s">
        <v>21</v>
      </c>
      <c r="I634" s="55"/>
      <c r="J634" s="3"/>
      <c r="K634" s="127"/>
    </row>
    <row r="635" spans="1:59" ht="15.75" thickBot="1" x14ac:dyDescent="0.25">
      <c r="A635" s="139"/>
      <c r="B635" s="56"/>
      <c r="C635" s="17"/>
      <c r="D635" s="140"/>
      <c r="E635" s="140"/>
      <c r="F635" s="2"/>
      <c r="G635" s="54"/>
      <c r="H635" s="18"/>
      <c r="I635" s="55"/>
      <c r="J635" s="3"/>
      <c r="K635" s="127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</row>
    <row r="636" spans="1:59" ht="16.5" thickBot="1" x14ac:dyDescent="0.25">
      <c r="A636" s="165" t="s">
        <v>541</v>
      </c>
      <c r="B636" s="166"/>
      <c r="C636" s="158"/>
      <c r="D636" s="158"/>
      <c r="E636" s="159"/>
      <c r="F636" s="159"/>
      <c r="G636" s="159"/>
      <c r="H636" s="160"/>
      <c r="I636" s="158"/>
      <c r="J636" s="161"/>
      <c r="K636" s="162"/>
      <c r="L636" s="83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</row>
    <row r="637" spans="1:59" x14ac:dyDescent="0.2">
      <c r="A637" s="5"/>
      <c r="B637" s="5"/>
      <c r="K637" s="22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</row>
    <row r="638" spans="1:59" x14ac:dyDescent="0.2">
      <c r="A638" s="5"/>
      <c r="B638" s="5"/>
      <c r="K638" s="22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</row>
    <row r="639" spans="1:59" x14ac:dyDescent="0.2">
      <c r="A639" s="5"/>
      <c r="B639" s="5"/>
      <c r="K639" s="22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</row>
    <row r="640" spans="1:59" x14ac:dyDescent="0.2">
      <c r="A640" s="5"/>
      <c r="B640" s="5"/>
      <c r="K640" s="22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</row>
    <row r="641" spans="1:59" x14ac:dyDescent="0.2">
      <c r="A641" s="5"/>
      <c r="B641" s="5"/>
      <c r="K641" s="22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</row>
    <row r="642" spans="1:59" x14ac:dyDescent="0.2">
      <c r="A642" s="5"/>
      <c r="B642" s="5"/>
      <c r="K642" s="2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</row>
    <row r="643" spans="1:59" x14ac:dyDescent="0.2">
      <c r="A643" s="5"/>
      <c r="B643" s="5"/>
      <c r="K643" s="22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</row>
    <row r="644" spans="1:59" x14ac:dyDescent="0.2">
      <c r="A644" s="5"/>
      <c r="B644" s="5"/>
      <c r="K644" s="22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</row>
    <row r="645" spans="1:59" x14ac:dyDescent="0.2">
      <c r="A645" s="5"/>
      <c r="B645" s="5"/>
      <c r="K645" s="22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</row>
    <row r="646" spans="1:59" x14ac:dyDescent="0.2">
      <c r="A646" s="5"/>
      <c r="B646" s="5"/>
      <c r="K646" s="22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</row>
    <row r="647" spans="1:59" x14ac:dyDescent="0.2">
      <c r="A647" s="5"/>
      <c r="B647" s="5"/>
      <c r="K647" s="22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</row>
    <row r="648" spans="1:59" x14ac:dyDescent="0.2">
      <c r="A648" s="5"/>
      <c r="B648" s="5"/>
      <c r="H648" s="33"/>
      <c r="K648" s="22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</row>
    <row r="649" spans="1:59" x14ac:dyDescent="0.2">
      <c r="A649" s="5"/>
      <c r="B649" s="5"/>
      <c r="K649" s="22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</row>
    <row r="650" spans="1:59" x14ac:dyDescent="0.2">
      <c r="A650" s="5"/>
      <c r="B650" s="5"/>
      <c r="K650" s="22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</row>
    <row r="651" spans="1:59" x14ac:dyDescent="0.2">
      <c r="A651" s="5"/>
      <c r="B651" s="5"/>
      <c r="K651" s="22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</row>
    <row r="652" spans="1:59" x14ac:dyDescent="0.2">
      <c r="A652" s="5"/>
      <c r="B652" s="5"/>
      <c r="K652" s="2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</row>
    <row r="653" spans="1:59" x14ac:dyDescent="0.2">
      <c r="A653" s="5"/>
      <c r="B653" s="5"/>
      <c r="K653" s="22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</row>
    <row r="654" spans="1:59" x14ac:dyDescent="0.2">
      <c r="A654" s="5"/>
      <c r="B654" s="5"/>
      <c r="K654" s="22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</row>
    <row r="655" spans="1:59" x14ac:dyDescent="0.2">
      <c r="A655" s="5"/>
      <c r="B655" s="5"/>
      <c r="K655" s="22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</row>
    <row r="656" spans="1:59" x14ac:dyDescent="0.2">
      <c r="A656" s="5"/>
      <c r="B656" s="5"/>
      <c r="K656" s="22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</row>
    <row r="657" spans="1:59" x14ac:dyDescent="0.2">
      <c r="A657" s="5"/>
      <c r="B657" s="5"/>
      <c r="K657" s="22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</row>
    <row r="658" spans="1:59" x14ac:dyDescent="0.2">
      <c r="A658" s="5"/>
      <c r="B658" s="5"/>
      <c r="K658" s="22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</row>
    <row r="659" spans="1:59" x14ac:dyDescent="0.2">
      <c r="A659" s="5"/>
      <c r="B659" s="5"/>
      <c r="K659" s="22"/>
    </row>
    <row r="660" spans="1:59" x14ac:dyDescent="0.2">
      <c r="A660" s="5"/>
      <c r="B660" s="5"/>
      <c r="K660" s="22"/>
    </row>
    <row r="661" spans="1:59" x14ac:dyDescent="0.2">
      <c r="A661" s="5"/>
      <c r="B661" s="5"/>
      <c r="K661" s="22"/>
    </row>
    <row r="662" spans="1:59" x14ac:dyDescent="0.2">
      <c r="A662" s="5"/>
      <c r="B662" s="5"/>
    </row>
    <row r="663" spans="1:59" x14ac:dyDescent="0.2">
      <c r="A663" s="5"/>
      <c r="B663" s="5"/>
    </row>
    <row r="664" spans="1:59" x14ac:dyDescent="0.2">
      <c r="A664" s="5"/>
      <c r="B664" s="5"/>
    </row>
    <row r="665" spans="1:59" x14ac:dyDescent="0.2">
      <c r="A665" s="5"/>
      <c r="B665" s="5"/>
    </row>
    <row r="666" spans="1:59" x14ac:dyDescent="0.2">
      <c r="A666" s="5"/>
      <c r="B666" s="5"/>
    </row>
    <row r="667" spans="1:59" x14ac:dyDescent="0.2">
      <c r="A667" s="5"/>
      <c r="B667" s="5"/>
    </row>
    <row r="668" spans="1:59" x14ac:dyDescent="0.2">
      <c r="A668" s="5"/>
      <c r="B668" s="5"/>
    </row>
    <row r="669" spans="1:59" x14ac:dyDescent="0.2">
      <c r="A669" s="5"/>
      <c r="B669" s="5"/>
    </row>
    <row r="670" spans="1:59" x14ac:dyDescent="0.2">
      <c r="A670" s="5"/>
      <c r="B670" s="5"/>
    </row>
    <row r="671" spans="1:59" x14ac:dyDescent="0.2">
      <c r="A671" s="5"/>
      <c r="B671" s="5"/>
    </row>
    <row r="672" spans="1:59" x14ac:dyDescent="0.2">
      <c r="A672" s="5"/>
      <c r="B672" s="5"/>
    </row>
    <row r="673" spans="1:2" x14ac:dyDescent="0.2">
      <c r="A673" s="5"/>
      <c r="B673" s="5"/>
    </row>
    <row r="674" spans="1:2" x14ac:dyDescent="0.2">
      <c r="A674" s="5"/>
      <c r="B674" s="5"/>
    </row>
    <row r="675" spans="1:2" x14ac:dyDescent="0.2">
      <c r="A675" s="5"/>
      <c r="B675" s="5"/>
    </row>
    <row r="676" spans="1:2" x14ac:dyDescent="0.2">
      <c r="A676" s="5"/>
      <c r="B676" s="5"/>
    </row>
    <row r="677" spans="1:2" x14ac:dyDescent="0.2">
      <c r="A677" s="5"/>
      <c r="B677" s="5"/>
    </row>
    <row r="678" spans="1:2" x14ac:dyDescent="0.2">
      <c r="A678" s="5"/>
      <c r="B678" s="5"/>
    </row>
    <row r="679" spans="1:2" x14ac:dyDescent="0.2">
      <c r="A679" s="5"/>
      <c r="B679" s="5"/>
    </row>
    <row r="680" spans="1:2" x14ac:dyDescent="0.2">
      <c r="A680" s="5"/>
      <c r="B680" s="5"/>
    </row>
    <row r="681" spans="1:2" x14ac:dyDescent="0.2">
      <c r="A681" s="5"/>
      <c r="B681" s="5"/>
    </row>
    <row r="682" spans="1:2" x14ac:dyDescent="0.2">
      <c r="A682" s="5"/>
      <c r="B682" s="5"/>
    </row>
    <row r="683" spans="1:2" x14ac:dyDescent="0.2">
      <c r="A683" s="5"/>
      <c r="B683" s="5"/>
    </row>
    <row r="684" spans="1:2" x14ac:dyDescent="0.2">
      <c r="A684" s="5"/>
      <c r="B684" s="5"/>
    </row>
    <row r="685" spans="1:2" x14ac:dyDescent="0.2">
      <c r="A685" s="5"/>
      <c r="B685" s="5"/>
    </row>
    <row r="686" spans="1:2" x14ac:dyDescent="0.2">
      <c r="A686" s="5"/>
      <c r="B686" s="5"/>
    </row>
    <row r="687" spans="1:2" x14ac:dyDescent="0.2">
      <c r="A687" s="5"/>
      <c r="B687" s="5"/>
    </row>
    <row r="688" spans="1:2" x14ac:dyDescent="0.2">
      <c r="A688" s="5"/>
      <c r="B688" s="5"/>
    </row>
    <row r="689" spans="1:2" x14ac:dyDescent="0.2">
      <c r="A689" s="5"/>
      <c r="B689" s="5"/>
    </row>
    <row r="690" spans="1:2" x14ac:dyDescent="0.2">
      <c r="A690" s="5"/>
      <c r="B690" s="5"/>
    </row>
    <row r="691" spans="1:2" x14ac:dyDescent="0.2">
      <c r="A691" s="5"/>
      <c r="B691" s="5"/>
    </row>
    <row r="692" spans="1:2" x14ac:dyDescent="0.2">
      <c r="A692" s="5"/>
      <c r="B692" s="5"/>
    </row>
    <row r="693" spans="1:2" x14ac:dyDescent="0.2">
      <c r="A693" s="5"/>
      <c r="B693" s="5"/>
    </row>
    <row r="694" spans="1:2" x14ac:dyDescent="0.2">
      <c r="A694" s="5"/>
      <c r="B694" s="5"/>
    </row>
    <row r="695" spans="1:2" x14ac:dyDescent="0.2">
      <c r="A695" s="5"/>
      <c r="B695" s="5"/>
    </row>
    <row r="696" spans="1:2" x14ac:dyDescent="0.2">
      <c r="A696" s="5"/>
      <c r="B696" s="5"/>
    </row>
    <row r="697" spans="1:2" x14ac:dyDescent="0.2">
      <c r="A697" s="5"/>
      <c r="B697" s="5"/>
    </row>
    <row r="698" spans="1:2" x14ac:dyDescent="0.2">
      <c r="A698" s="5"/>
      <c r="B698" s="5"/>
    </row>
    <row r="699" spans="1:2" x14ac:dyDescent="0.2">
      <c r="A699" s="5"/>
      <c r="B699" s="5"/>
    </row>
    <row r="700" spans="1:2" x14ac:dyDescent="0.2">
      <c r="A700" s="5"/>
      <c r="B700" s="5"/>
    </row>
    <row r="701" spans="1:2" x14ac:dyDescent="0.2">
      <c r="A701" s="5"/>
      <c r="B701" s="5"/>
    </row>
    <row r="702" spans="1:2" x14ac:dyDescent="0.2">
      <c r="A702" s="5"/>
      <c r="B702" s="5"/>
    </row>
    <row r="703" spans="1:2" x14ac:dyDescent="0.2">
      <c r="A703" s="5"/>
      <c r="B703" s="5"/>
    </row>
    <row r="704" spans="1:2" x14ac:dyDescent="0.2">
      <c r="A704" s="5"/>
      <c r="B704" s="5"/>
    </row>
    <row r="705" spans="1:2" x14ac:dyDescent="0.2">
      <c r="A705" s="5"/>
      <c r="B705" s="5"/>
    </row>
    <row r="706" spans="1:2" x14ac:dyDescent="0.2">
      <c r="A706" s="5"/>
      <c r="B706" s="5"/>
    </row>
    <row r="707" spans="1:2" x14ac:dyDescent="0.2">
      <c r="A707" s="5"/>
      <c r="B707" s="5"/>
    </row>
    <row r="708" spans="1:2" x14ac:dyDescent="0.2">
      <c r="A708" s="5"/>
      <c r="B708" s="5"/>
    </row>
    <row r="709" spans="1:2" x14ac:dyDescent="0.2">
      <c r="A709" s="5"/>
      <c r="B709" s="5"/>
    </row>
    <row r="710" spans="1:2" x14ac:dyDescent="0.2">
      <c r="A710" s="5"/>
      <c r="B710" s="5"/>
    </row>
    <row r="711" spans="1:2" x14ac:dyDescent="0.2">
      <c r="A711" s="5"/>
      <c r="B711" s="5"/>
    </row>
    <row r="712" spans="1:2" x14ac:dyDescent="0.2">
      <c r="A712" s="5"/>
      <c r="B712" s="5"/>
    </row>
    <row r="713" spans="1:2" x14ac:dyDescent="0.2">
      <c r="A713" s="5"/>
      <c r="B713" s="5"/>
    </row>
    <row r="714" spans="1:2" x14ac:dyDescent="0.2">
      <c r="A714" s="5"/>
      <c r="B714" s="5"/>
    </row>
    <row r="715" spans="1:2" x14ac:dyDescent="0.2">
      <c r="A715" s="5"/>
      <c r="B715" s="5"/>
    </row>
    <row r="716" spans="1:2" x14ac:dyDescent="0.2">
      <c r="A716" s="5"/>
      <c r="B716" s="5"/>
    </row>
    <row r="717" spans="1:2" x14ac:dyDescent="0.2">
      <c r="A717" s="5"/>
      <c r="B717" s="5"/>
    </row>
    <row r="718" spans="1:2" x14ac:dyDescent="0.2">
      <c r="A718" s="5"/>
      <c r="B718" s="5"/>
    </row>
    <row r="719" spans="1:2" x14ac:dyDescent="0.2">
      <c r="A719" s="5"/>
      <c r="B719" s="5"/>
    </row>
    <row r="720" spans="1:2" x14ac:dyDescent="0.2">
      <c r="A720" s="5"/>
      <c r="B720" s="5"/>
    </row>
    <row r="721" spans="1:2" x14ac:dyDescent="0.2">
      <c r="A721" s="5"/>
      <c r="B721" s="5"/>
    </row>
    <row r="722" spans="1:2" x14ac:dyDescent="0.2">
      <c r="A722" s="5"/>
      <c r="B722" s="5"/>
    </row>
    <row r="723" spans="1:2" x14ac:dyDescent="0.2">
      <c r="A723" s="5"/>
      <c r="B723" s="5"/>
    </row>
    <row r="724" spans="1:2" x14ac:dyDescent="0.2">
      <c r="A724" s="5"/>
      <c r="B724" s="5"/>
    </row>
    <row r="725" spans="1:2" x14ac:dyDescent="0.2">
      <c r="A725" s="5"/>
      <c r="B725" s="5"/>
    </row>
    <row r="726" spans="1:2" x14ac:dyDescent="0.2">
      <c r="A726" s="5"/>
      <c r="B726" s="5"/>
    </row>
    <row r="727" spans="1:2" x14ac:dyDescent="0.2">
      <c r="A727" s="5"/>
      <c r="B727" s="5"/>
    </row>
    <row r="728" spans="1:2" x14ac:dyDescent="0.2">
      <c r="A728" s="5"/>
      <c r="B728" s="5"/>
    </row>
    <row r="729" spans="1:2" x14ac:dyDescent="0.2">
      <c r="A729" s="5"/>
      <c r="B729" s="5"/>
    </row>
    <row r="730" spans="1:2" x14ac:dyDescent="0.2">
      <c r="A730" s="5"/>
      <c r="B730" s="5"/>
    </row>
    <row r="731" spans="1:2" x14ac:dyDescent="0.2">
      <c r="A731" s="5"/>
      <c r="B731" s="5"/>
    </row>
    <row r="732" spans="1:2" x14ac:dyDescent="0.2">
      <c r="A732" s="5"/>
      <c r="B732" s="5"/>
    </row>
    <row r="733" spans="1:2" x14ac:dyDescent="0.2">
      <c r="A733" s="5"/>
      <c r="B733" s="5"/>
    </row>
    <row r="734" spans="1:2" x14ac:dyDescent="0.2">
      <c r="A734" s="5"/>
      <c r="B734" s="5"/>
    </row>
    <row r="735" spans="1:2" x14ac:dyDescent="0.2">
      <c r="A735" s="5"/>
      <c r="B735" s="5"/>
    </row>
    <row r="736" spans="1:2" x14ac:dyDescent="0.2">
      <c r="A736" s="5"/>
      <c r="B736" s="5"/>
    </row>
    <row r="737" spans="1:2" x14ac:dyDescent="0.2">
      <c r="A737" s="5"/>
      <c r="B737" s="5"/>
    </row>
    <row r="738" spans="1:2" x14ac:dyDescent="0.2">
      <c r="A738" s="5"/>
      <c r="B738" s="5"/>
    </row>
    <row r="739" spans="1:2" x14ac:dyDescent="0.2">
      <c r="A739" s="5"/>
      <c r="B739" s="5"/>
    </row>
    <row r="740" spans="1:2" x14ac:dyDescent="0.2">
      <c r="A740" s="5"/>
      <c r="B740" s="5"/>
    </row>
    <row r="741" spans="1:2" x14ac:dyDescent="0.2">
      <c r="A741" s="5"/>
      <c r="B741" s="5"/>
    </row>
    <row r="742" spans="1:2" x14ac:dyDescent="0.2">
      <c r="A742" s="5"/>
      <c r="B742" s="5"/>
    </row>
    <row r="743" spans="1:2" x14ac:dyDescent="0.2">
      <c r="A743" s="5"/>
      <c r="B743" s="5"/>
    </row>
    <row r="744" spans="1:2" x14ac:dyDescent="0.2">
      <c r="A744" s="5"/>
      <c r="B744" s="5"/>
    </row>
    <row r="745" spans="1:2" x14ac:dyDescent="0.2">
      <c r="A745" s="5"/>
      <c r="B745" s="5"/>
    </row>
    <row r="746" spans="1:2" x14ac:dyDescent="0.2">
      <c r="A746" s="5"/>
      <c r="B746" s="5"/>
    </row>
    <row r="747" spans="1:2" x14ac:dyDescent="0.2">
      <c r="A747" s="5"/>
      <c r="B747" s="5"/>
    </row>
    <row r="748" spans="1:2" x14ac:dyDescent="0.2">
      <c r="A748" s="5"/>
      <c r="B748" s="5"/>
    </row>
    <row r="749" spans="1:2" x14ac:dyDescent="0.2">
      <c r="A749" s="5"/>
      <c r="B749" s="5"/>
    </row>
    <row r="750" spans="1:2" x14ac:dyDescent="0.2">
      <c r="A750" s="5"/>
      <c r="B750" s="5"/>
    </row>
    <row r="751" spans="1:2" x14ac:dyDescent="0.2">
      <c r="A751" s="5"/>
      <c r="B751" s="5"/>
    </row>
    <row r="752" spans="1:2" x14ac:dyDescent="0.2">
      <c r="A752" s="5"/>
      <c r="B752" s="5"/>
    </row>
    <row r="753" spans="1:2" x14ac:dyDescent="0.2">
      <c r="A753" s="5"/>
      <c r="B753" s="5"/>
    </row>
    <row r="754" spans="1:2" x14ac:dyDescent="0.2">
      <c r="A754" s="5"/>
      <c r="B754" s="5"/>
    </row>
    <row r="755" spans="1:2" x14ac:dyDescent="0.2">
      <c r="A755" s="5"/>
      <c r="B755" s="5"/>
    </row>
    <row r="756" spans="1:2" x14ac:dyDescent="0.2">
      <c r="A756" s="5"/>
      <c r="B756" s="5"/>
    </row>
    <row r="757" spans="1:2" x14ac:dyDescent="0.2">
      <c r="A757" s="5"/>
      <c r="B757" s="5"/>
    </row>
    <row r="758" spans="1:2" x14ac:dyDescent="0.2">
      <c r="A758" s="5"/>
      <c r="B758" s="5"/>
    </row>
    <row r="759" spans="1:2" x14ac:dyDescent="0.2">
      <c r="A759" s="5"/>
      <c r="B759" s="5"/>
    </row>
    <row r="760" spans="1:2" x14ac:dyDescent="0.2">
      <c r="A760" s="5"/>
      <c r="B760" s="5"/>
    </row>
    <row r="761" spans="1:2" x14ac:dyDescent="0.2">
      <c r="A761" s="5"/>
      <c r="B761" s="5"/>
    </row>
    <row r="762" spans="1:2" x14ac:dyDescent="0.2">
      <c r="A762" s="5"/>
      <c r="B762" s="5"/>
    </row>
    <row r="763" spans="1:2" x14ac:dyDescent="0.2">
      <c r="A763" s="5"/>
      <c r="B763" s="5"/>
    </row>
    <row r="764" spans="1:2" x14ac:dyDescent="0.2">
      <c r="A764" s="5"/>
      <c r="B764" s="5"/>
    </row>
    <row r="765" spans="1:2" x14ac:dyDescent="0.2">
      <c r="A765" s="5"/>
      <c r="B765" s="5"/>
    </row>
    <row r="766" spans="1:2" x14ac:dyDescent="0.2">
      <c r="A766" s="5"/>
      <c r="B766" s="5"/>
    </row>
    <row r="767" spans="1:2" x14ac:dyDescent="0.2">
      <c r="A767" s="5"/>
      <c r="B767" s="5"/>
    </row>
    <row r="768" spans="1:2" x14ac:dyDescent="0.2">
      <c r="A768" s="5"/>
      <c r="B768" s="5"/>
    </row>
    <row r="769" spans="1:2" x14ac:dyDescent="0.2">
      <c r="A769" s="5"/>
      <c r="B769" s="5"/>
    </row>
    <row r="770" spans="1:2" x14ac:dyDescent="0.2">
      <c r="A770" s="5"/>
      <c r="B770" s="5"/>
    </row>
    <row r="771" spans="1:2" x14ac:dyDescent="0.2">
      <c r="A771" s="5"/>
      <c r="B771" s="5"/>
    </row>
    <row r="772" spans="1:2" x14ac:dyDescent="0.2">
      <c r="A772" s="5"/>
      <c r="B772" s="5"/>
    </row>
    <row r="773" spans="1:2" x14ac:dyDescent="0.2">
      <c r="A773" s="5"/>
      <c r="B773" s="5"/>
    </row>
    <row r="774" spans="1:2" x14ac:dyDescent="0.2">
      <c r="A774" s="5"/>
      <c r="B774" s="5"/>
    </row>
    <row r="775" spans="1:2" x14ac:dyDescent="0.2">
      <c r="A775" s="5"/>
      <c r="B775" s="5"/>
    </row>
    <row r="776" spans="1:2" x14ac:dyDescent="0.2">
      <c r="A776" s="5"/>
      <c r="B776" s="5"/>
    </row>
    <row r="777" spans="1:2" x14ac:dyDescent="0.2">
      <c r="A777" s="5"/>
      <c r="B777" s="5"/>
    </row>
    <row r="778" spans="1:2" x14ac:dyDescent="0.2">
      <c r="A778" s="5"/>
      <c r="B778" s="5"/>
    </row>
    <row r="779" spans="1:2" x14ac:dyDescent="0.2">
      <c r="A779" s="5"/>
      <c r="B779" s="5"/>
    </row>
    <row r="780" spans="1:2" x14ac:dyDescent="0.2">
      <c r="A780" s="5"/>
      <c r="B780" s="5"/>
    </row>
    <row r="781" spans="1:2" x14ac:dyDescent="0.2">
      <c r="A781" s="5"/>
      <c r="B781" s="5"/>
    </row>
    <row r="782" spans="1:2" x14ac:dyDescent="0.2">
      <c r="A782" s="5"/>
      <c r="B782" s="5"/>
    </row>
    <row r="783" spans="1:2" x14ac:dyDescent="0.2">
      <c r="A783" s="5"/>
      <c r="B783" s="5"/>
    </row>
    <row r="784" spans="1:2" x14ac:dyDescent="0.2">
      <c r="A784" s="5"/>
      <c r="B784" s="5"/>
    </row>
    <row r="785" spans="1:2" x14ac:dyDescent="0.2">
      <c r="A785" s="5"/>
      <c r="B785" s="5"/>
    </row>
    <row r="786" spans="1:2" x14ac:dyDescent="0.2">
      <c r="A786" s="5"/>
      <c r="B786" s="5"/>
    </row>
    <row r="787" spans="1:2" x14ac:dyDescent="0.2">
      <c r="A787" s="5"/>
      <c r="B787" s="5"/>
    </row>
    <row r="788" spans="1:2" x14ac:dyDescent="0.2">
      <c r="A788" s="5"/>
      <c r="B788" s="5"/>
    </row>
    <row r="789" spans="1:2" x14ac:dyDescent="0.2">
      <c r="A789" s="5"/>
      <c r="B789" s="5"/>
    </row>
    <row r="790" spans="1:2" x14ac:dyDescent="0.2">
      <c r="A790" s="5"/>
      <c r="B790" s="5"/>
    </row>
    <row r="791" spans="1:2" x14ac:dyDescent="0.2">
      <c r="A791" s="5"/>
      <c r="B791" s="5"/>
    </row>
    <row r="792" spans="1:2" x14ac:dyDescent="0.2">
      <c r="A792" s="5"/>
      <c r="B792" s="5"/>
    </row>
    <row r="793" spans="1:2" x14ac:dyDescent="0.2">
      <c r="A793" s="5"/>
      <c r="B793" s="5"/>
    </row>
    <row r="794" spans="1:2" x14ac:dyDescent="0.2">
      <c r="A794" s="5"/>
      <c r="B794" s="5"/>
    </row>
    <row r="795" spans="1:2" x14ac:dyDescent="0.2">
      <c r="A795" s="5"/>
      <c r="B795" s="5"/>
    </row>
    <row r="796" spans="1:2" x14ac:dyDescent="0.2">
      <c r="A796" s="5"/>
      <c r="B796" s="5"/>
    </row>
    <row r="797" spans="1:2" x14ac:dyDescent="0.2">
      <c r="A797" s="5"/>
      <c r="B797" s="5"/>
    </row>
    <row r="798" spans="1:2" x14ac:dyDescent="0.2">
      <c r="A798" s="5"/>
      <c r="B798" s="5"/>
    </row>
    <row r="799" spans="1:2" x14ac:dyDescent="0.2">
      <c r="A799" s="5"/>
      <c r="B799" s="5"/>
    </row>
    <row r="800" spans="1:2" x14ac:dyDescent="0.2">
      <c r="A800" s="5"/>
      <c r="B800" s="5"/>
    </row>
    <row r="801" spans="1:2" x14ac:dyDescent="0.2">
      <c r="A801" s="5"/>
      <c r="B801" s="5"/>
    </row>
    <row r="802" spans="1:2" x14ac:dyDescent="0.2">
      <c r="A802" s="5"/>
      <c r="B802" s="5"/>
    </row>
    <row r="803" spans="1:2" x14ac:dyDescent="0.2">
      <c r="A803" s="5"/>
      <c r="B803" s="5"/>
    </row>
    <row r="804" spans="1:2" x14ac:dyDescent="0.2">
      <c r="A804" s="5"/>
      <c r="B804" s="5"/>
    </row>
    <row r="805" spans="1:2" x14ac:dyDescent="0.2">
      <c r="A805" s="5"/>
      <c r="B805" s="5"/>
    </row>
    <row r="806" spans="1:2" x14ac:dyDescent="0.2">
      <c r="A806" s="5"/>
      <c r="B806" s="5"/>
    </row>
    <row r="807" spans="1:2" x14ac:dyDescent="0.2">
      <c r="A807" s="5"/>
      <c r="B807" s="5"/>
    </row>
    <row r="808" spans="1:2" x14ac:dyDescent="0.2">
      <c r="A808" s="5"/>
      <c r="B808" s="5"/>
    </row>
    <row r="809" spans="1:2" x14ac:dyDescent="0.2">
      <c r="A809" s="5"/>
      <c r="B809" s="5"/>
    </row>
    <row r="810" spans="1:2" x14ac:dyDescent="0.2">
      <c r="A810" s="5"/>
      <c r="B810" s="5"/>
    </row>
    <row r="811" spans="1:2" x14ac:dyDescent="0.2">
      <c r="A811" s="5"/>
      <c r="B811" s="5"/>
    </row>
    <row r="812" spans="1:2" x14ac:dyDescent="0.2">
      <c r="A812" s="5"/>
      <c r="B812" s="5"/>
    </row>
    <row r="813" spans="1:2" x14ac:dyDescent="0.2">
      <c r="A813" s="5"/>
      <c r="B813" s="5"/>
    </row>
    <row r="814" spans="1:2" x14ac:dyDescent="0.2">
      <c r="A814" s="5"/>
      <c r="B814" s="5"/>
    </row>
    <row r="815" spans="1:2" x14ac:dyDescent="0.2">
      <c r="A815" s="5"/>
      <c r="B815" s="5"/>
    </row>
    <row r="816" spans="1:2" x14ac:dyDescent="0.2">
      <c r="A816" s="5"/>
      <c r="B816" s="5"/>
    </row>
    <row r="817" spans="1:2" x14ac:dyDescent="0.2">
      <c r="A817" s="5"/>
      <c r="B817" s="5"/>
    </row>
    <row r="818" spans="1:2" x14ac:dyDescent="0.2">
      <c r="A818" s="5"/>
      <c r="B818" s="5"/>
    </row>
    <row r="819" spans="1:2" x14ac:dyDescent="0.2">
      <c r="A819" s="5"/>
      <c r="B819" s="5"/>
    </row>
    <row r="820" spans="1:2" x14ac:dyDescent="0.2">
      <c r="A820" s="5"/>
      <c r="B820" s="5"/>
    </row>
    <row r="821" spans="1:2" x14ac:dyDescent="0.2">
      <c r="A821" s="5"/>
      <c r="B821" s="5"/>
    </row>
    <row r="822" spans="1:2" x14ac:dyDescent="0.2">
      <c r="A822" s="5"/>
      <c r="B822" s="5"/>
    </row>
    <row r="823" spans="1:2" x14ac:dyDescent="0.2">
      <c r="A823" s="5"/>
      <c r="B823" s="5"/>
    </row>
    <row r="824" spans="1:2" x14ac:dyDescent="0.2">
      <c r="A824" s="5"/>
      <c r="B824" s="5"/>
    </row>
    <row r="825" spans="1:2" x14ac:dyDescent="0.2">
      <c r="A825" s="5"/>
      <c r="B825" s="5"/>
    </row>
    <row r="826" spans="1:2" x14ac:dyDescent="0.2">
      <c r="A826" s="20"/>
    </row>
    <row r="827" spans="1:2" x14ac:dyDescent="0.2">
      <c r="A827" s="20"/>
    </row>
  </sheetData>
  <mergeCells count="60">
    <mergeCell ref="B14:B16"/>
    <mergeCell ref="B204:B205"/>
    <mergeCell ref="B604:B606"/>
    <mergeCell ref="H1:K1"/>
    <mergeCell ref="H3:K3"/>
    <mergeCell ref="H2:K2"/>
    <mergeCell ref="B155:B156"/>
    <mergeCell ref="B26:B37"/>
    <mergeCell ref="B40:B41"/>
    <mergeCell ref="B44:B46"/>
    <mergeCell ref="B49:B50"/>
    <mergeCell ref="B53:B55"/>
    <mergeCell ref="B151:B152"/>
    <mergeCell ref="B165:B170"/>
    <mergeCell ref="B173:B188"/>
    <mergeCell ref="B552:B557"/>
    <mergeCell ref="B534:B536"/>
    <mergeCell ref="B473:B474"/>
    <mergeCell ref="B452:B455"/>
    <mergeCell ref="B446:B449"/>
    <mergeCell ref="B435:B443"/>
    <mergeCell ref="B527:B531"/>
    <mergeCell ref="B69:B70"/>
    <mergeCell ref="B131:B132"/>
    <mergeCell ref="B141:B142"/>
    <mergeCell ref="B135:B138"/>
    <mergeCell ref="B306:B310"/>
    <mergeCell ref="B226:B227"/>
    <mergeCell ref="B200:B201"/>
    <mergeCell ref="B74:B120"/>
    <mergeCell ref="B258:B259"/>
    <mergeCell ref="B262:B263"/>
    <mergeCell ref="B238:B255"/>
    <mergeCell ref="B266:B269"/>
    <mergeCell ref="B272:B275"/>
    <mergeCell ref="B292:B293"/>
    <mergeCell ref="B297:B298"/>
    <mergeCell ref="A636:B636"/>
    <mergeCell ref="B344:B352"/>
    <mergeCell ref="B330:B331"/>
    <mergeCell ref="B600:B601"/>
    <mergeCell ref="B617:B627"/>
    <mergeCell ref="B630:B634"/>
    <mergeCell ref="B417:B430"/>
    <mergeCell ref="B467:B469"/>
    <mergeCell ref="B458:B461"/>
    <mergeCell ref="B482:B496"/>
    <mergeCell ref="B499:B500"/>
    <mergeCell ref="B506:B511"/>
    <mergeCell ref="B514:B524"/>
    <mergeCell ref="B544:B549"/>
    <mergeCell ref="B357:B365"/>
    <mergeCell ref="B370:B373"/>
    <mergeCell ref="B382:B385"/>
    <mergeCell ref="B386:B388"/>
    <mergeCell ref="B145:B147"/>
    <mergeCell ref="B313:B316"/>
    <mergeCell ref="B334:B342"/>
    <mergeCell ref="B319:B320"/>
    <mergeCell ref="B323:B324"/>
  </mergeCells>
  <printOptions horizontalCentered="1" verticalCentered="1"/>
  <pageMargins left="0.25" right="0.25" top="0.75" bottom="0.75" header="0.3" footer="0.3"/>
  <pageSetup paperSize="3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Normal="100" workbookViewId="0">
      <selection activeCell="J7" sqref="J7"/>
    </sheetView>
  </sheetViews>
  <sheetFormatPr defaultColWidth="8.88671875" defaultRowHeight="15" x14ac:dyDescent="0.2"/>
  <cols>
    <col min="1" max="1" width="8.88671875" style="9"/>
    <col min="2" max="2" width="9.44140625" style="9" bestFit="1" customWidth="1"/>
    <col min="3" max="4" width="8.88671875" style="9"/>
    <col min="5" max="7" width="13.109375" style="9" customWidth="1"/>
    <col min="8" max="8" width="11.44140625" style="9" bestFit="1" customWidth="1"/>
    <col min="9" max="9" width="13.5546875" style="9" bestFit="1" customWidth="1"/>
    <col min="10" max="10" width="11.44140625" style="9" bestFit="1" customWidth="1"/>
    <col min="11" max="13" width="8.88671875" style="9"/>
    <col min="14" max="14" width="10" style="9" customWidth="1"/>
    <col min="15" max="15" width="8.88671875" style="9"/>
    <col min="16" max="16" width="11.44140625" style="9" bestFit="1" customWidth="1"/>
    <col min="17" max="16384" width="8.88671875" style="9"/>
  </cols>
  <sheetData>
    <row r="1" spans="1:15" ht="30" x14ac:dyDescent="0.2">
      <c r="B1" s="9" t="s">
        <v>23</v>
      </c>
      <c r="C1" s="9" t="s">
        <v>542</v>
      </c>
      <c r="D1" s="9" t="s">
        <v>25</v>
      </c>
      <c r="E1" s="9" t="s">
        <v>543</v>
      </c>
      <c r="F1" s="9" t="s">
        <v>544</v>
      </c>
      <c r="G1" s="9" t="s">
        <v>545</v>
      </c>
      <c r="H1" s="9" t="s">
        <v>546</v>
      </c>
      <c r="I1" s="9" t="s">
        <v>547</v>
      </c>
      <c r="J1" s="9" t="s">
        <v>203</v>
      </c>
    </row>
    <row r="2" spans="1:15" ht="30" x14ac:dyDescent="0.2">
      <c r="A2" s="9" t="s">
        <v>548</v>
      </c>
      <c r="B2" s="9">
        <v>467</v>
      </c>
      <c r="C2" s="9">
        <v>9.3330000000000002</v>
      </c>
      <c r="D2" s="9">
        <f>B2*C2</f>
        <v>4358.5110000000004</v>
      </c>
      <c r="E2" s="9">
        <f>D2-0</f>
        <v>4358.5110000000004</v>
      </c>
      <c r="F2" s="9">
        <f>E2/C2</f>
        <v>467.00000000000006</v>
      </c>
      <c r="G2" s="9" t="s">
        <v>549</v>
      </c>
      <c r="H2" s="9">
        <v>1</v>
      </c>
      <c r="I2" s="9">
        <f>E2*H2</f>
        <v>4358.5110000000004</v>
      </c>
      <c r="J2" s="9">
        <v>0</v>
      </c>
    </row>
    <row r="3" spans="1:15" ht="30" x14ac:dyDescent="0.2">
      <c r="A3" s="9" t="s">
        <v>550</v>
      </c>
      <c r="B3" s="9">
        <v>571.1</v>
      </c>
      <c r="C3" s="9">
        <v>9.3330000000000002</v>
      </c>
      <c r="D3" s="9">
        <f t="shared" ref="D3:D5" si="0">B3*C3</f>
        <v>5330.0763000000006</v>
      </c>
      <c r="E3" s="9">
        <f>D3-(23*3*7)-(7*3.75*3.75)</f>
        <v>4748.6388000000006</v>
      </c>
      <c r="F3" s="9">
        <f t="shared" ref="F3:F5" si="1">E3/C3</f>
        <v>508.80090003214406</v>
      </c>
      <c r="G3" s="9" t="s">
        <v>549</v>
      </c>
      <c r="H3" s="9">
        <v>2</v>
      </c>
      <c r="I3" s="9">
        <f t="shared" ref="I3:I5" si="2">E3*H3</f>
        <v>9497.2776000000013</v>
      </c>
      <c r="J3" s="9">
        <f>E3</f>
        <v>4748.6388000000006</v>
      </c>
    </row>
    <row r="4" spans="1:15" ht="30" x14ac:dyDescent="0.2">
      <c r="A4" s="9" t="s">
        <v>551</v>
      </c>
      <c r="B4" s="9">
        <v>36.9</v>
      </c>
      <c r="C4" s="9">
        <v>3.5</v>
      </c>
      <c r="D4" s="9">
        <f t="shared" si="0"/>
        <v>129.15</v>
      </c>
      <c r="E4" s="9">
        <f>D4-0</f>
        <v>129.15</v>
      </c>
      <c r="F4" s="9">
        <f t="shared" si="1"/>
        <v>36.9</v>
      </c>
      <c r="G4" s="9" t="s">
        <v>549</v>
      </c>
      <c r="H4" s="9">
        <v>2</v>
      </c>
      <c r="I4" s="9">
        <f t="shared" si="2"/>
        <v>258.3</v>
      </c>
      <c r="J4" s="9">
        <v>0</v>
      </c>
    </row>
    <row r="5" spans="1:15" x14ac:dyDescent="0.2">
      <c r="A5" s="9" t="s">
        <v>552</v>
      </c>
      <c r="B5" s="9">
        <v>106</v>
      </c>
      <c r="C5" s="9">
        <v>9.3330000000000002</v>
      </c>
      <c r="D5" s="9">
        <f t="shared" si="0"/>
        <v>989.298</v>
      </c>
      <c r="E5" s="9">
        <f>D5-(3*7*2)</f>
        <v>947.298</v>
      </c>
      <c r="F5" s="9">
        <f t="shared" si="1"/>
        <v>101.49983927997428</v>
      </c>
      <c r="G5" s="9" t="s">
        <v>553</v>
      </c>
      <c r="H5" s="9">
        <v>4</v>
      </c>
      <c r="I5" s="9">
        <f t="shared" si="2"/>
        <v>3789.192</v>
      </c>
      <c r="J5" s="9">
        <f>E5</f>
        <v>947.298</v>
      </c>
    </row>
    <row r="6" spans="1:15" x14ac:dyDescent="0.2">
      <c r="I6" s="9">
        <f>SUM(I2:I4)</f>
        <v>14114.088600000001</v>
      </c>
      <c r="J6" s="9">
        <f>SUM(J2:J5)</f>
        <v>5695.9368000000004</v>
      </c>
    </row>
    <row r="14" spans="1:15" ht="15" customHeight="1" x14ac:dyDescent="0.2"/>
    <row r="15" spans="1:15" x14ac:dyDescent="0.2">
      <c r="L15" s="10"/>
      <c r="M15" s="10"/>
      <c r="O15" s="10"/>
    </row>
    <row r="20" spans="1:10" x14ac:dyDescent="0.2">
      <c r="A20" s="11"/>
    </row>
    <row r="21" spans="1:10" x14ac:dyDescent="0.2">
      <c r="A21" s="11"/>
    </row>
    <row r="24" spans="1:10" x14ac:dyDescent="0.2">
      <c r="A24" s="11"/>
    </row>
    <row r="25" spans="1:10" x14ac:dyDescent="0.2">
      <c r="A25" s="11"/>
    </row>
    <row r="30" spans="1:10" x14ac:dyDescent="0.2">
      <c r="E30" s="10"/>
      <c r="F30" s="10"/>
      <c r="G30" s="10"/>
      <c r="H30" s="12"/>
      <c r="J30" s="12"/>
    </row>
    <row r="31" spans="1:10" x14ac:dyDescent="0.2">
      <c r="E31" s="10"/>
      <c r="F31" s="10"/>
      <c r="G31" s="10"/>
      <c r="H31" s="12"/>
      <c r="J31" s="12"/>
    </row>
    <row r="36" spans="1:17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 x14ac:dyDescent="0.2">
      <c r="A37" s="10"/>
      <c r="B37" s="10"/>
      <c r="C37" s="10"/>
      <c r="E37" s="10"/>
      <c r="F37" s="10"/>
      <c r="G37" s="10"/>
      <c r="H37" s="10"/>
      <c r="K37" s="12"/>
    </row>
    <row r="38" spans="1:17" x14ac:dyDescent="0.2">
      <c r="A38" s="10"/>
      <c r="B38" s="10"/>
      <c r="C38" s="10"/>
      <c r="E38" s="10"/>
      <c r="F38" s="10"/>
      <c r="G38" s="10"/>
      <c r="H38" s="10"/>
      <c r="K38" s="12"/>
    </row>
    <row r="39" spans="1:17" x14ac:dyDescent="0.2">
      <c r="A39" s="10"/>
      <c r="B39" s="10"/>
      <c r="C39" s="10"/>
      <c r="E39" s="10"/>
      <c r="F39" s="10"/>
      <c r="G39" s="10"/>
      <c r="H39" s="10"/>
      <c r="K39" s="12"/>
    </row>
    <row r="40" spans="1:17" x14ac:dyDescent="0.2">
      <c r="A40" s="10"/>
      <c r="B40" s="10"/>
      <c r="C40" s="10"/>
      <c r="E40" s="10"/>
      <c r="F40" s="10"/>
      <c r="G40" s="10"/>
      <c r="H40" s="10"/>
      <c r="K40" s="12"/>
    </row>
    <row r="41" spans="1:17" x14ac:dyDescent="0.2">
      <c r="A41" s="10"/>
      <c r="B41" s="10"/>
      <c r="C41" s="10"/>
      <c r="E41" s="10"/>
      <c r="F41" s="10"/>
      <c r="G41" s="10"/>
      <c r="K41" s="12"/>
    </row>
    <row r="42" spans="1:17" x14ac:dyDescent="0.2">
      <c r="A42" s="10"/>
      <c r="B42" s="10"/>
      <c r="C42" s="10"/>
      <c r="E42" s="10"/>
      <c r="F42" s="10"/>
      <c r="G42" s="10"/>
      <c r="K42" s="12"/>
    </row>
    <row r="43" spans="1:17" x14ac:dyDescent="0.2">
      <c r="A43" s="10"/>
      <c r="B43" s="10"/>
      <c r="C43" s="10"/>
      <c r="E43" s="10"/>
      <c r="F43" s="10"/>
      <c r="G43" s="10"/>
      <c r="K43" s="12"/>
    </row>
    <row r="44" spans="1:17" x14ac:dyDescent="0.2">
      <c r="A44" s="10"/>
      <c r="B44" s="10"/>
      <c r="C44" s="10"/>
      <c r="E44" s="10"/>
      <c r="F44" s="10"/>
      <c r="G44" s="10"/>
      <c r="K44" s="12"/>
    </row>
    <row r="45" spans="1:17" x14ac:dyDescent="0.2">
      <c r="A45" s="10"/>
      <c r="B45" s="10"/>
      <c r="C45" s="10"/>
      <c r="E45" s="10"/>
      <c r="F45" s="10"/>
      <c r="G45" s="10"/>
      <c r="H45" s="10"/>
      <c r="K45" s="12"/>
    </row>
    <row r="46" spans="1:17" x14ac:dyDescent="0.2">
      <c r="A46" s="10"/>
      <c r="B46" s="10"/>
      <c r="C46" s="10"/>
      <c r="E46" s="10"/>
      <c r="F46" s="10"/>
      <c r="G46" s="10"/>
      <c r="H46" s="10"/>
      <c r="K46" s="12"/>
      <c r="P46" s="12"/>
    </row>
    <row r="47" spans="1:17" x14ac:dyDescent="0.2">
      <c r="N47" s="13"/>
      <c r="P47" s="12"/>
    </row>
    <row r="52" spans="2:9" x14ac:dyDescent="0.2">
      <c r="B52" s="12"/>
    </row>
    <row r="56" spans="2:9" x14ac:dyDescent="0.2">
      <c r="C56" s="10"/>
      <c r="D56" s="10"/>
      <c r="E56" s="10"/>
      <c r="F56" s="10"/>
      <c r="G56" s="10"/>
    </row>
    <row r="63" spans="2:9" x14ac:dyDescent="0.2">
      <c r="I63" s="12"/>
    </row>
    <row r="68" spans="11:11" x14ac:dyDescent="0.2">
      <c r="K68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topLeftCell="A25" workbookViewId="0">
      <selection activeCell="B34" sqref="B34"/>
    </sheetView>
  </sheetViews>
  <sheetFormatPr defaultRowHeight="15" x14ac:dyDescent="0.2"/>
  <cols>
    <col min="2" max="2" width="69.6640625" style="4" customWidth="1"/>
  </cols>
  <sheetData>
    <row r="1" spans="2:3" ht="15.75" x14ac:dyDescent="0.25">
      <c r="B1" s="4" t="s">
        <v>554</v>
      </c>
      <c r="C1" s="1" t="s">
        <v>555</v>
      </c>
    </row>
    <row r="2" spans="2:3" x14ac:dyDescent="0.2">
      <c r="B2" s="4" t="s">
        <v>556</v>
      </c>
    </row>
    <row r="3" spans="2:3" x14ac:dyDescent="0.2">
      <c r="B3" s="4" t="s">
        <v>557</v>
      </c>
    </row>
    <row r="4" spans="2:3" ht="30" x14ac:dyDescent="0.2">
      <c r="B4" s="4" t="s">
        <v>558</v>
      </c>
    </row>
    <row r="5" spans="2:3" x14ac:dyDescent="0.2">
      <c r="B5" s="4" t="s">
        <v>559</v>
      </c>
    </row>
    <row r="6" spans="2:3" ht="30" x14ac:dyDescent="0.2">
      <c r="B6" s="4" t="s">
        <v>560</v>
      </c>
    </row>
    <row r="7" spans="2:3" ht="28.5" customHeight="1" x14ac:dyDescent="0.2">
      <c r="B7" s="4" t="s">
        <v>561</v>
      </c>
    </row>
    <row r="8" spans="2:3" x14ac:dyDescent="0.2">
      <c r="B8" s="4" t="s">
        <v>562</v>
      </c>
    </row>
    <row r="9" spans="2:3" ht="30" x14ac:dyDescent="0.2">
      <c r="B9" s="4" t="s">
        <v>563</v>
      </c>
    </row>
    <row r="10" spans="2:3" x14ac:dyDescent="0.2">
      <c r="B10" s="4" t="s">
        <v>564</v>
      </c>
    </row>
    <row r="11" spans="2:3" x14ac:dyDescent="0.2">
      <c r="B11" s="4" t="s">
        <v>565</v>
      </c>
    </row>
    <row r="12" spans="2:3" ht="30" x14ac:dyDescent="0.2">
      <c r="B12" s="4" t="s">
        <v>566</v>
      </c>
    </row>
    <row r="13" spans="2:3" x14ac:dyDescent="0.2">
      <c r="B13" s="4" t="s">
        <v>567</v>
      </c>
    </row>
    <row r="14" spans="2:3" s="5" customFormat="1" ht="31.5" customHeight="1" x14ac:dyDescent="0.2">
      <c r="B14" s="6" t="s">
        <v>568</v>
      </c>
    </row>
    <row r="15" spans="2:3" ht="30" x14ac:dyDescent="0.2">
      <c r="B15" s="4" t="s">
        <v>569</v>
      </c>
    </row>
    <row r="16" spans="2:3" ht="30" x14ac:dyDescent="0.2">
      <c r="B16" s="4" t="s">
        <v>570</v>
      </c>
    </row>
    <row r="17" spans="2:3" ht="15.75" x14ac:dyDescent="0.25">
      <c r="C17" s="1"/>
    </row>
    <row r="18" spans="2:3" ht="30.75" x14ac:dyDescent="0.25">
      <c r="B18" s="7" t="s">
        <v>571</v>
      </c>
      <c r="C18" s="1" t="s">
        <v>256</v>
      </c>
    </row>
    <row r="19" spans="2:3" ht="30" x14ac:dyDescent="0.2">
      <c r="B19" s="7" t="s">
        <v>572</v>
      </c>
    </row>
    <row r="20" spans="2:3" ht="30" x14ac:dyDescent="0.2">
      <c r="B20" s="7" t="s">
        <v>573</v>
      </c>
    </row>
    <row r="21" spans="2:3" ht="30" x14ac:dyDescent="0.2">
      <c r="B21" s="7" t="s">
        <v>574</v>
      </c>
    </row>
    <row r="22" spans="2:3" ht="30" x14ac:dyDescent="0.2">
      <c r="B22" s="7" t="s">
        <v>575</v>
      </c>
    </row>
    <row r="23" spans="2:3" ht="30" x14ac:dyDescent="0.2">
      <c r="B23" s="7" t="s">
        <v>576</v>
      </c>
    </row>
    <row r="24" spans="2:3" ht="30" x14ac:dyDescent="0.2">
      <c r="B24" s="7" t="s">
        <v>577</v>
      </c>
    </row>
    <row r="25" spans="2:3" ht="30" x14ac:dyDescent="0.2">
      <c r="B25" s="7" t="s">
        <v>578</v>
      </c>
    </row>
    <row r="26" spans="2:3" ht="30" x14ac:dyDescent="0.2">
      <c r="B26" s="7" t="s">
        <v>579</v>
      </c>
    </row>
    <row r="27" spans="2:3" ht="30" x14ac:dyDescent="0.2">
      <c r="B27" s="7" t="s">
        <v>580</v>
      </c>
    </row>
    <row r="28" spans="2:3" x14ac:dyDescent="0.2">
      <c r="B28" s="7" t="s">
        <v>581</v>
      </c>
    </row>
    <row r="29" spans="2:3" ht="30" x14ac:dyDescent="0.2">
      <c r="B29" s="7" t="s">
        <v>582</v>
      </c>
    </row>
    <row r="30" spans="2:3" x14ac:dyDescent="0.2">
      <c r="B30" s="7" t="s">
        <v>583</v>
      </c>
    </row>
    <row r="31" spans="2:3" x14ac:dyDescent="0.2">
      <c r="B31" s="7" t="s">
        <v>584</v>
      </c>
    </row>
    <row r="32" spans="2:3" x14ac:dyDescent="0.2">
      <c r="B32" s="7" t="s">
        <v>585</v>
      </c>
    </row>
    <row r="33" spans="2:4" ht="30" x14ac:dyDescent="0.2">
      <c r="B33" s="7" t="s">
        <v>586</v>
      </c>
    </row>
    <row r="34" spans="2:4" ht="30" x14ac:dyDescent="0.2">
      <c r="B34" s="7" t="s">
        <v>587</v>
      </c>
    </row>
    <row r="35" spans="2:4" x14ac:dyDescent="0.2">
      <c r="B35" s="7" t="s">
        <v>588</v>
      </c>
    </row>
    <row r="36" spans="2:4" x14ac:dyDescent="0.2">
      <c r="B36" s="7" t="s">
        <v>589</v>
      </c>
    </row>
    <row r="37" spans="2:4" x14ac:dyDescent="0.2">
      <c r="B37" s="7" t="s">
        <v>590</v>
      </c>
    </row>
    <row r="38" spans="2:4" ht="15.75" x14ac:dyDescent="0.25">
      <c r="C38" s="1"/>
      <c r="D38" s="1"/>
    </row>
    <row r="39" spans="2:4" ht="30.75" x14ac:dyDescent="0.25">
      <c r="B39" s="7" t="s">
        <v>591</v>
      </c>
      <c r="C39" s="1" t="s">
        <v>451</v>
      </c>
    </row>
    <row r="40" spans="2:4" ht="30" x14ac:dyDescent="0.2">
      <c r="B40" s="7" t="s">
        <v>592</v>
      </c>
    </row>
    <row r="41" spans="2:4" x14ac:dyDescent="0.2">
      <c r="B41" s="7" t="s">
        <v>593</v>
      </c>
    </row>
    <row r="42" spans="2:4" x14ac:dyDescent="0.2">
      <c r="B42" s="7" t="s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Detailed Estimate </vt:lpstr>
      <vt:lpstr>Rough</vt:lpstr>
      <vt:lpstr>Sheet2</vt:lpstr>
      <vt:lpstr>Chart1</vt:lpstr>
      <vt:lpstr>'Detailed Estimate 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ESTIMATORR</dc:creator>
  <cp:keywords/>
  <dc:description/>
  <cp:lastModifiedBy>HP</cp:lastModifiedBy>
  <cp:revision/>
  <cp:lastPrinted>2020-01-29T19:11:19Z</cp:lastPrinted>
  <dcterms:created xsi:type="dcterms:W3CDTF">2004-05-05T14:08:18Z</dcterms:created>
  <dcterms:modified xsi:type="dcterms:W3CDTF">2020-03-23T17:23:39Z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