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mc:AlternateContent xmlns:mc="http://schemas.openxmlformats.org/markup-compatibility/2006">
    <mc:Choice Requires="x15">
      <x15ac:absPath xmlns:x15ac="http://schemas.microsoft.com/office/spreadsheetml/2010/11/ac" url="D:\Estimation\QTO Estimating\Samples\TO UPLOAD\Complete Estimate\"/>
    </mc:Choice>
  </mc:AlternateContent>
  <xr:revisionPtr revIDLastSave="0" documentId="13_ncr:1_{A6C255E6-A33B-46AE-995C-B14FF2950E33}" xr6:coauthVersionLast="45" xr6:coauthVersionMax="45" xr10:uidLastSave="{00000000-0000-0000-0000-000000000000}"/>
  <workbookProtection lockStructure="1"/>
  <bookViews>
    <workbookView xWindow="-120" yWindow="-120" windowWidth="20730" windowHeight="11160" tabRatio="833" xr2:uid="{00000000-000D-0000-FFFF-FFFF00000000}"/>
  </bookViews>
  <sheets>
    <sheet name="Sheet" sheetId="1" r:id="rId1"/>
  </sheets>
  <definedNames>
    <definedName name="_xlnm._FilterDatabase" localSheetId="0" hidden="1">Sheet!$A$1:$U$308</definedName>
    <definedName name="_xlnm.Print_Area" localSheetId="0">Sheet!$A$1:$N$291</definedName>
    <definedName name="_xlnm.Print_Titles" localSheetId="0">Sheet!$1:$10</definedName>
    <definedName name="TotalMonthlyExpenses">SUM(#REF!)</definedName>
    <definedName name="TotalMonthlyIncome">SUM(#REF!)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86" i="1" l="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K150" i="1"/>
  <c r="L150" i="1"/>
  <c r="M150" i="1" s="1"/>
  <c r="J150" i="1"/>
  <c r="L93" i="1"/>
  <c r="F93" i="1"/>
  <c r="J93" i="1" s="1"/>
  <c r="L278" i="1"/>
  <c r="M278" i="1" s="1"/>
  <c r="K278" i="1"/>
  <c r="J278" i="1"/>
  <c r="L282" i="1"/>
  <c r="M282" i="1" s="1"/>
  <c r="K282" i="1"/>
  <c r="J282" i="1"/>
  <c r="F180" i="1"/>
  <c r="K191" i="1"/>
  <c r="L191" i="1"/>
  <c r="M191" i="1" s="1"/>
  <c r="J191" i="1"/>
  <c r="L228" i="1"/>
  <c r="M228" i="1" s="1"/>
  <c r="K228" i="1"/>
  <c r="J228" i="1"/>
  <c r="L227" i="1"/>
  <c r="M227" i="1" s="1"/>
  <c r="K227" i="1"/>
  <c r="J227" i="1"/>
  <c r="L271" i="1"/>
  <c r="M271" i="1" s="1"/>
  <c r="K271" i="1"/>
  <c r="J271" i="1"/>
  <c r="L270" i="1"/>
  <c r="M270" i="1" s="1"/>
  <c r="K270" i="1"/>
  <c r="J270" i="1"/>
  <c r="L269" i="1"/>
  <c r="M269" i="1" s="1"/>
  <c r="K269" i="1"/>
  <c r="J269" i="1"/>
  <c r="L268" i="1"/>
  <c r="M268" i="1" s="1"/>
  <c r="K268" i="1"/>
  <c r="J268" i="1"/>
  <c r="K267" i="1"/>
  <c r="L267" i="1"/>
  <c r="M267" i="1" s="1"/>
  <c r="J267" i="1"/>
  <c r="K266" i="1"/>
  <c r="L266" i="1"/>
  <c r="M266" i="1" s="1"/>
  <c r="J266" i="1"/>
  <c r="L265" i="1"/>
  <c r="M265" i="1" s="1"/>
  <c r="K265" i="1"/>
  <c r="J265" i="1"/>
  <c r="L276" i="1"/>
  <c r="M276" i="1" s="1"/>
  <c r="K276" i="1"/>
  <c r="J276" i="1"/>
  <c r="F273" i="1"/>
  <c r="J273" i="1" s="1"/>
  <c r="L275" i="1"/>
  <c r="M275" i="1" s="1"/>
  <c r="K275" i="1"/>
  <c r="J275" i="1"/>
  <c r="L274" i="1"/>
  <c r="M274" i="1" s="1"/>
  <c r="K274" i="1"/>
  <c r="J274" i="1"/>
  <c r="L273" i="1"/>
  <c r="K273" i="1"/>
  <c r="L51" i="1"/>
  <c r="F51" i="1"/>
  <c r="J51" i="1" s="1"/>
  <c r="L168" i="1"/>
  <c r="F168" i="1"/>
  <c r="J168" i="1" s="1"/>
  <c r="L178" i="1"/>
  <c r="M178" i="1" s="1"/>
  <c r="K178" i="1"/>
  <c r="J178" i="1"/>
  <c r="L177" i="1"/>
  <c r="F177" i="1"/>
  <c r="K177" i="1" s="1"/>
  <c r="L176" i="1"/>
  <c r="M176" i="1" s="1"/>
  <c r="K176" i="1"/>
  <c r="J176" i="1"/>
  <c r="L175" i="1"/>
  <c r="M175" i="1" s="1"/>
  <c r="K175" i="1"/>
  <c r="J175" i="1"/>
  <c r="L174" i="1"/>
  <c r="M174" i="1" s="1"/>
  <c r="K174" i="1"/>
  <c r="J174" i="1"/>
  <c r="L173" i="1"/>
  <c r="F173" i="1"/>
  <c r="K173" i="1" s="1"/>
  <c r="L172" i="1"/>
  <c r="M172" i="1" s="1"/>
  <c r="K172" i="1"/>
  <c r="J172" i="1"/>
  <c r="L171" i="1"/>
  <c r="M171" i="1" s="1"/>
  <c r="K171" i="1"/>
  <c r="J171" i="1"/>
  <c r="L170" i="1"/>
  <c r="F170" i="1"/>
  <c r="J170" i="1" s="1"/>
  <c r="L169" i="1"/>
  <c r="M169" i="1" s="1"/>
  <c r="K169" i="1"/>
  <c r="J169" i="1"/>
  <c r="L167" i="1"/>
  <c r="M167" i="1" s="1"/>
  <c r="K167" i="1"/>
  <c r="J167" i="1"/>
  <c r="L166" i="1"/>
  <c r="M166" i="1" s="1"/>
  <c r="K166" i="1"/>
  <c r="J166" i="1"/>
  <c r="L165" i="1"/>
  <c r="M165" i="1" s="1"/>
  <c r="K165" i="1"/>
  <c r="J165" i="1"/>
  <c r="L164" i="1"/>
  <c r="M164" i="1" s="1"/>
  <c r="K164" i="1"/>
  <c r="J164" i="1"/>
  <c r="K255" i="1"/>
  <c r="L255" i="1"/>
  <c r="M255" i="1" s="1"/>
  <c r="J255" i="1"/>
  <c r="L254" i="1"/>
  <c r="M254" i="1" s="1"/>
  <c r="K254" i="1"/>
  <c r="J254" i="1"/>
  <c r="L253" i="1"/>
  <c r="M253" i="1" s="1"/>
  <c r="K253" i="1"/>
  <c r="J253" i="1"/>
  <c r="L27" i="1"/>
  <c r="F27" i="1"/>
  <c r="J26" i="1"/>
  <c r="L26" i="1"/>
  <c r="M26" i="1" s="1"/>
  <c r="K26" i="1"/>
  <c r="L25" i="1"/>
  <c r="M25" i="1" s="1"/>
  <c r="K25" i="1"/>
  <c r="J25" i="1"/>
  <c r="L252" i="1"/>
  <c r="L251" i="1"/>
  <c r="M251" i="1" s="1"/>
  <c r="K251" i="1"/>
  <c r="J251" i="1"/>
  <c r="F252" i="1"/>
  <c r="K252" i="1" s="1"/>
  <c r="L250" i="1"/>
  <c r="M250" i="1" s="1"/>
  <c r="K250" i="1"/>
  <c r="J250" i="1"/>
  <c r="L54" i="1"/>
  <c r="F54" i="1"/>
  <c r="J54" i="1" s="1"/>
  <c r="L249" i="1"/>
  <c r="F249" i="1"/>
  <c r="K249" i="1" s="1"/>
  <c r="L42" i="1"/>
  <c r="L34" i="1"/>
  <c r="F34" i="1"/>
  <c r="K34" i="1" s="1"/>
  <c r="F42" i="1"/>
  <c r="B286" i="1"/>
  <c r="L263" i="1"/>
  <c r="M263" i="1" s="1"/>
  <c r="K263" i="1"/>
  <c r="J263" i="1"/>
  <c r="L262" i="1"/>
  <c r="M262" i="1" s="1"/>
  <c r="K262" i="1"/>
  <c r="J262" i="1"/>
  <c r="L261" i="1"/>
  <c r="M261" i="1" s="1"/>
  <c r="K261" i="1"/>
  <c r="J261" i="1"/>
  <c r="L259" i="1"/>
  <c r="M259" i="1" s="1"/>
  <c r="K259" i="1"/>
  <c r="J259" i="1"/>
  <c r="L239" i="1"/>
  <c r="M239" i="1" s="1"/>
  <c r="K239" i="1"/>
  <c r="J239" i="1"/>
  <c r="F238" i="1"/>
  <c r="L257" i="1"/>
  <c r="M257" i="1" s="1"/>
  <c r="K257" i="1"/>
  <c r="J257" i="1"/>
  <c r="L258" i="1"/>
  <c r="M258" i="1" s="1"/>
  <c r="K258" i="1"/>
  <c r="J258" i="1"/>
  <c r="L248" i="1"/>
  <c r="M248" i="1" s="1"/>
  <c r="K248" i="1"/>
  <c r="J248" i="1"/>
  <c r="L100" i="1"/>
  <c r="M100" i="1" s="1"/>
  <c r="K100" i="1"/>
  <c r="J100" i="1"/>
  <c r="L215" i="1"/>
  <c r="M215" i="1" s="1"/>
  <c r="K215" i="1"/>
  <c r="J215" i="1"/>
  <c r="K232" i="1"/>
  <c r="L232" i="1"/>
  <c r="M232" i="1" s="1"/>
  <c r="J232" i="1"/>
  <c r="L199" i="1"/>
  <c r="M199" i="1" s="1"/>
  <c r="K199" i="1"/>
  <c r="J199" i="1"/>
  <c r="L198" i="1"/>
  <c r="M198" i="1" s="1"/>
  <c r="K198" i="1"/>
  <c r="J198" i="1"/>
  <c r="L204" i="1"/>
  <c r="M204" i="1" s="1"/>
  <c r="K204" i="1"/>
  <c r="J204" i="1"/>
  <c r="L203" i="1"/>
  <c r="M203" i="1" s="1"/>
  <c r="K203" i="1"/>
  <c r="J203" i="1"/>
  <c r="K214" i="1"/>
  <c r="L214" i="1"/>
  <c r="M214" i="1" s="1"/>
  <c r="J214" i="1"/>
  <c r="L211" i="1"/>
  <c r="M211" i="1" s="1"/>
  <c r="K211" i="1"/>
  <c r="J211" i="1"/>
  <c r="L231" i="1"/>
  <c r="M231" i="1" s="1"/>
  <c r="K231" i="1"/>
  <c r="J231" i="1"/>
  <c r="L197" i="1"/>
  <c r="M197" i="1" s="1"/>
  <c r="K197" i="1"/>
  <c r="J197" i="1"/>
  <c r="L196" i="1"/>
  <c r="M196" i="1" s="1"/>
  <c r="K196" i="1"/>
  <c r="J196" i="1"/>
  <c r="L221" i="1"/>
  <c r="M221" i="1" s="1"/>
  <c r="K221" i="1"/>
  <c r="J221" i="1"/>
  <c r="L220" i="1"/>
  <c r="M220" i="1" s="1"/>
  <c r="K220" i="1"/>
  <c r="J220" i="1"/>
  <c r="L92" i="1"/>
  <c r="F92" i="1"/>
  <c r="K92" i="1" s="1"/>
  <c r="L91" i="1"/>
  <c r="M91" i="1" s="1"/>
  <c r="K91" i="1"/>
  <c r="J91" i="1"/>
  <c r="L90" i="1"/>
  <c r="M90" i="1" s="1"/>
  <c r="K90" i="1"/>
  <c r="J90" i="1"/>
  <c r="L89" i="1"/>
  <c r="M89" i="1" s="1"/>
  <c r="K89" i="1"/>
  <c r="J89" i="1"/>
  <c r="L88" i="1"/>
  <c r="M88" i="1" s="1"/>
  <c r="K88" i="1"/>
  <c r="J88" i="1"/>
  <c r="L87" i="1"/>
  <c r="M87" i="1" s="1"/>
  <c r="K87" i="1"/>
  <c r="J87" i="1"/>
  <c r="L86" i="1"/>
  <c r="F86" i="1"/>
  <c r="K86" i="1" s="1"/>
  <c r="L85" i="1"/>
  <c r="F85" i="1"/>
  <c r="K85" i="1" s="1"/>
  <c r="L84" i="1"/>
  <c r="M84" i="1" s="1"/>
  <c r="K84" i="1"/>
  <c r="J84" i="1"/>
  <c r="L83" i="1"/>
  <c r="M83" i="1" s="1"/>
  <c r="K83" i="1"/>
  <c r="J83" i="1"/>
  <c r="L82" i="1"/>
  <c r="F82" i="1"/>
  <c r="J82" i="1" s="1"/>
  <c r="L81" i="1"/>
  <c r="F81" i="1"/>
  <c r="K81" i="1" s="1"/>
  <c r="L80" i="1"/>
  <c r="M80" i="1" s="1"/>
  <c r="K80" i="1"/>
  <c r="J80" i="1"/>
  <c r="L222" i="1"/>
  <c r="M222" i="1" s="1"/>
  <c r="K222" i="1"/>
  <c r="J222" i="1"/>
  <c r="L216" i="1"/>
  <c r="M216" i="1" s="1"/>
  <c r="K216" i="1"/>
  <c r="J216" i="1"/>
  <c r="L213" i="1"/>
  <c r="M213" i="1" s="1"/>
  <c r="K213" i="1"/>
  <c r="J213" i="1"/>
  <c r="L212" i="1"/>
  <c r="M212" i="1" s="1"/>
  <c r="K212" i="1"/>
  <c r="J212" i="1"/>
  <c r="L210" i="1"/>
  <c r="M210" i="1" s="1"/>
  <c r="K210" i="1"/>
  <c r="J210" i="1"/>
  <c r="L209" i="1"/>
  <c r="M209" i="1" s="1"/>
  <c r="K209" i="1"/>
  <c r="J209" i="1"/>
  <c r="L208" i="1"/>
  <c r="M208" i="1" s="1"/>
  <c r="K208" i="1"/>
  <c r="J208" i="1"/>
  <c r="K192" i="1"/>
  <c r="L192" i="1"/>
  <c r="M192" i="1" s="1"/>
  <c r="J192" i="1"/>
  <c r="L187" i="1"/>
  <c r="F187" i="1"/>
  <c r="J187" i="1" s="1"/>
  <c r="K101" i="1"/>
  <c r="L101" i="1"/>
  <c r="M101" i="1" s="1"/>
  <c r="J101" i="1"/>
  <c r="L43" i="1"/>
  <c r="M43" i="1" s="1"/>
  <c r="K43" i="1"/>
  <c r="J43" i="1"/>
  <c r="H24" i="1"/>
  <c r="I24" i="1"/>
  <c r="K35" i="1"/>
  <c r="L35" i="1"/>
  <c r="M35" i="1" s="1"/>
  <c r="J35" i="1"/>
  <c r="K33" i="1"/>
  <c r="L33" i="1"/>
  <c r="M33" i="1" s="1"/>
  <c r="J33" i="1"/>
  <c r="K32" i="1"/>
  <c r="L32" i="1"/>
  <c r="M32" i="1" s="1"/>
  <c r="J32" i="1"/>
  <c r="L31" i="1"/>
  <c r="M31" i="1" s="1"/>
  <c r="K31" i="1"/>
  <c r="J31" i="1"/>
  <c r="L30" i="1"/>
  <c r="M30" i="1" s="1"/>
  <c r="K30" i="1"/>
  <c r="J30" i="1"/>
  <c r="K29" i="1"/>
  <c r="L29" i="1"/>
  <c r="M29" i="1" s="1"/>
  <c r="J29" i="1"/>
  <c r="L28" i="1"/>
  <c r="M28" i="1" s="1"/>
  <c r="K28" i="1"/>
  <c r="J28" i="1"/>
  <c r="K286" i="1" l="1"/>
  <c r="K93" i="1"/>
  <c r="M93" i="1"/>
  <c r="K170" i="1"/>
  <c r="K168" i="1"/>
  <c r="K51" i="1"/>
  <c r="M54" i="1"/>
  <c r="K54" i="1"/>
  <c r="M168" i="1"/>
  <c r="M51" i="1"/>
  <c r="M273" i="1"/>
  <c r="M42" i="1"/>
  <c r="J177" i="1"/>
  <c r="M252" i="1"/>
  <c r="J34" i="1"/>
  <c r="J249" i="1"/>
  <c r="M170" i="1"/>
  <c r="M177" i="1"/>
  <c r="J173" i="1"/>
  <c r="M173" i="1"/>
  <c r="M34" i="1"/>
  <c r="M249" i="1"/>
  <c r="J252" i="1"/>
  <c r="K42" i="1"/>
  <c r="J42" i="1"/>
  <c r="J200" i="1"/>
  <c r="K200" i="1"/>
  <c r="M223" i="1"/>
  <c r="M200" i="1"/>
  <c r="K205" i="1"/>
  <c r="J205" i="1"/>
  <c r="M205" i="1"/>
  <c r="J223" i="1"/>
  <c r="K223" i="1"/>
  <c r="J217" i="1"/>
  <c r="K217" i="1"/>
  <c r="M217" i="1"/>
  <c r="J85" i="1"/>
  <c r="J86" i="1"/>
  <c r="M187" i="1"/>
  <c r="M85" i="1"/>
  <c r="M82" i="1"/>
  <c r="M81" i="1"/>
  <c r="K82" i="1"/>
  <c r="K94" i="1" s="1"/>
  <c r="M92" i="1"/>
  <c r="J81" i="1"/>
  <c r="M86" i="1"/>
  <c r="J92" i="1"/>
  <c r="K187" i="1"/>
  <c r="I119" i="1"/>
  <c r="K119" i="1" s="1"/>
  <c r="I118" i="1"/>
  <c r="K118" i="1" s="1"/>
  <c r="I116" i="1"/>
  <c r="L116" i="1" s="1"/>
  <c r="M116" i="1" s="1"/>
  <c r="I117" i="1"/>
  <c r="L117" i="1" s="1"/>
  <c r="M117" i="1" s="1"/>
  <c r="K114" i="1"/>
  <c r="K113" i="1"/>
  <c r="I112" i="1"/>
  <c r="L112" i="1" s="1"/>
  <c r="M112" i="1" s="1"/>
  <c r="I111" i="1"/>
  <c r="K111" i="1" s="1"/>
  <c r="I110" i="1"/>
  <c r="K110" i="1" s="1"/>
  <c r="F74" i="1"/>
  <c r="K74" i="1" s="1"/>
  <c r="F73" i="1"/>
  <c r="K73" i="1" s="1"/>
  <c r="F69" i="1"/>
  <c r="J69" i="1" s="1"/>
  <c r="F68" i="1"/>
  <c r="K68" i="1" s="1"/>
  <c r="F53" i="1"/>
  <c r="K53" i="1" s="1"/>
  <c r="F23" i="1"/>
  <c r="J23" i="1" s="1"/>
  <c r="J24" i="1"/>
  <c r="K24" i="1"/>
  <c r="L24" i="1"/>
  <c r="M24" i="1" s="1"/>
  <c r="L23" i="1"/>
  <c r="L62" i="1"/>
  <c r="M62" i="1" s="1"/>
  <c r="K62" i="1"/>
  <c r="J62" i="1"/>
  <c r="L22" i="1"/>
  <c r="M22" i="1" s="1"/>
  <c r="K22" i="1"/>
  <c r="B22" i="1"/>
  <c r="B21" i="1"/>
  <c r="L186" i="1"/>
  <c r="L184" i="1"/>
  <c r="M184" i="1" s="1"/>
  <c r="K184" i="1"/>
  <c r="J184" i="1"/>
  <c r="J119" i="1"/>
  <c r="J99" i="1"/>
  <c r="K99" i="1"/>
  <c r="L99" i="1"/>
  <c r="M99" i="1" s="1"/>
  <c r="J102" i="1"/>
  <c r="K102" i="1"/>
  <c r="L102" i="1"/>
  <c r="M102" i="1" s="1"/>
  <c r="J103" i="1"/>
  <c r="K103" i="1"/>
  <c r="L103" i="1"/>
  <c r="M103" i="1" s="1"/>
  <c r="J104" i="1"/>
  <c r="K104" i="1"/>
  <c r="L104" i="1"/>
  <c r="M104" i="1" s="1"/>
  <c r="J105" i="1"/>
  <c r="K105" i="1"/>
  <c r="L105" i="1"/>
  <c r="M105" i="1" s="1"/>
  <c r="L98" i="1"/>
  <c r="M98" i="1" s="1"/>
  <c r="K98" i="1"/>
  <c r="J98" i="1"/>
  <c r="L238" i="1"/>
  <c r="M238" i="1" s="1"/>
  <c r="M240" i="1" s="1"/>
  <c r="K238" i="1"/>
  <c r="J238" i="1"/>
  <c r="J240" i="1" s="1"/>
  <c r="B288" i="1"/>
  <c r="J229" i="1"/>
  <c r="K229" i="1"/>
  <c r="L229" i="1"/>
  <c r="M229" i="1" s="1"/>
  <c r="L226" i="1"/>
  <c r="M226" i="1" s="1"/>
  <c r="K226" i="1"/>
  <c r="J226" i="1"/>
  <c r="L234" i="1"/>
  <c r="M234" i="1" s="1"/>
  <c r="J234" i="1"/>
  <c r="K234" i="1"/>
  <c r="L233" i="1"/>
  <c r="M233" i="1" s="1"/>
  <c r="K233" i="1"/>
  <c r="J233" i="1"/>
  <c r="L230" i="1"/>
  <c r="M230" i="1" s="1"/>
  <c r="K230" i="1"/>
  <c r="J230" i="1"/>
  <c r="F58" i="1"/>
  <c r="K58" i="1" s="1"/>
  <c r="K59" i="1" s="1"/>
  <c r="L58" i="1"/>
  <c r="F186" i="1"/>
  <c r="K186" i="1" s="1"/>
  <c r="F181" i="1"/>
  <c r="J181" i="1" s="1"/>
  <c r="F141" i="1"/>
  <c r="K141" i="1" s="1"/>
  <c r="F140" i="1"/>
  <c r="J140" i="1" s="1"/>
  <c r="F139" i="1"/>
  <c r="K139" i="1" s="1"/>
  <c r="F138" i="1"/>
  <c r="K138" i="1" s="1"/>
  <c r="F137" i="1"/>
  <c r="K137" i="1" s="1"/>
  <c r="J111" i="1"/>
  <c r="J110" i="1"/>
  <c r="J162" i="1"/>
  <c r="K162" i="1"/>
  <c r="L162" i="1"/>
  <c r="M162" i="1" s="1"/>
  <c r="B19" i="1"/>
  <c r="J155" i="1"/>
  <c r="K155" i="1"/>
  <c r="L155" i="1"/>
  <c r="M155" i="1" s="1"/>
  <c r="J156" i="1"/>
  <c r="K156" i="1"/>
  <c r="L156" i="1"/>
  <c r="M156" i="1" s="1"/>
  <c r="J157" i="1"/>
  <c r="K157" i="1"/>
  <c r="L157" i="1"/>
  <c r="M157" i="1" s="1"/>
  <c r="K161" i="1"/>
  <c r="K160" i="1"/>
  <c r="K159" i="1"/>
  <c r="J148" i="1"/>
  <c r="J146" i="1"/>
  <c r="K147" i="1"/>
  <c r="J145" i="1"/>
  <c r="K144" i="1"/>
  <c r="J143" i="1"/>
  <c r="F128" i="1"/>
  <c r="K128" i="1" s="1"/>
  <c r="F127" i="1"/>
  <c r="J127" i="1" s="1"/>
  <c r="F126" i="1"/>
  <c r="J126" i="1" s="1"/>
  <c r="F125" i="1"/>
  <c r="J125" i="1" s="1"/>
  <c r="F131" i="1"/>
  <c r="J131" i="1" s="1"/>
  <c r="L135" i="1"/>
  <c r="M135" i="1" s="1"/>
  <c r="K135" i="1"/>
  <c r="J135" i="1"/>
  <c r="L134" i="1"/>
  <c r="M134" i="1" s="1"/>
  <c r="K134" i="1"/>
  <c r="J134" i="1"/>
  <c r="L133" i="1"/>
  <c r="M133" i="1" s="1"/>
  <c r="J133" i="1"/>
  <c r="L132" i="1"/>
  <c r="M132" i="1" s="1"/>
  <c r="J132" i="1"/>
  <c r="K132" i="1"/>
  <c r="L131" i="1"/>
  <c r="M131" i="1" s="1"/>
  <c r="L161" i="1"/>
  <c r="L160" i="1"/>
  <c r="L159" i="1"/>
  <c r="J152" i="1"/>
  <c r="L141" i="1"/>
  <c r="L140" i="1"/>
  <c r="L139" i="1"/>
  <c r="L138" i="1"/>
  <c r="L137" i="1"/>
  <c r="L143" i="1"/>
  <c r="L144" i="1"/>
  <c r="L145" i="1"/>
  <c r="L146" i="1"/>
  <c r="L147" i="1"/>
  <c r="J180" i="1"/>
  <c r="K180" i="1"/>
  <c r="L180" i="1"/>
  <c r="M180" i="1" s="1"/>
  <c r="L181" i="1"/>
  <c r="J182" i="1"/>
  <c r="K182" i="1"/>
  <c r="L182" i="1"/>
  <c r="M182" i="1" s="1"/>
  <c r="J149" i="1"/>
  <c r="L125" i="1"/>
  <c r="M125" i="1" s="1"/>
  <c r="L126" i="1"/>
  <c r="L127" i="1"/>
  <c r="M127" i="1" s="1"/>
  <c r="L128" i="1"/>
  <c r="J129" i="1"/>
  <c r="K129" i="1"/>
  <c r="L129" i="1"/>
  <c r="M129" i="1" s="1"/>
  <c r="L148" i="1"/>
  <c r="L149" i="1"/>
  <c r="M149" i="1" s="1"/>
  <c r="L152" i="1"/>
  <c r="M152" i="1" s="1"/>
  <c r="J153" i="1"/>
  <c r="K153" i="1"/>
  <c r="L153" i="1"/>
  <c r="M153" i="1" s="1"/>
  <c r="J154" i="1"/>
  <c r="K154" i="1"/>
  <c r="L154" i="1"/>
  <c r="M154" i="1" s="1"/>
  <c r="J113" i="1"/>
  <c r="L113" i="1"/>
  <c r="M113" i="1" s="1"/>
  <c r="J114" i="1"/>
  <c r="L190" i="1"/>
  <c r="M190" i="1" s="1"/>
  <c r="K190" i="1"/>
  <c r="J190" i="1"/>
  <c r="L189" i="1"/>
  <c r="M189" i="1" s="1"/>
  <c r="K189" i="1"/>
  <c r="J118" i="1"/>
  <c r="J117" i="1"/>
  <c r="J116" i="1"/>
  <c r="J112" i="1"/>
  <c r="F47" i="1"/>
  <c r="J47" i="1" s="1"/>
  <c r="L47" i="1"/>
  <c r="F45" i="1"/>
  <c r="K45" i="1" s="1"/>
  <c r="F46" i="1"/>
  <c r="K46" i="1" s="1"/>
  <c r="F50" i="1"/>
  <c r="J50" i="1" s="1"/>
  <c r="F49" i="1"/>
  <c r="J49" i="1" s="1"/>
  <c r="J75" i="1"/>
  <c r="K75" i="1"/>
  <c r="L75" i="1"/>
  <c r="M75" i="1" s="1"/>
  <c r="L53" i="1"/>
  <c r="J41" i="1"/>
  <c r="K41" i="1"/>
  <c r="L41" i="1"/>
  <c r="M41" i="1" s="1"/>
  <c r="L69" i="1"/>
  <c r="J72" i="1"/>
  <c r="K72" i="1"/>
  <c r="L72" i="1"/>
  <c r="M72" i="1" s="1"/>
  <c r="L73" i="1"/>
  <c r="L74" i="1"/>
  <c r="J66" i="1"/>
  <c r="K66" i="1"/>
  <c r="L66" i="1"/>
  <c r="M66" i="1" s="1"/>
  <c r="K65" i="1"/>
  <c r="J65" i="1"/>
  <c r="L65" i="1"/>
  <c r="M65" i="1" s="1"/>
  <c r="L64" i="1"/>
  <c r="M64" i="1" s="1"/>
  <c r="K64" i="1"/>
  <c r="J64" i="1"/>
  <c r="L68" i="1"/>
  <c r="K71" i="1"/>
  <c r="J71" i="1"/>
  <c r="L71" i="1"/>
  <c r="M71" i="1" s="1"/>
  <c r="L46" i="1"/>
  <c r="J40" i="1"/>
  <c r="K40" i="1"/>
  <c r="L40" i="1"/>
  <c r="M40" i="1" s="1"/>
  <c r="L45" i="1"/>
  <c r="L49" i="1"/>
  <c r="L50" i="1"/>
  <c r="K18" i="1"/>
  <c r="J286" i="1" l="1"/>
  <c r="J94" i="1"/>
  <c r="M94" i="1"/>
  <c r="M53" i="1"/>
  <c r="J74" i="1"/>
  <c r="J53" i="1"/>
  <c r="L118" i="1"/>
  <c r="M118" i="1" s="1"/>
  <c r="J68" i="1"/>
  <c r="M69" i="1"/>
  <c r="K69" i="1"/>
  <c r="M74" i="1"/>
  <c r="M145" i="1"/>
  <c r="L114" i="1"/>
  <c r="M114" i="1" s="1"/>
  <c r="K112" i="1"/>
  <c r="M45" i="1"/>
  <c r="M140" i="1"/>
  <c r="M68" i="1"/>
  <c r="M137" i="1"/>
  <c r="M141" i="1"/>
  <c r="M139" i="1"/>
  <c r="M143" i="1"/>
  <c r="L111" i="1"/>
  <c r="M111" i="1" s="1"/>
  <c r="M50" i="1"/>
  <c r="M23" i="1"/>
  <c r="M36" i="1" s="1"/>
  <c r="M181" i="1"/>
  <c r="M73" i="1"/>
  <c r="M138" i="1"/>
  <c r="M49" i="1"/>
  <c r="L110" i="1"/>
  <c r="M110" i="1" s="1"/>
  <c r="M128" i="1"/>
  <c r="M159" i="1"/>
  <c r="M46" i="1"/>
  <c r="M146" i="1"/>
  <c r="M161" i="1"/>
  <c r="M148" i="1"/>
  <c r="M147" i="1"/>
  <c r="M160" i="1"/>
  <c r="M126" i="1"/>
  <c r="L119" i="1"/>
  <c r="M119" i="1" s="1"/>
  <c r="M144" i="1"/>
  <c r="M58" i="1"/>
  <c r="M59" i="1" s="1"/>
  <c r="M186" i="1"/>
  <c r="M47" i="1"/>
  <c r="J120" i="1"/>
  <c r="J235" i="1"/>
  <c r="M235" i="1"/>
  <c r="K76" i="1"/>
  <c r="K235" i="1"/>
  <c r="K23" i="1"/>
  <c r="K36" i="1" s="1"/>
  <c r="J22" i="1"/>
  <c r="J36" i="1" s="1"/>
  <c r="K127" i="1"/>
  <c r="J160" i="1"/>
  <c r="J128" i="1"/>
  <c r="J186" i="1"/>
  <c r="K148" i="1"/>
  <c r="J161" i="1"/>
  <c r="K140" i="1"/>
  <c r="K181" i="1"/>
  <c r="J58" i="1"/>
  <c r="J59" i="1" s="1"/>
  <c r="K125" i="1"/>
  <c r="J139" i="1"/>
  <c r="J159" i="1"/>
  <c r="J141" i="1"/>
  <c r="J137" i="1"/>
  <c r="J147" i="1"/>
  <c r="K133" i="1"/>
  <c r="K131" i="1"/>
  <c r="J144" i="1"/>
  <c r="K146" i="1"/>
  <c r="K145" i="1"/>
  <c r="J138" i="1"/>
  <c r="K143" i="1"/>
  <c r="K149" i="1"/>
  <c r="K126" i="1"/>
  <c r="K152" i="1"/>
  <c r="K116" i="1"/>
  <c r="J189" i="1"/>
  <c r="K117" i="1"/>
  <c r="K47" i="1"/>
  <c r="J106" i="1"/>
  <c r="J73" i="1"/>
  <c r="J46" i="1"/>
  <c r="J45" i="1"/>
  <c r="K50" i="1"/>
  <c r="K49" i="1"/>
  <c r="J76" i="1" l="1"/>
  <c r="J55" i="1"/>
  <c r="K55" i="1"/>
  <c r="M55" i="1"/>
  <c r="M76" i="1"/>
  <c r="J193" i="1"/>
  <c r="K193" i="1"/>
  <c r="M120" i="1"/>
  <c r="K106" i="1"/>
  <c r="M193" i="1"/>
  <c r="M106" i="1"/>
  <c r="K120" i="1"/>
  <c r="L18" i="1"/>
  <c r="M18" i="1" s="1"/>
  <c r="J18" i="1"/>
  <c r="B18" i="1"/>
  <c r="L17" i="1"/>
  <c r="M17" i="1" s="1"/>
  <c r="K17" i="1"/>
  <c r="J17" i="1"/>
  <c r="B17" i="1"/>
  <c r="L16" i="1"/>
  <c r="M16" i="1" s="1"/>
  <c r="K16" i="1"/>
  <c r="J16" i="1"/>
  <c r="B16" i="1"/>
  <c r="L15" i="1"/>
  <c r="M15" i="1" s="1"/>
  <c r="K15" i="1"/>
  <c r="J15" i="1"/>
  <c r="B15" i="1"/>
  <c r="L14" i="1"/>
  <c r="M14" i="1" s="1"/>
  <c r="K14" i="1"/>
  <c r="J14" i="1"/>
  <c r="B14" i="1"/>
  <c r="L13" i="1"/>
  <c r="M13" i="1" s="1"/>
  <c r="K13" i="1"/>
  <c r="J13" i="1"/>
  <c r="B13" i="1"/>
  <c r="L12" i="1"/>
  <c r="M12" i="1" s="1"/>
  <c r="K12" i="1"/>
  <c r="K19" i="1" s="1"/>
  <c r="J12" i="1"/>
  <c r="B12" i="1"/>
  <c r="K242" i="1" l="1"/>
  <c r="J19" i="1"/>
  <c r="J242" i="1" s="1"/>
  <c r="M19" i="1"/>
  <c r="M242" i="1" s="1"/>
  <c r="M243" i="1" l="1"/>
  <c r="M244" i="1" s="1"/>
</calcChain>
</file>

<file path=xl/sharedStrings.xml><?xml version="1.0" encoding="utf-8"?>
<sst xmlns="http://schemas.openxmlformats.org/spreadsheetml/2006/main" count="477" uniqueCount="258">
  <si>
    <t>S#</t>
  </si>
  <si>
    <t>LS</t>
  </si>
  <si>
    <t>Subtotal</t>
  </si>
  <si>
    <t>MOBILIZATION</t>
  </si>
  <si>
    <t>UNIT</t>
  </si>
  <si>
    <t>OFFICE OVERHEADS</t>
  </si>
  <si>
    <t>SUBMITTALS &amp; SAMPLES</t>
  </si>
  <si>
    <t>SUPERVISION CHARGES</t>
  </si>
  <si>
    <t>TEMPORARY FACILITIES</t>
  </si>
  <si>
    <t>PROJECT SCHEDULING</t>
  </si>
  <si>
    <t>CLOSEOUT PROCEDURES</t>
  </si>
  <si>
    <t>Contact:</t>
  </si>
  <si>
    <t>Website:</t>
  </si>
  <si>
    <t>www.qtoestimating.com</t>
  </si>
  <si>
    <t>Email:</t>
  </si>
  <si>
    <t>info@qtoestimating.com</t>
  </si>
  <si>
    <t>Project ID:</t>
  </si>
  <si>
    <t>QUANTITY TAKE-OFF SHEET</t>
  </si>
  <si>
    <t>Client:</t>
  </si>
  <si>
    <t>Project Name:</t>
  </si>
  <si>
    <t>Last Updated:</t>
  </si>
  <si>
    <t>QTY</t>
  </si>
  <si>
    <t>DETAIL REF</t>
  </si>
  <si>
    <t>DWG REF</t>
  </si>
  <si>
    <t>DESCRIPTION</t>
  </si>
  <si>
    <t>DIVISION 01 - GENERAL REQUIREMENTS</t>
  </si>
  <si>
    <t>(917) 675-3388</t>
  </si>
  <si>
    <t>Unit Labor</t>
  </si>
  <si>
    <t>Unit Material</t>
  </si>
  <si>
    <t>Total labor</t>
  </si>
  <si>
    <t>Total Material</t>
  </si>
  <si>
    <t>Total Unit</t>
  </si>
  <si>
    <t>Total Cost</t>
  </si>
  <si>
    <t>Legend:</t>
  </si>
  <si>
    <t>Review or input price</t>
  </si>
  <si>
    <r>
      <rPr>
        <b/>
        <sz val="11"/>
        <color theme="1"/>
        <rFont val="Arial"/>
        <family val="2"/>
      </rPr>
      <t>Terms and Conditions/Disclaimer:</t>
    </r>
    <r>
      <rPr>
        <sz val="11"/>
        <color theme="1"/>
        <rFont val="Arial"/>
        <family val="2"/>
      </rPr>
      <t xml:space="preserve"> The quantities, numbers, scope, or any other information contained in this document has been compiled to the best of our knowledge. By utilizing or deriving any of the information contained in this document, you accept the information and quantities as accurate and waive any rights to any claims for errors in information. QTO Estimating does not warranty any of the information contained in this document. The information contained in this document are for informational purposes only and to be used as a guideline for quantities and pricing. It is the responsibility of the contractor performing the work to review quantities and finalize pricing and materials based on current prices.</t>
    </r>
  </si>
  <si>
    <t>DIVISION 03 - CONCRETE</t>
  </si>
  <si>
    <t>Column Footing</t>
  </si>
  <si>
    <t>Concrete Wall Footing</t>
  </si>
  <si>
    <t>Concrete Slab</t>
  </si>
  <si>
    <t>Steel Beam</t>
  </si>
  <si>
    <t>W16 x 40 steel beam</t>
  </si>
  <si>
    <t>W8 x 24 steel beam</t>
  </si>
  <si>
    <t>C12 x 20.7 steel beam</t>
  </si>
  <si>
    <t>4" Sched 40(4 1/2"O.D) steel columnw/ steel cap and base plate</t>
  </si>
  <si>
    <t>EA</t>
  </si>
  <si>
    <t>W4x13 Steel column w/ steel base &amp; cap plates</t>
  </si>
  <si>
    <t>Steel Column</t>
  </si>
  <si>
    <t>Simpson</t>
  </si>
  <si>
    <t>Simpson STD10 holdown</t>
  </si>
  <si>
    <t>Simpson LSTHD8</t>
  </si>
  <si>
    <t>(2) 2x6 BRG</t>
  </si>
  <si>
    <t>LF</t>
  </si>
  <si>
    <t>SF</t>
  </si>
  <si>
    <t>(3) 2x6 BRG</t>
  </si>
  <si>
    <t>2x10 header</t>
  </si>
  <si>
    <t>(2) 1 3/4 x 11 1/4 lvl header</t>
  </si>
  <si>
    <t>2x8 header</t>
  </si>
  <si>
    <t>1 1/4"x11 7/8" LSL Rim board</t>
  </si>
  <si>
    <t>(2)1 3/4"x9 1/4" LVL</t>
  </si>
  <si>
    <t>11 7/8 wood roof rafters@24"O.C Max</t>
  </si>
  <si>
    <t>1 3/4 x 14 lvl valley beam</t>
  </si>
  <si>
    <t>2x12 wood roof rafters@16"O.C Max</t>
  </si>
  <si>
    <t>1 3/4 x 11 1/4 lvl joist@ 16" O.C</t>
  </si>
  <si>
    <t>Concrete wall</t>
  </si>
  <si>
    <t>(2) Simpson LSTA37</t>
  </si>
  <si>
    <t>CY</t>
  </si>
  <si>
    <t>Wood</t>
  </si>
  <si>
    <t>3'-6" Guard rail</t>
  </si>
  <si>
    <t>DIVISION 06 - WOOD, PLASTICS &amp; COMPOSITES</t>
  </si>
  <si>
    <t>4" cast stone sill</t>
  </si>
  <si>
    <t>Brick solidier course</t>
  </si>
  <si>
    <t>8" Fiber Cement Siding</t>
  </si>
  <si>
    <t>1x8 Fascia</t>
  </si>
  <si>
    <t>1x4 T&amp;G soffits</t>
  </si>
  <si>
    <t>18" h Gable vent</t>
  </si>
  <si>
    <t>2x PVC sill over trim</t>
  </si>
  <si>
    <t>Exterior</t>
  </si>
  <si>
    <t>Flashing over 5/ 4x8 trim</t>
  </si>
  <si>
    <t>Flashing over 5 /4x4 over 5/4 x12 trim</t>
  </si>
  <si>
    <t>Metal drip edge over crown 5/4x8 Rakr board</t>
  </si>
  <si>
    <t>6" half round gutter</t>
  </si>
  <si>
    <t>2'x4' Skylights</t>
  </si>
  <si>
    <t>Drywall</t>
  </si>
  <si>
    <t>Roof</t>
  </si>
  <si>
    <t>Felt paper</t>
  </si>
  <si>
    <t>Door</t>
  </si>
  <si>
    <t>Window</t>
  </si>
  <si>
    <t>Painted operable wood shutters w/ hinges/pintels &amp; shutter dogs</t>
  </si>
  <si>
    <t>Riser</t>
  </si>
  <si>
    <t>2x4 interior wall</t>
  </si>
  <si>
    <t>2x4" wood studs @ 16" o.c</t>
  </si>
  <si>
    <t>Top and bottom runner</t>
  </si>
  <si>
    <t>Insulation</t>
  </si>
  <si>
    <t>Sealent</t>
  </si>
  <si>
    <t>2x6 exterior wall</t>
  </si>
  <si>
    <t>2x6" wood studs @ 16" o.c</t>
  </si>
  <si>
    <t>2x10 exterior wall</t>
  </si>
  <si>
    <t>Flooring</t>
  </si>
  <si>
    <t>Base</t>
  </si>
  <si>
    <t>Ceiling</t>
  </si>
  <si>
    <t>Gypsum board ceiling</t>
  </si>
  <si>
    <t>Paint on wall</t>
  </si>
  <si>
    <t>Paint on ceiling</t>
  </si>
  <si>
    <t>1/2" gypsum board on both sides</t>
  </si>
  <si>
    <t>2x6 interior wall</t>
  </si>
  <si>
    <t>2x4 interior wall Below Landing</t>
  </si>
  <si>
    <t>2x4 exterior furred wall</t>
  </si>
  <si>
    <t>1/2 plywood subfloor</t>
  </si>
  <si>
    <t>DIVISION 04 - MASONRY</t>
  </si>
  <si>
    <t>8" thick CMU wall</t>
  </si>
  <si>
    <t>Duplex outlet</t>
  </si>
  <si>
    <t>Watercloset</t>
  </si>
  <si>
    <t>Shower</t>
  </si>
  <si>
    <t>Excavation</t>
  </si>
  <si>
    <t>(2EA, 19'-0" Length) Car Lift System</t>
  </si>
  <si>
    <t>Spigot</t>
  </si>
  <si>
    <t>Excavation for Trench drain</t>
  </si>
  <si>
    <t>CF</t>
  </si>
  <si>
    <t>Concrete for trench drain</t>
  </si>
  <si>
    <t>Cy</t>
  </si>
  <si>
    <t>DIVISION 02 - EXISTING SITE CONDITIONS</t>
  </si>
  <si>
    <t>Brick veneer</t>
  </si>
  <si>
    <t>Stone veneer</t>
  </si>
  <si>
    <t>Asphalt shingles</t>
  </si>
  <si>
    <t>3" round downspout</t>
  </si>
  <si>
    <t>4" round downspout</t>
  </si>
  <si>
    <t>Electrical wiring Allowance</t>
  </si>
  <si>
    <t>DIVISION 9 - FINISHES</t>
  </si>
  <si>
    <t>DIVISION 8 - OPENING</t>
  </si>
  <si>
    <t>DIVISION 26 - ELECTRICAL</t>
  </si>
  <si>
    <t>DIVISION 22 - PLUMBING</t>
  </si>
  <si>
    <t>DIVISION 32 - EARTHWORK</t>
  </si>
  <si>
    <t>2'-6"x2'-4" clad wood awning window</t>
  </si>
  <si>
    <t>2'-6"x4'-4" clad wood fixed  window</t>
  </si>
  <si>
    <t>2'-6"x4'-4" clad wood double hung window</t>
  </si>
  <si>
    <t>(3)1 3/4"x5 1/2" LVL Stud pack</t>
  </si>
  <si>
    <t>TOTAL</t>
  </si>
  <si>
    <t>PROFIT</t>
  </si>
  <si>
    <t>BASE BID</t>
  </si>
  <si>
    <t>DIVISION 05 - METAL</t>
  </si>
  <si>
    <t>Remove Existing Trees</t>
  </si>
  <si>
    <t>Existing Concrete Wall To Be Removed</t>
  </si>
  <si>
    <t>Remove Existing Shed</t>
  </si>
  <si>
    <t>Existing Paving To Be Removed</t>
  </si>
  <si>
    <t>Proposed Concrete Patio</t>
  </si>
  <si>
    <t>Trench drain To Be 18" Precast Catch Basins W/ Metal Grates</t>
  </si>
  <si>
    <t>2" Rigid Form Insulation Below Slab</t>
  </si>
  <si>
    <t>DIVISION 07 - THERMAL &amp; MOISTURE PROTECION</t>
  </si>
  <si>
    <t>R-49 Insulation @ Roof</t>
  </si>
  <si>
    <t>R-49 Insulation @ Ceiling</t>
  </si>
  <si>
    <t>Paint On Doors</t>
  </si>
  <si>
    <t>New Piping Allowance</t>
  </si>
  <si>
    <t>DIVISION 23 - HVAC</t>
  </si>
  <si>
    <t>Furnace</t>
  </si>
  <si>
    <t>DIVISION 10 - SPECIALITIES</t>
  </si>
  <si>
    <t>Vanity Cabinet</t>
  </si>
  <si>
    <t>Vanity Top</t>
  </si>
  <si>
    <t>Silt Fence (16" High)</t>
  </si>
  <si>
    <t>Place Porta-Let On Site</t>
  </si>
  <si>
    <t>Ressessed ceiling fan (96")</t>
  </si>
  <si>
    <t>Ressessed ceiling fan (60")</t>
  </si>
  <si>
    <t>DIVISION 11 - EQUIPMENT</t>
  </si>
  <si>
    <t>Bath sink With Faucet</t>
  </si>
  <si>
    <t>Utility sink With Faucet</t>
  </si>
  <si>
    <t>Kitchen Sink With Faucet</t>
  </si>
  <si>
    <t>Shower Enclosure</t>
  </si>
  <si>
    <t>Refrigerator</t>
  </si>
  <si>
    <t>Microwave</t>
  </si>
  <si>
    <t>Storage/ Shelving @ Kitchen</t>
  </si>
  <si>
    <t>Laminate Countertop</t>
  </si>
  <si>
    <t>R-19 Fibreglass Batt Insulation</t>
  </si>
  <si>
    <t>New Electrical panel (400 AMP)</t>
  </si>
  <si>
    <t>Rework Existing Electrical Panel (200 AMP)</t>
  </si>
  <si>
    <t>Rewire Tesla Charging Station In Garage Allowance</t>
  </si>
  <si>
    <t>Hose Bibs</t>
  </si>
  <si>
    <t>Programmable Wifi Thermostats</t>
  </si>
  <si>
    <t>Rheem Air Handler</t>
  </si>
  <si>
    <t>(3/4") Plywood Sheathing</t>
  </si>
  <si>
    <t>Epilay Underlayment</t>
  </si>
  <si>
    <t>Standing Seam 24-Gauge Metal Roof With Paint Finish</t>
  </si>
  <si>
    <t>Natural Fieldstone Drip Edge</t>
  </si>
  <si>
    <t>HVAC</t>
  </si>
  <si>
    <t xml:space="preserve">HVAC Works Allowance </t>
  </si>
  <si>
    <t>Walls &amp; Ceiling Insulations Alternative (Cell Spray Foam Insulation)</t>
  </si>
  <si>
    <t>Proposed Paver Driveway W/
- 3" Deep Compacted #2 Limestone Base Layer
- 304 Limestone Skim Coat</t>
  </si>
  <si>
    <t>12" concrete slab for stair</t>
  </si>
  <si>
    <t>4" Thick Gravel @ Poposed Driveway</t>
  </si>
  <si>
    <t>Electrical</t>
  </si>
  <si>
    <t>Trench For Electrical Supply From Transformer To New Structure &amp; New Structure To Existing Garage
(Excavation, Concrete &amp; Backfill)</t>
  </si>
  <si>
    <t>42" x 42" 3500 PSI Reinforced concrete footing</t>
  </si>
  <si>
    <t>54"x54" 3500 PSI Reinforced concrete footing</t>
  </si>
  <si>
    <t>48"x48" 3500 PSI Reinforced concrete footing</t>
  </si>
  <si>
    <t>10"x24"3500 PSI Reinforced concrete footing</t>
  </si>
  <si>
    <t>42"x24" 3500 PSI Reinforced concrete footing</t>
  </si>
  <si>
    <t>12" thick 3500 PSI Reinforced concrete retaining wall(5'h)</t>
  </si>
  <si>
    <t>1/2"x12" Anchor Bolts @ 32" O.C.</t>
  </si>
  <si>
    <t>Tuff &amp; Dry System On Concrete</t>
  </si>
  <si>
    <t>4" Thick Termite Prevented Gravel Below Slab</t>
  </si>
  <si>
    <t>Termite Prevented Gravel Backfill</t>
  </si>
  <si>
    <t>4" Perforated Drain Tile</t>
  </si>
  <si>
    <t>Covered With Washed Gravel &amp; Filter Fabric</t>
  </si>
  <si>
    <t>(1'-6"x1'-6") Square Drain Inlets</t>
  </si>
  <si>
    <t>PVC Pipe With Drain Inlets</t>
  </si>
  <si>
    <t>Excavation For Drain Inlet &amp; Pipe With Backfill</t>
  </si>
  <si>
    <t>NDS Dura Slope Channel Drains</t>
  </si>
  <si>
    <t>PVC Pipe</t>
  </si>
  <si>
    <t>Sch 35 PVC drainpipe and daylighting down the hill behind existing garage building Allowance</t>
  </si>
  <si>
    <t>5" thick 4000 PSI  concrete slab W/ #4 Steel Rebars @ 24" O.C. Smooth Finish</t>
  </si>
  <si>
    <t>5 /4x4 over 5/4 x6 Primed Boral trim</t>
  </si>
  <si>
    <t>4" Window Primed Boral trim</t>
  </si>
  <si>
    <t>Stone Veneer</t>
  </si>
  <si>
    <t>Stone Veneer @ Retaining Wall</t>
  </si>
  <si>
    <t>2" Gravel Base</t>
  </si>
  <si>
    <r>
      <t xml:space="preserve">SOLAR PANELS </t>
    </r>
    <r>
      <rPr>
        <sz val="12"/>
        <color rgb="FFFF0000"/>
        <rFont val="Calibri"/>
        <family val="2"/>
        <scheme val="minor"/>
      </rPr>
      <t>(NOT INCLUDED IN PROPOSAL)</t>
    </r>
  </si>
  <si>
    <t>10'-0"x8'-0" white garage door With Franklin Auto Swing Kits, Two Remotes &amp; Wired Button</t>
  </si>
  <si>
    <t>8'-0"x8'-0" white garage door With Franklin Auto Swing Kits, Two Remotes &amp; Wired Button</t>
  </si>
  <si>
    <t>3'-2"x8'-0" Wood door With Schlage Hardware</t>
  </si>
  <si>
    <t>3'-6"x8'-0" Wood door With Schlage Hardware</t>
  </si>
  <si>
    <t>3'-6"x6'-8" Wood door With Schlage Hardware</t>
  </si>
  <si>
    <t>3 Zone Heat Pump System (5 Ton Inverter)</t>
  </si>
  <si>
    <t>Plumbing</t>
  </si>
  <si>
    <t>Provide trench for new sewer and water supply between pool house and main house</t>
  </si>
  <si>
    <t>Sewer Pipe</t>
  </si>
  <si>
    <t>Water Supply Pipe</t>
  </si>
  <si>
    <t xml:space="preserve">6" Ressessed ceiling Light </t>
  </si>
  <si>
    <t>8" Lotus Lights</t>
  </si>
  <si>
    <t>8' Fluorescent Light</t>
  </si>
  <si>
    <t>Panasonic Bath Fan</t>
  </si>
  <si>
    <t>LED Flood Lights</t>
  </si>
  <si>
    <t>Exterior Lights</t>
  </si>
  <si>
    <t>Exterior Outlets</t>
  </si>
  <si>
    <t>Switches &amp; Outlets</t>
  </si>
  <si>
    <t>Data, Phone &amp; Low Voltage Outlets Allowance</t>
  </si>
  <si>
    <t>Paint On Handrail</t>
  </si>
  <si>
    <t>Resilient Tile floor</t>
  </si>
  <si>
    <t>Luxury Vinyl Tile Floor</t>
  </si>
  <si>
    <t>Finishes</t>
  </si>
  <si>
    <t>Cove Base</t>
  </si>
  <si>
    <t>Finish Grade Allowance</t>
  </si>
  <si>
    <t>Railing &amp; Stairs</t>
  </si>
  <si>
    <t>Steel Stairs</t>
  </si>
  <si>
    <t>Risers</t>
  </si>
  <si>
    <t>(1-1/2") Thick Hardwood Treads</t>
  </si>
  <si>
    <t>2x12 Stringers @ 16" O.C.</t>
  </si>
  <si>
    <t>Top &amp; Bottom Plates</t>
  </si>
  <si>
    <t>2x10 Studs @ 16" O.C. (23 EA)</t>
  </si>
  <si>
    <t>(15/32") OSB Sheathing</t>
  </si>
  <si>
    <t>Fibreglass Batt Insulation</t>
  </si>
  <si>
    <t>(3/4") BC Plywood</t>
  </si>
  <si>
    <t>2x4 Studs @ 16" O.C. (65 EA)</t>
  </si>
  <si>
    <t>2x6 Studs @ 16" O.C. (200 EA)</t>
  </si>
  <si>
    <t>(1/2") Gypsum Board Type X</t>
  </si>
  <si>
    <t>R-19 Fiberglass Batt Insulation</t>
  </si>
  <si>
    <t>Sealant</t>
  </si>
  <si>
    <t>40 Gallon Water Heater</t>
  </si>
  <si>
    <t>(Hidden for Privacy)</t>
  </si>
  <si>
    <t>COMPLETE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</si>
</sst>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quot;$&quot;#,##0.00"/>
    <numFmt numFmtId="166" formatCode="0.0"/>
    <numFmt numFmtId="167" formatCode="0.000"/>
  </numFmts>
  <fonts count="26" x14ac:knownFonts="1">
    <font>
      <sz val="11"/>
      <color theme="1"/>
      <name val="Calibri"/>
      <family val="2"/>
      <scheme val="minor"/>
    </font>
    <font>
      <sz val="11"/>
      <color theme="1"/>
      <name val="Arial"/>
      <family val="2"/>
    </font>
    <font>
      <sz val="11"/>
      <color theme="1"/>
      <name val="Calibri"/>
      <family val="2"/>
      <scheme val="minor"/>
    </font>
    <font>
      <sz val="10"/>
      <color theme="1" tint="4.9989318521683403E-2"/>
      <name val="Calibri"/>
      <family val="1"/>
      <scheme val="minor"/>
    </font>
    <font>
      <sz val="36"/>
      <color theme="0"/>
      <name val="Calibri Light"/>
      <family val="1"/>
      <scheme val="major"/>
    </font>
    <font>
      <b/>
      <sz val="11"/>
      <color theme="0"/>
      <name val="Calibri Light"/>
      <family val="1"/>
      <scheme val="major"/>
    </font>
    <font>
      <b/>
      <sz val="10"/>
      <color theme="0"/>
      <name val="Calibri Light"/>
      <family val="1"/>
      <scheme val="major"/>
    </font>
    <font>
      <u/>
      <sz val="9.35"/>
      <color theme="10"/>
      <name val="Calibri"/>
      <family val="2"/>
    </font>
    <font>
      <b/>
      <sz val="11"/>
      <color theme="0"/>
      <name val="Arial"/>
      <family val="2"/>
    </font>
    <font>
      <b/>
      <sz val="22"/>
      <name val="Arial"/>
      <family val="2"/>
    </font>
    <font>
      <b/>
      <sz val="11"/>
      <name val="Arial"/>
      <family val="2"/>
    </font>
    <font>
      <sz val="11"/>
      <name val="Arial"/>
      <family val="2"/>
    </font>
    <font>
      <u/>
      <sz val="9.35"/>
      <color theme="10"/>
      <name val="Arial"/>
      <family val="2"/>
    </font>
    <font>
      <b/>
      <sz val="11"/>
      <color theme="1"/>
      <name val="Arial"/>
      <family val="2"/>
    </font>
    <font>
      <sz val="11"/>
      <color theme="1" tint="4.9989318521683403E-2"/>
      <name val="Arial"/>
      <family val="2"/>
    </font>
    <font>
      <b/>
      <u/>
      <sz val="11"/>
      <color theme="1"/>
      <name val="Arial"/>
      <family val="2"/>
    </font>
    <font>
      <u/>
      <sz val="14"/>
      <color theme="10"/>
      <name val="Arial"/>
      <family val="2"/>
    </font>
    <font>
      <sz val="14"/>
      <color theme="1"/>
      <name val="Arial"/>
      <family val="2"/>
    </font>
    <font>
      <sz val="12"/>
      <color theme="1"/>
      <name val="Calibri"/>
      <family val="2"/>
      <scheme val="minor"/>
    </font>
    <font>
      <sz val="12"/>
      <name val="Calibri"/>
      <family val="2"/>
      <scheme val="minor"/>
    </font>
    <font>
      <sz val="12"/>
      <name val="Arial"/>
      <family val="2"/>
    </font>
    <font>
      <b/>
      <sz val="12"/>
      <name val="Calibri"/>
      <family val="2"/>
      <scheme val="minor"/>
    </font>
    <font>
      <b/>
      <sz val="11"/>
      <color theme="1" tint="4.9989318521683403E-2"/>
      <name val="Arial"/>
      <family val="2"/>
    </font>
    <font>
      <b/>
      <u/>
      <sz val="11"/>
      <color rgb="FFFF0000"/>
      <name val="Arial"/>
      <family val="2"/>
    </font>
    <font>
      <b/>
      <u/>
      <sz val="11"/>
      <color rgb="FF0000CC"/>
      <name val="Arial"/>
      <family val="2"/>
    </font>
    <font>
      <sz val="12"/>
      <color rgb="FFFF0000"/>
      <name val="Calibri"/>
      <family val="2"/>
      <scheme val="minor"/>
    </font>
  </fonts>
  <fills count="12">
    <fill>
      <patternFill patternType="none"/>
    </fill>
    <fill>
      <patternFill patternType="gray125"/>
    </fill>
    <fill>
      <patternFill patternType="solid">
        <fgColor theme="3"/>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5" tint="0.39994506668294322"/>
        <bgColor indexed="64"/>
      </patternFill>
    </fill>
    <fill>
      <patternFill patternType="gray0625">
        <bgColor theme="0"/>
      </patternFill>
    </fill>
    <fill>
      <patternFill patternType="gray125">
        <bgColor theme="0"/>
      </patternFill>
    </fill>
    <fill>
      <patternFill patternType="darkTrellis">
        <bgColor theme="0"/>
      </patternFill>
    </fill>
    <fill>
      <patternFill patternType="solid">
        <fgColor rgb="FFFFFFCC"/>
      </patternFill>
    </fill>
    <fill>
      <patternFill patternType="solid">
        <fgColor rgb="FFFFC000"/>
        <bgColor indexed="64"/>
      </patternFill>
    </fill>
    <fill>
      <patternFill patternType="solid">
        <fgColor rgb="FF92D05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auto="1"/>
      </left>
      <right style="thin">
        <color theme="0" tint="-0.499984740745262"/>
      </right>
      <top style="medium">
        <color auto="1"/>
      </top>
      <bottom/>
      <diagonal/>
    </border>
    <border>
      <left style="thin">
        <color theme="0" tint="-0.499984740745262"/>
      </left>
      <right style="thin">
        <color theme="0" tint="-0.499984740745262"/>
      </right>
      <top style="medium">
        <color auto="1"/>
      </top>
      <bottom/>
      <diagonal/>
    </border>
    <border>
      <left style="thin">
        <color theme="0" tint="-0.499984740745262"/>
      </left>
      <right style="medium">
        <color auto="1"/>
      </right>
      <top style="medium">
        <color auto="1"/>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medium">
        <color auto="1"/>
      </bottom>
      <diagonal/>
    </border>
  </borders>
  <cellStyleXfs count="13">
    <xf numFmtId="0" fontId="0" fillId="0" borderId="0"/>
    <xf numFmtId="0" fontId="3" fillId="0" borderId="0">
      <alignment vertical="center"/>
    </xf>
    <xf numFmtId="0" fontId="5" fillId="3" borderId="0" applyNumberFormat="0" applyBorder="0" applyProtection="0">
      <alignment horizontal="center" vertical="center"/>
    </xf>
    <xf numFmtId="0" fontId="5" fillId="4" borderId="0" applyNumberFormat="0" applyBorder="0" applyProtection="0">
      <alignment horizontal="center" vertical="center"/>
    </xf>
    <xf numFmtId="0" fontId="6" fillId="5" borderId="0" applyNumberFormat="0" applyBorder="0" applyAlignment="0" applyProtection="0"/>
    <xf numFmtId="0" fontId="4" fillId="2" borderId="0" applyNumberFormat="0" applyBorder="0" applyAlignment="0" applyProtection="0"/>
    <xf numFmtId="0" fontId="2" fillId="0" borderId="0"/>
    <xf numFmtId="0" fontId="7" fillId="0" borderId="0" applyNumberFormat="0" applyFill="0" applyBorder="0" applyAlignment="0" applyProtection="0">
      <alignment vertical="top"/>
      <protection locked="0"/>
    </xf>
    <xf numFmtId="0" fontId="1" fillId="6" borderId="1" applyBorder="0">
      <alignment horizontal="center" vertical="center"/>
    </xf>
    <xf numFmtId="0" fontId="1" fillId="7" borderId="1" applyBorder="0">
      <alignment horizontal="center" vertical="center"/>
    </xf>
    <xf numFmtId="0" fontId="1" fillId="8" borderId="2">
      <alignment horizontal="center" vertical="center"/>
    </xf>
    <xf numFmtId="0" fontId="2" fillId="9" borderId="5" applyNumberFormat="0" applyFont="0" applyAlignment="0" applyProtection="0"/>
    <xf numFmtId="0" fontId="20" fillId="0" borderId="0"/>
  </cellStyleXfs>
  <cellXfs count="99">
    <xf numFmtId="0" fontId="0" fillId="0" borderId="0" xfId="0"/>
    <xf numFmtId="0" fontId="1" fillId="0" borderId="0" xfId="0" applyFont="1" applyBorder="1" applyAlignment="1" applyProtection="1">
      <alignment vertical="center" wrapText="1"/>
      <protection locked="0"/>
    </xf>
    <xf numFmtId="0" fontId="1" fillId="0" borderId="0" xfId="0" applyFont="1" applyAlignment="1" applyProtection="1">
      <alignment vertical="center" wrapText="1"/>
      <protection locked="0"/>
    </xf>
    <xf numFmtId="0" fontId="1" fillId="0" borderId="0"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16" fillId="0" borderId="0" xfId="7" applyFont="1" applyBorder="1" applyAlignment="1" applyProtection="1">
      <alignment horizontal="center" vertical="center" wrapText="1"/>
      <protection locked="0"/>
    </xf>
    <xf numFmtId="0" fontId="17" fillId="0" borderId="0" xfId="0" applyFont="1" applyBorder="1" applyAlignment="1" applyProtection="1">
      <alignment horizontal="center" vertical="center" wrapText="1"/>
      <protection locked="0"/>
    </xf>
    <xf numFmtId="0" fontId="12" fillId="0" borderId="0" xfId="7" applyFont="1" applyAlignment="1" applyProtection="1">
      <alignment horizontal="center" vertical="center"/>
      <protection locked="0"/>
    </xf>
    <xf numFmtId="0" fontId="1" fillId="0" borderId="0" xfId="0" applyFont="1" applyAlignment="1" applyProtection="1">
      <alignment horizontal="center" vertical="center" wrapText="1"/>
      <protection locked="0"/>
    </xf>
    <xf numFmtId="164" fontId="1" fillId="0" borderId="0" xfId="0" applyNumberFormat="1" applyFont="1" applyBorder="1" applyAlignment="1" applyProtection="1">
      <alignment horizontal="center" vertical="center" wrapText="1"/>
      <protection locked="0"/>
    </xf>
    <xf numFmtId="164" fontId="1" fillId="0" borderId="0" xfId="0" applyNumberFormat="1" applyFont="1" applyBorder="1" applyAlignment="1" applyProtection="1">
      <alignment vertical="center" wrapText="1"/>
      <protection locked="0"/>
    </xf>
    <xf numFmtId="0" fontId="1" fillId="0" borderId="3" xfId="0" applyFont="1" applyBorder="1" applyAlignment="1" applyProtection="1">
      <alignment horizontal="center" vertical="center"/>
      <protection locked="0"/>
    </xf>
    <xf numFmtId="0" fontId="1" fillId="0" borderId="4" xfId="0" applyFont="1" applyBorder="1" applyAlignment="1" applyProtection="1">
      <alignment vertical="center" wrapText="1"/>
      <protection locked="0"/>
    </xf>
    <xf numFmtId="0" fontId="8" fillId="0" borderId="4" xfId="0" applyFont="1" applyFill="1" applyBorder="1" applyAlignment="1" applyProtection="1">
      <alignment horizontal="center" vertical="center" wrapText="1"/>
      <protection locked="0"/>
    </xf>
    <xf numFmtId="0" fontId="8" fillId="0" borderId="4" xfId="0" applyFont="1" applyFill="1" applyBorder="1" applyAlignment="1" applyProtection="1">
      <alignment horizontal="left" vertical="center" wrapText="1"/>
      <protection locked="0"/>
    </xf>
    <xf numFmtId="164" fontId="8" fillId="0" borderId="4" xfId="0" applyNumberFormat="1" applyFont="1" applyFill="1" applyBorder="1" applyAlignment="1" applyProtection="1">
      <alignment horizontal="left" vertical="center" wrapText="1"/>
      <protection locked="0"/>
    </xf>
    <xf numFmtId="164" fontId="1" fillId="0" borderId="4" xfId="0" applyNumberFormat="1"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wrapText="1"/>
      <protection locked="0"/>
    </xf>
    <xf numFmtId="164" fontId="8" fillId="0" borderId="0" xfId="0" applyNumberFormat="1" applyFont="1" applyFill="1" applyBorder="1" applyAlignment="1" applyProtection="1">
      <alignment horizontal="left" vertical="center" wrapText="1"/>
      <protection locked="0"/>
    </xf>
    <xf numFmtId="164" fontId="1" fillId="0" borderId="0" xfId="0" applyNumberFormat="1" applyFont="1" applyFill="1" applyBorder="1" applyAlignment="1" applyProtection="1">
      <alignment vertical="center" wrapText="1"/>
      <protection locked="0"/>
    </xf>
    <xf numFmtId="0" fontId="1" fillId="0" borderId="3" xfId="0" applyFont="1" applyBorder="1" applyAlignment="1" applyProtection="1">
      <alignment vertical="center" wrapText="1"/>
      <protection locked="0"/>
    </xf>
    <xf numFmtId="0" fontId="8" fillId="0" borderId="3"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left" vertical="center" wrapText="1"/>
      <protection locked="0"/>
    </xf>
    <xf numFmtId="164" fontId="8" fillId="0" borderId="3" xfId="0" applyNumberFormat="1" applyFont="1" applyFill="1" applyBorder="1" applyAlignment="1" applyProtection="1">
      <alignment horizontal="left" vertical="center" wrapText="1"/>
      <protection locked="0"/>
    </xf>
    <xf numFmtId="164" fontId="1" fillId="0" borderId="3" xfId="0" applyNumberFormat="1" applyFont="1" applyFill="1" applyBorder="1" applyAlignment="1" applyProtection="1">
      <alignment vertical="center" wrapText="1"/>
      <protection locked="0"/>
    </xf>
    <xf numFmtId="0" fontId="10" fillId="0" borderId="4" xfId="0" applyFont="1" applyFill="1" applyBorder="1" applyAlignment="1" applyProtection="1">
      <alignment horizontal="left" vertical="center"/>
      <protection locked="0"/>
    </xf>
    <xf numFmtId="0" fontId="10" fillId="0" borderId="0" xfId="0" applyFont="1" applyFill="1" applyBorder="1" applyAlignment="1" applyProtection="1">
      <alignment horizontal="left" vertical="center"/>
      <protection locked="0"/>
    </xf>
    <xf numFmtId="0" fontId="10" fillId="0" borderId="0" xfId="0" applyFont="1" applyFill="1" applyBorder="1" applyAlignment="1" applyProtection="1">
      <alignment horizontal="left" vertical="center" wrapText="1"/>
      <protection locked="0"/>
    </xf>
    <xf numFmtId="0" fontId="10" fillId="0" borderId="3" xfId="0" applyFont="1" applyFill="1" applyBorder="1" applyAlignment="1" applyProtection="1">
      <alignment horizontal="left" vertical="center"/>
      <protection locked="0"/>
    </xf>
    <xf numFmtId="0" fontId="8" fillId="0" borderId="3" xfId="0" applyFont="1" applyFill="1" applyBorder="1" applyAlignment="1" applyProtection="1">
      <alignment vertical="center" wrapText="1"/>
      <protection locked="0"/>
    </xf>
    <xf numFmtId="0" fontId="11" fillId="0" borderId="4" xfId="0" applyFont="1" applyFill="1" applyBorder="1" applyAlignment="1" applyProtection="1">
      <alignment horizontal="left" vertical="center"/>
      <protection locked="0"/>
    </xf>
    <xf numFmtId="0" fontId="13" fillId="0" borderId="0" xfId="0" applyFont="1" applyAlignment="1" applyProtection="1">
      <alignment horizontal="left" vertical="center"/>
      <protection locked="0"/>
    </xf>
    <xf numFmtId="0" fontId="1" fillId="10" borderId="0" xfId="0" applyFont="1" applyFill="1" applyAlignment="1" applyProtection="1">
      <alignment horizontal="center" vertical="center" wrapText="1"/>
      <protection locked="0"/>
    </xf>
    <xf numFmtId="0" fontId="13" fillId="0" borderId="7" xfId="0" applyFont="1" applyBorder="1" applyAlignment="1" applyProtection="1">
      <alignment horizontal="center" vertical="center"/>
      <protection locked="0"/>
    </xf>
    <xf numFmtId="0" fontId="13" fillId="0" borderId="8" xfId="0" applyFont="1" applyBorder="1" applyAlignment="1" applyProtection="1">
      <alignment horizontal="center" vertical="center" wrapText="1"/>
      <protection locked="0"/>
    </xf>
    <xf numFmtId="0" fontId="13" fillId="0" borderId="8" xfId="0" applyFont="1" applyBorder="1" applyAlignment="1" applyProtection="1">
      <alignment horizontal="center" vertical="center"/>
      <protection locked="0"/>
    </xf>
    <xf numFmtId="164" fontId="13" fillId="0" borderId="9" xfId="0" applyNumberFormat="1" applyFont="1" applyFill="1" applyBorder="1" applyAlignment="1" applyProtection="1">
      <alignment horizontal="center" vertical="center" wrapText="1"/>
      <protection locked="0"/>
    </xf>
    <xf numFmtId="0" fontId="15" fillId="0" borderId="6" xfId="6" applyFont="1" applyBorder="1" applyAlignment="1" applyProtection="1">
      <alignment horizontal="center" vertical="center" wrapText="1"/>
      <protection locked="0"/>
    </xf>
    <xf numFmtId="0" fontId="14" fillId="0" borderId="6" xfId="1" applyFont="1" applyBorder="1" applyAlignment="1" applyProtection="1">
      <alignment horizontal="center" vertical="center"/>
      <protection locked="0"/>
    </xf>
    <xf numFmtId="165" fontId="1" fillId="0" borderId="6" xfId="0" applyNumberFormat="1" applyFont="1" applyBorder="1" applyAlignment="1" applyProtection="1">
      <alignment horizontal="center" vertical="center"/>
      <protection locked="0"/>
    </xf>
    <xf numFmtId="165" fontId="14" fillId="0" borderId="6" xfId="1" applyNumberFormat="1" applyFont="1" applyBorder="1" applyAlignment="1" applyProtection="1">
      <alignment horizontal="center" vertical="center"/>
      <protection locked="0"/>
    </xf>
    <xf numFmtId="0" fontId="1" fillId="0" borderId="6" xfId="6" applyFont="1" applyBorder="1" applyAlignment="1" applyProtection="1">
      <alignment horizontal="left" vertical="center" wrapText="1"/>
      <protection locked="0"/>
    </xf>
    <xf numFmtId="165" fontId="14" fillId="10" borderId="6" xfId="1" applyNumberFormat="1" applyFont="1" applyFill="1" applyBorder="1" applyAlignment="1" applyProtection="1">
      <alignment horizontal="center" vertical="center"/>
      <protection locked="0"/>
    </xf>
    <xf numFmtId="0" fontId="1" fillId="0" borderId="6" xfId="6" applyFont="1" applyBorder="1" applyAlignment="1" applyProtection="1">
      <alignment horizontal="left" vertical="center"/>
      <protection locked="0"/>
    </xf>
    <xf numFmtId="165" fontId="18" fillId="0" borderId="6" xfId="0" applyNumberFormat="1" applyFont="1" applyBorder="1" applyAlignment="1">
      <alignment horizontal="center" vertical="center"/>
    </xf>
    <xf numFmtId="0" fontId="1" fillId="0" borderId="6" xfId="0" applyFont="1" applyBorder="1" applyAlignment="1" applyProtection="1">
      <alignment horizontal="center" vertical="center" wrapText="1"/>
      <protection locked="0"/>
    </xf>
    <xf numFmtId="0" fontId="13" fillId="0" borderId="6" xfId="6" applyFont="1" applyBorder="1" applyAlignment="1" applyProtection="1">
      <alignment horizontal="right" vertical="center" wrapText="1"/>
      <protection locked="0"/>
    </xf>
    <xf numFmtId="164" fontId="14" fillId="0" borderId="6" xfId="1" applyNumberFormat="1" applyFont="1" applyBorder="1" applyAlignment="1" applyProtection="1">
      <alignment horizontal="center" vertical="center"/>
      <protection locked="0"/>
    </xf>
    <xf numFmtId="0" fontId="13" fillId="0" borderId="6" xfId="0" applyFont="1" applyBorder="1" applyAlignment="1" applyProtection="1">
      <alignment horizontal="left" vertical="center"/>
      <protection locked="0"/>
    </xf>
    <xf numFmtId="0" fontId="13" fillId="0" borderId="6" xfId="6" applyFont="1" applyBorder="1" applyAlignment="1" applyProtection="1">
      <alignment horizontal="left" vertical="center" wrapText="1"/>
      <protection locked="0"/>
    </xf>
    <xf numFmtId="0" fontId="19" fillId="0" borderId="6" xfId="11" applyFont="1" applyFill="1" applyBorder="1" applyAlignment="1">
      <alignment vertical="center"/>
    </xf>
    <xf numFmtId="165" fontId="22" fillId="0" borderId="6" xfId="1" applyNumberFormat="1" applyFont="1" applyBorder="1" applyAlignment="1" applyProtection="1">
      <alignment horizontal="center" vertical="center"/>
      <protection locked="0"/>
    </xf>
    <xf numFmtId="9" fontId="14" fillId="0" borderId="6" xfId="1" applyNumberFormat="1" applyFont="1" applyBorder="1" applyAlignment="1" applyProtection="1">
      <alignment horizontal="center" vertical="center"/>
      <protection locked="0"/>
    </xf>
    <xf numFmtId="165" fontId="13" fillId="0" borderId="6" xfId="0" applyNumberFormat="1" applyFont="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0" borderId="3" xfId="0" applyFont="1" applyBorder="1" applyAlignment="1" applyProtection="1">
      <alignment vertical="center"/>
      <protection locked="0"/>
    </xf>
    <xf numFmtId="164" fontId="1" fillId="0" borderId="3" xfId="0" applyNumberFormat="1" applyFont="1" applyBorder="1" applyAlignment="1" applyProtection="1">
      <alignment vertical="center"/>
      <protection locked="0"/>
    </xf>
    <xf numFmtId="0" fontId="1" fillId="0" borderId="0" xfId="0" applyFont="1" applyBorder="1" applyAlignment="1" applyProtection="1">
      <alignment vertical="center"/>
      <protection locked="0"/>
    </xf>
    <xf numFmtId="0" fontId="1" fillId="0" borderId="0" xfId="0" applyFont="1" applyAlignment="1" applyProtection="1">
      <alignment vertical="center"/>
      <protection locked="0"/>
    </xf>
    <xf numFmtId="0" fontId="19" fillId="0" borderId="6" xfId="11" applyFont="1" applyFill="1" applyBorder="1" applyAlignment="1">
      <alignment horizontal="justify" vertical="center" wrapText="1"/>
    </xf>
    <xf numFmtId="0" fontId="21" fillId="0" borderId="6" xfId="11" applyFont="1" applyFill="1" applyBorder="1" applyAlignment="1">
      <alignment horizontal="justify" vertical="center" wrapText="1"/>
    </xf>
    <xf numFmtId="0" fontId="21" fillId="0" borderId="6" xfId="11" applyFont="1" applyFill="1" applyBorder="1" applyAlignment="1">
      <alignment horizontal="left" vertical="center" wrapText="1"/>
    </xf>
    <xf numFmtId="0" fontId="19" fillId="0" borderId="6" xfId="11" applyFont="1" applyFill="1" applyBorder="1" applyAlignment="1">
      <alignment horizontal="left" vertical="center" wrapText="1"/>
    </xf>
    <xf numFmtId="164" fontId="1" fillId="0" borderId="0" xfId="0" applyNumberFormat="1" applyFont="1" applyAlignment="1" applyProtection="1">
      <alignment vertical="center" wrapText="1"/>
      <protection locked="0"/>
    </xf>
    <xf numFmtId="164" fontId="1" fillId="0" borderId="0" xfId="0" applyNumberFormat="1" applyFont="1" applyAlignment="1" applyProtection="1">
      <alignment vertical="center"/>
      <protection locked="0"/>
    </xf>
    <xf numFmtId="0" fontId="1" fillId="0" borderId="4" xfId="0" applyFont="1" applyBorder="1" applyAlignment="1" applyProtection="1">
      <alignment horizontal="center" vertical="center" wrapText="1"/>
      <protection locked="0"/>
    </xf>
    <xf numFmtId="0" fontId="19" fillId="0" borderId="6" xfId="11" applyFont="1" applyFill="1" applyBorder="1" applyAlignment="1">
      <alignment horizontal="center" vertical="center" wrapText="1"/>
    </xf>
    <xf numFmtId="166" fontId="19" fillId="0" borderId="6" xfId="11" applyNumberFormat="1" applyFont="1" applyFill="1" applyBorder="1" applyAlignment="1">
      <alignment horizontal="center" vertical="center" wrapText="1"/>
    </xf>
    <xf numFmtId="0" fontId="13" fillId="0" borderId="6" xfId="6" applyFont="1" applyBorder="1" applyAlignment="1" applyProtection="1">
      <alignment horizontal="center" vertical="center" wrapText="1"/>
      <protection locked="0"/>
    </xf>
    <xf numFmtId="0" fontId="19" fillId="0" borderId="6" xfId="11" applyFont="1" applyFill="1" applyBorder="1" applyAlignment="1">
      <alignment horizontal="center" vertical="center"/>
    </xf>
    <xf numFmtId="2" fontId="19" fillId="0" borderId="6" xfId="11" applyNumberFormat="1" applyFont="1" applyFill="1" applyBorder="1" applyAlignment="1">
      <alignment horizontal="center" vertical="center" wrapText="1"/>
    </xf>
    <xf numFmtId="0" fontId="23" fillId="0" borderId="6" xfId="6" applyFont="1" applyBorder="1" applyAlignment="1" applyProtection="1">
      <alignment horizontal="left" vertical="center" wrapText="1"/>
      <protection locked="0"/>
    </xf>
    <xf numFmtId="0" fontId="14" fillId="0" borderId="6" xfId="1" applyNumberFormat="1" applyFont="1" applyBorder="1" applyAlignment="1" applyProtection="1">
      <alignment horizontal="center" vertical="center"/>
      <protection locked="0"/>
    </xf>
    <xf numFmtId="0" fontId="24" fillId="0" borderId="6" xfId="6" applyFont="1" applyBorder="1" applyAlignment="1" applyProtection="1">
      <alignment horizontal="center" vertical="center" wrapText="1"/>
      <protection locked="0"/>
    </xf>
    <xf numFmtId="1" fontId="19" fillId="0" borderId="6" xfId="11" applyNumberFormat="1" applyFont="1" applyFill="1" applyBorder="1" applyAlignment="1">
      <alignment horizontal="center" vertical="center" wrapText="1"/>
    </xf>
    <xf numFmtId="0" fontId="1" fillId="0" borderId="6" xfId="0" applyFont="1" applyBorder="1" applyAlignment="1" applyProtection="1">
      <alignment horizontal="center" vertical="center"/>
      <protection locked="0"/>
    </xf>
    <xf numFmtId="0" fontId="11" fillId="0" borderId="0" xfId="0" applyFont="1" applyFill="1" applyBorder="1" applyAlignment="1" applyProtection="1">
      <alignment horizontal="left" vertical="center"/>
      <protection locked="0"/>
    </xf>
    <xf numFmtId="167" fontId="19" fillId="0" borderId="6" xfId="11" applyNumberFormat="1" applyFont="1" applyFill="1" applyBorder="1" applyAlignment="1">
      <alignment horizontal="center" vertical="center" wrapText="1"/>
    </xf>
    <xf numFmtId="14" fontId="11" fillId="0" borderId="3" xfId="0" applyNumberFormat="1" applyFont="1" applyFill="1" applyBorder="1" applyAlignment="1" applyProtection="1">
      <alignment horizontal="left" vertical="center"/>
      <protection locked="0"/>
    </xf>
    <xf numFmtId="0" fontId="1" fillId="0" borderId="10" xfId="0" applyFont="1" applyBorder="1" applyAlignment="1" applyProtection="1">
      <alignment horizontal="justify" vertical="center"/>
      <protection locked="0"/>
    </xf>
    <xf numFmtId="0" fontId="1" fillId="0" borderId="6" xfId="0" applyFont="1" applyBorder="1" applyAlignment="1" applyProtection="1">
      <alignment horizontal="center" vertical="center"/>
      <protection locked="0"/>
    </xf>
    <xf numFmtId="0" fontId="1" fillId="0" borderId="11" xfId="0" applyFont="1" applyBorder="1" applyAlignment="1" applyProtection="1">
      <alignment horizontal="center" vertical="center"/>
      <protection locked="0"/>
    </xf>
    <xf numFmtId="0" fontId="1" fillId="0" borderId="13" xfId="0" applyFont="1" applyBorder="1" applyAlignment="1" applyProtection="1">
      <alignment horizontal="center" vertical="center"/>
      <protection locked="0"/>
    </xf>
    <xf numFmtId="0" fontId="1" fillId="0" borderId="12" xfId="0" applyFont="1" applyBorder="1" applyAlignment="1" applyProtection="1">
      <alignment horizontal="center" vertical="center"/>
      <protection locked="0"/>
    </xf>
    <xf numFmtId="0" fontId="9" fillId="0" borderId="4" xfId="0" applyFont="1" applyFill="1" applyBorder="1" applyAlignment="1" applyProtection="1">
      <alignment horizontal="center" vertical="center" wrapText="1"/>
      <protection locked="0"/>
    </xf>
    <xf numFmtId="0" fontId="9" fillId="0" borderId="0" xfId="0" applyFont="1" applyFill="1" applyBorder="1" applyAlignment="1" applyProtection="1">
      <alignment horizontal="center" vertical="center" wrapText="1"/>
      <protection locked="0"/>
    </xf>
    <xf numFmtId="0" fontId="9" fillId="0" borderId="3" xfId="0" applyFont="1" applyFill="1" applyBorder="1" applyAlignment="1" applyProtection="1">
      <alignment horizontal="center" vertical="center" wrapText="1"/>
      <protection locked="0"/>
    </xf>
    <xf numFmtId="0" fontId="11" fillId="0" borderId="0" xfId="0" applyFont="1" applyFill="1" applyBorder="1" applyAlignment="1" applyProtection="1">
      <alignment horizontal="left" vertical="center"/>
      <protection locked="0"/>
    </xf>
    <xf numFmtId="0" fontId="12" fillId="0" borderId="4" xfId="7" applyFont="1" applyFill="1" applyBorder="1" applyAlignment="1" applyProtection="1">
      <alignment horizontal="left" vertical="center"/>
      <protection locked="0"/>
    </xf>
    <xf numFmtId="0" fontId="12" fillId="0" borderId="0" xfId="7" applyFont="1" applyFill="1" applyBorder="1" applyAlignment="1" applyProtection="1">
      <alignment horizontal="left" vertical="center"/>
      <protection locked="0"/>
    </xf>
    <xf numFmtId="0" fontId="13" fillId="11" borderId="14" xfId="0"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165" fontId="18" fillId="0" borderId="6" xfId="0" applyNumberFormat="1" applyFont="1" applyFill="1" applyBorder="1" applyAlignment="1">
      <alignment horizontal="center" vertical="center"/>
    </xf>
    <xf numFmtId="165" fontId="1" fillId="0" borderId="6" xfId="0" applyNumberFormat="1" applyFont="1" applyFill="1" applyBorder="1" applyAlignment="1" applyProtection="1">
      <alignment horizontal="center" vertical="center"/>
      <protection locked="0"/>
    </xf>
    <xf numFmtId="165" fontId="14" fillId="0" borderId="6" xfId="1" applyNumberFormat="1" applyFont="1" applyFill="1" applyBorder="1" applyAlignment="1" applyProtection="1">
      <alignment horizontal="center" vertical="center"/>
      <protection locked="0"/>
    </xf>
    <xf numFmtId="0" fontId="14" fillId="0" borderId="6" xfId="1" applyFont="1" applyFill="1" applyBorder="1" applyAlignment="1" applyProtection="1">
      <alignment horizontal="center" vertical="center"/>
      <protection locked="0"/>
    </xf>
    <xf numFmtId="9" fontId="14" fillId="0" borderId="6" xfId="1" applyNumberFormat="1" applyFont="1" applyFill="1" applyBorder="1" applyAlignment="1" applyProtection="1">
      <alignment horizontal="center" vertical="center"/>
      <protection locked="0"/>
    </xf>
    <xf numFmtId="165" fontId="13" fillId="0" borderId="6" xfId="0" applyNumberFormat="1" applyFont="1" applyFill="1" applyBorder="1" applyAlignment="1" applyProtection="1">
      <alignment horizontal="center" vertical="center"/>
      <protection locked="0"/>
    </xf>
  </cellXfs>
  <cellStyles count="13">
    <cellStyle name="Heading 1 2" xfId="2" xr:uid="{00000000-0005-0000-0000-000000000000}"/>
    <cellStyle name="Heading 2 2" xfId="3" xr:uid="{00000000-0005-0000-0000-000001000000}"/>
    <cellStyle name="Heading 3 2" xfId="4" xr:uid="{00000000-0005-0000-0000-000002000000}"/>
    <cellStyle name="Hyperlink" xfId="7" builtinId="8"/>
    <cellStyle name="Normal" xfId="0" builtinId="0"/>
    <cellStyle name="Normal 2" xfId="6" xr:uid="{00000000-0005-0000-0000-000005000000}"/>
    <cellStyle name="Normal 2 3" xfId="12" xr:uid="{00000000-0005-0000-0000-000006000000}"/>
    <cellStyle name="Normal 3" xfId="1" xr:uid="{00000000-0005-0000-0000-000007000000}"/>
    <cellStyle name="Note" xfId="11" builtinId="10"/>
    <cellStyle name="Style 1" xfId="8" xr:uid="{00000000-0005-0000-0000-000009000000}"/>
    <cellStyle name="Style 2" xfId="9" xr:uid="{00000000-0005-0000-0000-00000A000000}"/>
    <cellStyle name="Style 3" xfId="10" xr:uid="{00000000-0005-0000-0000-00000B000000}"/>
    <cellStyle name="Title 2" xfId="5" xr:uid="{00000000-0005-0000-0000-00000C000000}"/>
  </cellStyles>
  <dxfs count="3">
    <dxf>
      <fill>
        <patternFill>
          <bgColor theme="3" tint="0.79998168889431442"/>
        </patternFill>
      </fill>
    </dxf>
    <dxf>
      <font>
        <b/>
        <i val="0"/>
        <color theme="0"/>
      </font>
      <fill>
        <patternFill>
          <bgColor theme="3" tint="0.39994506668294322"/>
        </patternFill>
      </fill>
      <border>
        <bottom style="medium">
          <color theme="3" tint="0.39994506668294322"/>
        </bottom>
        <vertical/>
        <horizontal/>
      </border>
    </dxf>
    <dxf>
      <font>
        <color theme="1" tint="4.9989318521683403E-2"/>
      </font>
      <border>
        <top style="thick">
          <color theme="0"/>
        </top>
        <vertical style="medium">
          <color theme="0"/>
        </vertical>
      </border>
    </dxf>
  </dxfs>
  <tableStyles count="1" defaultTableStyle="Simple Monthly Budget" defaultPivotStyle="PivotStyleMedium13">
    <tableStyle name="Simple Monthly Budget" pivot="0" count="3" xr9:uid="{00000000-0011-0000-FFFF-FFFF00000000}">
      <tableStyleElement type="wholeTable" dxfId="2"/>
      <tableStyleElement type="headerRow" dxfId="1"/>
      <tableStyleElement type="secondRowStripe" dxfId="0"/>
    </tableStyle>
  </tableStyles>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95251</xdr:colOff>
      <xdr:row>1</xdr:row>
      <xdr:rowOff>59938</xdr:rowOff>
    </xdr:from>
    <xdr:to>
      <xdr:col>12</xdr:col>
      <xdr:colOff>561977</xdr:colOff>
      <xdr:row>3</xdr:row>
      <xdr:rowOff>165099</xdr:rowOff>
    </xdr:to>
    <xdr:pic>
      <xdr:nvPicPr>
        <xdr:cNvPr id="7" name="Picture 6">
          <a:extLst>
            <a:ext uri="{FF2B5EF4-FFF2-40B4-BE49-F238E27FC236}">
              <a16:creationId xmlns:a16="http://schemas.microsoft.com/office/drawing/2014/main" id="{630D6DB4-5619-45D8-B273-2E15F9FA86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9526" y="259963"/>
          <a:ext cx="1219200" cy="486161"/>
        </a:xfrm>
        <a:prstGeom prst="rect">
          <a:avLst/>
        </a:prstGeom>
      </xdr:spPr>
    </xdr:pic>
    <xdr:clientData/>
  </xdr:twoCellAnchor>
</xdr:wsDr>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qtoestimating.com/" TargetMode="External"/><Relationship Id="rId1" Type="http://schemas.openxmlformats.org/officeDocument/2006/relationships/hyperlink" Target="mailto:info@qtoestimating.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308"/>
  <sheetViews>
    <sheetView showGridLines="0" tabSelected="1" view="pageBreakPreview" zoomScale="85" zoomScaleSheetLayoutView="85" workbookViewId="0"/>
  </sheetViews>
  <sheetFormatPr defaultColWidth="9.140625" defaultRowHeight="14.25" x14ac:dyDescent="0.25"/>
  <cols>
    <col min="1" max="1" width="2.85546875" style="59" customWidth="1"/>
    <col min="2" max="2" width="5.7109375" style="4" customWidth="1"/>
    <col min="3" max="3" width="14.5703125" style="4" bestFit="1" customWidth="1"/>
    <col min="4" max="4" width="15" style="4" customWidth="1"/>
    <col min="5" max="5" width="50.42578125" style="59" customWidth="1"/>
    <col min="6" max="6" width="12.42578125" style="4" customWidth="1"/>
    <col min="7" max="7" width="8.85546875" style="4" customWidth="1"/>
    <col min="8" max="8" width="11.85546875" style="4" bestFit="1" customWidth="1"/>
    <col min="9" max="9" width="10.42578125" style="4" bestFit="1" customWidth="1"/>
    <col min="10" max="10" width="17.28515625" style="4" customWidth="1"/>
    <col min="11" max="11" width="14.28515625" style="4" bestFit="1" customWidth="1"/>
    <col min="12" max="12" width="11.28515625" style="4" bestFit="1" customWidth="1"/>
    <col min="13" max="13" width="14.28515625" style="65" bestFit="1" customWidth="1"/>
    <col min="14" max="14" width="2.85546875" style="59" customWidth="1"/>
    <col min="15" max="16384" width="9.140625" style="59"/>
  </cols>
  <sheetData>
    <row r="1" spans="1:21" ht="15" thickBot="1" x14ac:dyDescent="0.3">
      <c r="A1" s="56"/>
      <c r="B1" s="11"/>
      <c r="C1" s="11"/>
      <c r="D1" s="11"/>
      <c r="E1" s="56"/>
      <c r="F1" s="11"/>
      <c r="G1" s="11"/>
      <c r="H1" s="11"/>
      <c r="I1" s="11"/>
      <c r="J1" s="11"/>
      <c r="K1" s="11"/>
      <c r="L1" s="11"/>
      <c r="M1" s="57"/>
      <c r="N1" s="58"/>
    </row>
    <row r="2" spans="1:21" s="2" customFormat="1" ht="15" x14ac:dyDescent="0.25">
      <c r="A2" s="12"/>
      <c r="B2" s="13"/>
      <c r="C2" s="14"/>
      <c r="D2" s="85" t="s">
        <v>17</v>
      </c>
      <c r="E2" s="85"/>
      <c r="F2" s="85"/>
      <c r="G2" s="85"/>
      <c r="H2" s="85"/>
      <c r="I2" s="85"/>
      <c r="J2" s="85"/>
      <c r="K2" s="85"/>
      <c r="L2" s="15"/>
      <c r="M2" s="16"/>
      <c r="N2" s="1"/>
      <c r="Q2" s="1"/>
      <c r="R2" s="1"/>
      <c r="S2" s="1"/>
      <c r="T2" s="1"/>
      <c r="U2" s="1"/>
    </row>
    <row r="3" spans="1:21" s="2" customFormat="1" ht="15" x14ac:dyDescent="0.25">
      <c r="A3" s="1"/>
      <c r="B3" s="17"/>
      <c r="C3" s="18"/>
      <c r="D3" s="86"/>
      <c r="E3" s="86"/>
      <c r="F3" s="86"/>
      <c r="G3" s="86"/>
      <c r="H3" s="86"/>
      <c r="I3" s="86"/>
      <c r="J3" s="86"/>
      <c r="K3" s="86"/>
      <c r="L3" s="19"/>
      <c r="M3" s="20"/>
      <c r="N3" s="1"/>
      <c r="Q3" s="1"/>
      <c r="R3" s="1"/>
      <c r="S3" s="1"/>
      <c r="T3" s="1"/>
      <c r="U3" s="1"/>
    </row>
    <row r="4" spans="1:21" s="2" customFormat="1" ht="15.75" thickBot="1" x14ac:dyDescent="0.3">
      <c r="A4" s="21"/>
      <c r="B4" s="22"/>
      <c r="C4" s="23"/>
      <c r="D4" s="87"/>
      <c r="E4" s="87"/>
      <c r="F4" s="87"/>
      <c r="G4" s="87"/>
      <c r="H4" s="87"/>
      <c r="I4" s="87"/>
      <c r="J4" s="87"/>
      <c r="K4" s="87"/>
      <c r="L4" s="24"/>
      <c r="M4" s="25"/>
      <c r="N4" s="1"/>
      <c r="Q4" s="1"/>
      <c r="R4" s="1"/>
      <c r="S4" s="1"/>
      <c r="T4" s="1"/>
      <c r="U4" s="1"/>
    </row>
    <row r="5" spans="1:21" s="2" customFormat="1" ht="15" x14ac:dyDescent="0.25">
      <c r="A5" s="12"/>
      <c r="B5" s="26" t="s">
        <v>18</v>
      </c>
      <c r="C5" s="14"/>
      <c r="D5" s="31" t="s">
        <v>256</v>
      </c>
      <c r="E5" s="14"/>
      <c r="F5" s="66"/>
      <c r="G5" s="12"/>
      <c r="H5" s="12"/>
      <c r="I5" s="12"/>
      <c r="J5" s="12"/>
      <c r="K5" s="26" t="s">
        <v>12</v>
      </c>
      <c r="L5" s="89" t="s">
        <v>13</v>
      </c>
      <c r="M5" s="89"/>
      <c r="N5" s="1"/>
      <c r="Q5" s="1"/>
      <c r="R5" s="1"/>
      <c r="S5" s="1"/>
      <c r="T5" s="1"/>
      <c r="U5" s="1"/>
    </row>
    <row r="6" spans="1:21" s="2" customFormat="1" ht="15" x14ac:dyDescent="0.25">
      <c r="A6" s="1"/>
      <c r="B6" s="27" t="s">
        <v>19</v>
      </c>
      <c r="C6" s="18"/>
      <c r="D6" s="77" t="s">
        <v>256</v>
      </c>
      <c r="E6" s="18"/>
      <c r="F6" s="3"/>
      <c r="G6" s="1"/>
      <c r="H6" s="1"/>
      <c r="I6" s="1"/>
      <c r="J6" s="1"/>
      <c r="K6" s="28" t="s">
        <v>14</v>
      </c>
      <c r="L6" s="90" t="s">
        <v>15</v>
      </c>
      <c r="M6" s="90"/>
      <c r="N6" s="1"/>
      <c r="Q6" s="1"/>
      <c r="R6" s="1"/>
      <c r="S6" s="1"/>
      <c r="T6" s="1"/>
      <c r="U6" s="1"/>
    </row>
    <row r="7" spans="1:21" s="2" customFormat="1" ht="11.25" customHeight="1" x14ac:dyDescent="0.25">
      <c r="A7" s="1"/>
      <c r="B7" s="27" t="s">
        <v>16</v>
      </c>
      <c r="C7" s="18"/>
      <c r="D7" s="88" t="s">
        <v>256</v>
      </c>
      <c r="E7" s="88"/>
      <c r="F7" s="3"/>
      <c r="G7" s="1"/>
      <c r="H7" s="1"/>
      <c r="I7" s="1"/>
      <c r="J7" s="1"/>
      <c r="K7" s="28" t="s">
        <v>11</v>
      </c>
      <c r="L7" s="88" t="s">
        <v>26</v>
      </c>
      <c r="M7" s="88"/>
      <c r="N7" s="1"/>
      <c r="Q7" s="1"/>
      <c r="R7" s="1"/>
      <c r="S7" s="1"/>
      <c r="T7" s="1"/>
      <c r="U7" s="1"/>
    </row>
    <row r="8" spans="1:21" s="2" customFormat="1" ht="15.75" thickBot="1" x14ac:dyDescent="0.3">
      <c r="A8" s="21"/>
      <c r="B8" s="29" t="s">
        <v>20</v>
      </c>
      <c r="C8" s="22"/>
      <c r="D8" s="79">
        <v>44176</v>
      </c>
      <c r="E8" s="30"/>
      <c r="F8" s="22"/>
      <c r="G8" s="22"/>
      <c r="H8" s="22"/>
      <c r="I8" s="22"/>
      <c r="J8" s="22"/>
      <c r="K8" s="21"/>
      <c r="L8" s="21"/>
      <c r="M8" s="21"/>
      <c r="N8" s="1"/>
    </row>
    <row r="9" spans="1:21" s="2" customFormat="1" ht="15.75" thickBot="1" x14ac:dyDescent="0.3">
      <c r="B9" s="8"/>
      <c r="C9" s="3"/>
      <c r="D9" s="3"/>
      <c r="E9" s="91" t="s">
        <v>257</v>
      </c>
      <c r="F9" s="91"/>
      <c r="G9" s="91"/>
      <c r="H9" s="91"/>
      <c r="I9" s="91"/>
      <c r="J9" s="91"/>
      <c r="K9" s="3"/>
      <c r="L9" s="9"/>
      <c r="M9" s="10"/>
      <c r="N9" s="1"/>
    </row>
    <row r="10" spans="1:21" ht="30" x14ac:dyDescent="0.25">
      <c r="B10" s="34" t="s">
        <v>0</v>
      </c>
      <c r="C10" s="35" t="s">
        <v>23</v>
      </c>
      <c r="D10" s="35" t="s">
        <v>22</v>
      </c>
      <c r="E10" s="36" t="s">
        <v>24</v>
      </c>
      <c r="F10" s="36" t="s">
        <v>21</v>
      </c>
      <c r="G10" s="35" t="s">
        <v>4</v>
      </c>
      <c r="H10" s="35" t="s">
        <v>27</v>
      </c>
      <c r="I10" s="35" t="s">
        <v>28</v>
      </c>
      <c r="J10" s="35" t="s">
        <v>29</v>
      </c>
      <c r="K10" s="35" t="s">
        <v>30</v>
      </c>
      <c r="L10" s="35" t="s">
        <v>31</v>
      </c>
      <c r="M10" s="37" t="s">
        <v>32</v>
      </c>
      <c r="N10" s="58"/>
    </row>
    <row r="11" spans="1:21" ht="15" x14ac:dyDescent="0.25">
      <c r="B11" s="55"/>
      <c r="C11" s="55"/>
      <c r="D11" s="55"/>
      <c r="E11" s="38" t="s">
        <v>25</v>
      </c>
      <c r="F11" s="39"/>
      <c r="G11" s="55"/>
      <c r="H11" s="40"/>
      <c r="I11" s="40"/>
      <c r="J11" s="40"/>
      <c r="K11" s="40"/>
      <c r="L11" s="41"/>
      <c r="M11" s="41"/>
      <c r="N11" s="58"/>
    </row>
    <row r="12" spans="1:21" x14ac:dyDescent="0.25">
      <c r="B12" s="55">
        <f>IF(G12&lt;&gt;"",COUNTA($G$12:G12),"")</f>
        <v>1</v>
      </c>
      <c r="C12" s="55"/>
      <c r="D12" s="55"/>
      <c r="E12" s="42" t="s">
        <v>3</v>
      </c>
      <c r="F12" s="39">
        <v>1</v>
      </c>
      <c r="G12" s="55" t="s">
        <v>1</v>
      </c>
      <c r="H12" s="40">
        <v>10000</v>
      </c>
      <c r="I12" s="40">
        <v>0</v>
      </c>
      <c r="J12" s="40">
        <f>H12*F12</f>
        <v>10000</v>
      </c>
      <c r="K12" s="40">
        <f>I12*F12</f>
        <v>0</v>
      </c>
      <c r="L12" s="41">
        <f>I12+H12</f>
        <v>10000</v>
      </c>
      <c r="M12" s="95">
        <f>L12*F12</f>
        <v>10000</v>
      </c>
      <c r="N12" s="58"/>
    </row>
    <row r="13" spans="1:21" ht="15.75" x14ac:dyDescent="0.25">
      <c r="B13" s="55">
        <f>IF(G13&lt;&gt;"",COUNTA($G$12:G13),"")</f>
        <v>2</v>
      </c>
      <c r="C13" s="55"/>
      <c r="D13" s="55"/>
      <c r="E13" s="44" t="s">
        <v>7</v>
      </c>
      <c r="F13" s="39">
        <v>1</v>
      </c>
      <c r="G13" s="55" t="s">
        <v>1</v>
      </c>
      <c r="H13" s="45">
        <v>7500</v>
      </c>
      <c r="I13" s="40">
        <v>0</v>
      </c>
      <c r="J13" s="40">
        <f t="shared" ref="J13:J18" si="0">H13*F13</f>
        <v>7500</v>
      </c>
      <c r="K13" s="40">
        <f t="shared" ref="K13:K18" si="1">I13*F13</f>
        <v>0</v>
      </c>
      <c r="L13" s="41">
        <f t="shared" ref="L13:L18" si="2">I13+H13</f>
        <v>7500</v>
      </c>
      <c r="M13" s="95">
        <f t="shared" ref="M13:M18" si="3">L13*F13</f>
        <v>7500</v>
      </c>
      <c r="N13" s="58"/>
    </row>
    <row r="14" spans="1:21" ht="15.75" x14ac:dyDescent="0.25">
      <c r="B14" s="55">
        <f>IF(G14&lt;&gt;"",COUNTA($G$12:G14),"")</f>
        <v>3</v>
      </c>
      <c r="C14" s="55"/>
      <c r="D14" s="55"/>
      <c r="E14" s="44" t="s">
        <v>6</v>
      </c>
      <c r="F14" s="39">
        <v>1</v>
      </c>
      <c r="G14" s="55" t="s">
        <v>1</v>
      </c>
      <c r="H14" s="45">
        <v>8500</v>
      </c>
      <c r="I14" s="40">
        <v>0</v>
      </c>
      <c r="J14" s="40">
        <f t="shared" si="0"/>
        <v>8500</v>
      </c>
      <c r="K14" s="40">
        <f t="shared" si="1"/>
        <v>0</v>
      </c>
      <c r="L14" s="41">
        <f t="shared" si="2"/>
        <v>8500</v>
      </c>
      <c r="M14" s="95">
        <f t="shared" si="3"/>
        <v>8500</v>
      </c>
      <c r="N14" s="58"/>
    </row>
    <row r="15" spans="1:21" ht="15.75" x14ac:dyDescent="0.25">
      <c r="B15" s="55">
        <f>IF(G15&lt;&gt;"",COUNTA($G$12:G15),"")</f>
        <v>4</v>
      </c>
      <c r="C15" s="55"/>
      <c r="D15" s="55"/>
      <c r="E15" s="42" t="s">
        <v>8</v>
      </c>
      <c r="F15" s="39">
        <v>1</v>
      </c>
      <c r="G15" s="55" t="s">
        <v>1</v>
      </c>
      <c r="H15" s="45">
        <v>8000</v>
      </c>
      <c r="I15" s="40">
        <v>0</v>
      </c>
      <c r="J15" s="40">
        <f t="shared" si="0"/>
        <v>8000</v>
      </c>
      <c r="K15" s="40">
        <f t="shared" si="1"/>
        <v>0</v>
      </c>
      <c r="L15" s="41">
        <f t="shared" si="2"/>
        <v>8000</v>
      </c>
      <c r="M15" s="95">
        <f t="shared" si="3"/>
        <v>8000</v>
      </c>
      <c r="N15" s="58"/>
    </row>
    <row r="16" spans="1:21" ht="15.75" x14ac:dyDescent="0.25">
      <c r="B16" s="55">
        <f>IF(G16&lt;&gt;"",COUNTA($G$12:G16),"")</f>
        <v>5</v>
      </c>
      <c r="C16" s="55"/>
      <c r="D16" s="55"/>
      <c r="E16" s="42" t="s">
        <v>9</v>
      </c>
      <c r="F16" s="39">
        <v>1</v>
      </c>
      <c r="G16" s="55" t="s">
        <v>1</v>
      </c>
      <c r="H16" s="45">
        <v>5000</v>
      </c>
      <c r="I16" s="40">
        <v>0</v>
      </c>
      <c r="J16" s="40">
        <f t="shared" si="0"/>
        <v>5000</v>
      </c>
      <c r="K16" s="40">
        <f t="shared" si="1"/>
        <v>0</v>
      </c>
      <c r="L16" s="41">
        <f t="shared" si="2"/>
        <v>5000</v>
      </c>
      <c r="M16" s="95">
        <f t="shared" si="3"/>
        <v>5000</v>
      </c>
      <c r="N16" s="58"/>
    </row>
    <row r="17" spans="2:14" ht="15.75" x14ac:dyDescent="0.25">
      <c r="B17" s="55">
        <f>IF(G17&lt;&gt;"",COUNTA($G$12:G17),"")</f>
        <v>6</v>
      </c>
      <c r="C17" s="55"/>
      <c r="D17" s="55"/>
      <c r="E17" s="44" t="s">
        <v>5</v>
      </c>
      <c r="F17" s="39">
        <v>1</v>
      </c>
      <c r="G17" s="55" t="s">
        <v>1</v>
      </c>
      <c r="H17" s="45">
        <v>6000</v>
      </c>
      <c r="I17" s="40">
        <v>0</v>
      </c>
      <c r="J17" s="40">
        <f t="shared" si="0"/>
        <v>6000</v>
      </c>
      <c r="K17" s="40">
        <f t="shared" si="1"/>
        <v>0</v>
      </c>
      <c r="L17" s="41">
        <f t="shared" si="2"/>
        <v>6000</v>
      </c>
      <c r="M17" s="95">
        <f t="shared" si="3"/>
        <v>6000</v>
      </c>
      <c r="N17" s="58"/>
    </row>
    <row r="18" spans="2:14" ht="15.75" x14ac:dyDescent="0.25">
      <c r="B18" s="55">
        <f>IF(G18&lt;&gt;"",COUNTA($G$12:G18),"")</f>
        <v>7</v>
      </c>
      <c r="C18" s="55"/>
      <c r="D18" s="55"/>
      <c r="E18" s="42" t="s">
        <v>10</v>
      </c>
      <c r="F18" s="39">
        <v>1</v>
      </c>
      <c r="G18" s="55" t="s">
        <v>1</v>
      </c>
      <c r="H18" s="45">
        <v>15000</v>
      </c>
      <c r="I18" s="40">
        <v>0</v>
      </c>
      <c r="J18" s="40">
        <f t="shared" si="0"/>
        <v>15000</v>
      </c>
      <c r="K18" s="40">
        <f t="shared" si="1"/>
        <v>0</v>
      </c>
      <c r="L18" s="41">
        <f t="shared" si="2"/>
        <v>15000</v>
      </c>
      <c r="M18" s="95">
        <f t="shared" si="3"/>
        <v>15000</v>
      </c>
      <c r="N18" s="58"/>
    </row>
    <row r="19" spans="2:14" ht="15.75" x14ac:dyDescent="0.25">
      <c r="B19" s="55" t="str">
        <f>IF(G19&lt;&gt;"",COUNTA($G$12:G19),"")</f>
        <v/>
      </c>
      <c r="C19" s="55"/>
      <c r="D19" s="46"/>
      <c r="E19" s="47" t="s">
        <v>2</v>
      </c>
      <c r="F19" s="39"/>
      <c r="G19" s="55"/>
      <c r="H19" s="45"/>
      <c r="I19" s="40"/>
      <c r="J19" s="40">
        <f>SUM(J12:J18)</f>
        <v>60000</v>
      </c>
      <c r="K19" s="40">
        <f>SUM(K12:K18)</f>
        <v>0</v>
      </c>
      <c r="L19" s="41"/>
      <c r="M19" s="41">
        <f>SUM(M12:M18)</f>
        <v>60000</v>
      </c>
      <c r="N19" s="58"/>
    </row>
    <row r="20" spans="2:14" ht="15.75" x14ac:dyDescent="0.25">
      <c r="B20" s="55"/>
      <c r="C20" s="55"/>
      <c r="D20" s="46"/>
      <c r="E20" s="47"/>
      <c r="F20" s="39"/>
      <c r="G20" s="55"/>
      <c r="H20" s="45"/>
      <c r="I20" s="40"/>
      <c r="J20" s="40"/>
      <c r="K20" s="40"/>
      <c r="L20" s="41"/>
      <c r="M20" s="41"/>
      <c r="N20" s="58"/>
    </row>
    <row r="21" spans="2:14" ht="15" x14ac:dyDescent="0.25">
      <c r="B21" s="55" t="str">
        <f>IF(G21&lt;&gt;"",COUNTA($G$12:G21),"")</f>
        <v/>
      </c>
      <c r="C21" s="55"/>
      <c r="D21" s="55"/>
      <c r="E21" s="38" t="s">
        <v>121</v>
      </c>
      <c r="F21" s="39"/>
      <c r="G21" s="39"/>
      <c r="H21" s="41"/>
      <c r="I21" s="41"/>
      <c r="J21" s="41"/>
      <c r="K21" s="40"/>
      <c r="L21" s="41"/>
      <c r="M21" s="41"/>
      <c r="N21" s="58"/>
    </row>
    <row r="22" spans="2:14" ht="15.75" x14ac:dyDescent="0.25">
      <c r="B22" s="55">
        <f>IF(G22&lt;&gt;"",COUNTA($G$12:G22),"")</f>
        <v>8</v>
      </c>
      <c r="C22" s="84"/>
      <c r="D22" s="55"/>
      <c r="E22" s="60" t="s">
        <v>117</v>
      </c>
      <c r="F22" s="67">
        <v>8.8000000000000007</v>
      </c>
      <c r="G22" s="55" t="s">
        <v>118</v>
      </c>
      <c r="H22" s="45">
        <v>10</v>
      </c>
      <c r="I22" s="40">
        <v>0</v>
      </c>
      <c r="J22" s="40">
        <f t="shared" ref="J22" si="4">H22*F22</f>
        <v>88</v>
      </c>
      <c r="K22" s="40">
        <f t="shared" ref="K22" si="5">I22*F22</f>
        <v>0</v>
      </c>
      <c r="L22" s="41">
        <f t="shared" ref="L22" si="6">I22+H22</f>
        <v>10</v>
      </c>
      <c r="M22" s="41">
        <f>L22*F22</f>
        <v>88</v>
      </c>
      <c r="N22" s="58"/>
    </row>
    <row r="23" spans="2:14" ht="15.75" x14ac:dyDescent="0.25">
      <c r="B23" s="76">
        <f>IF(G23&lt;&gt;"",COUNTA($G$12:G23),"")</f>
        <v>9</v>
      </c>
      <c r="C23" s="84"/>
      <c r="D23" s="55"/>
      <c r="E23" s="60" t="s">
        <v>119</v>
      </c>
      <c r="F23" s="71">
        <f>8.8/27</f>
        <v>0.32592592592592595</v>
      </c>
      <c r="G23" s="55" t="s">
        <v>120</v>
      </c>
      <c r="H23" s="45">
        <v>150</v>
      </c>
      <c r="I23" s="40">
        <v>350</v>
      </c>
      <c r="J23" s="40">
        <f t="shared" ref="J23" si="7">H23*F23</f>
        <v>48.888888888888893</v>
      </c>
      <c r="K23" s="40">
        <f t="shared" ref="K23" si="8">I23*F23</f>
        <v>114.07407407407408</v>
      </c>
      <c r="L23" s="41">
        <f t="shared" ref="L23" si="9">I23+H23</f>
        <v>500</v>
      </c>
      <c r="M23" s="41">
        <f t="shared" ref="M23:M105" si="10">L23*F23</f>
        <v>162.96296296296299</v>
      </c>
      <c r="N23" s="58"/>
    </row>
    <row r="24" spans="2:14" ht="31.5" x14ac:dyDescent="0.25">
      <c r="B24" s="76">
        <f>IF(G24&lt;&gt;"",COUNTA($G$12:G24),"")</f>
        <v>10</v>
      </c>
      <c r="C24" s="84"/>
      <c r="D24" s="55"/>
      <c r="E24" s="60" t="s">
        <v>146</v>
      </c>
      <c r="F24" s="67">
        <v>44</v>
      </c>
      <c r="G24" s="55" t="s">
        <v>52</v>
      </c>
      <c r="H24" s="45">
        <f>0.5+6.66</f>
        <v>7.16</v>
      </c>
      <c r="I24" s="40">
        <f>13.9+126.5</f>
        <v>140.4</v>
      </c>
      <c r="J24" s="40">
        <f t="shared" ref="J24" si="11">H24*F24</f>
        <v>315.04000000000002</v>
      </c>
      <c r="K24" s="40">
        <f t="shared" ref="K24" si="12">I24*F24</f>
        <v>6177.6</v>
      </c>
      <c r="L24" s="41">
        <f t="shared" ref="L24" si="13">I24+H24</f>
        <v>147.56</v>
      </c>
      <c r="M24" s="41">
        <f t="shared" si="10"/>
        <v>6492.64</v>
      </c>
      <c r="N24" s="58"/>
    </row>
    <row r="25" spans="2:14" ht="15.75" x14ac:dyDescent="0.25">
      <c r="B25" s="76">
        <f>IF(G25&lt;&gt;"",COUNTA($G$12:G25),"")</f>
        <v>11</v>
      </c>
      <c r="C25" s="84"/>
      <c r="D25" s="76"/>
      <c r="E25" s="60" t="s">
        <v>202</v>
      </c>
      <c r="F25" s="67">
        <v>4</v>
      </c>
      <c r="G25" s="76" t="s">
        <v>45</v>
      </c>
      <c r="H25" s="45">
        <v>80</v>
      </c>
      <c r="I25" s="40">
        <v>120</v>
      </c>
      <c r="J25" s="40">
        <f t="shared" ref="J25:J26" si="14">H25*F25</f>
        <v>320</v>
      </c>
      <c r="K25" s="40">
        <f t="shared" ref="K25:K26" si="15">I25*F25</f>
        <v>480</v>
      </c>
      <c r="L25" s="41">
        <f t="shared" ref="L25:L27" si="16">I25+H25</f>
        <v>200</v>
      </c>
      <c r="M25" s="41">
        <f t="shared" ref="M25:M26" si="17">L25*F25</f>
        <v>800</v>
      </c>
      <c r="N25" s="58"/>
    </row>
    <row r="26" spans="2:14" ht="15.75" x14ac:dyDescent="0.25">
      <c r="B26" s="76">
        <f>IF(G26&lt;&gt;"",COUNTA($G$12:G26),"")</f>
        <v>12</v>
      </c>
      <c r="C26" s="84"/>
      <c r="D26" s="76"/>
      <c r="E26" s="60" t="s">
        <v>203</v>
      </c>
      <c r="F26" s="67">
        <v>60</v>
      </c>
      <c r="G26" s="76" t="s">
        <v>52</v>
      </c>
      <c r="H26" s="45">
        <v>4</v>
      </c>
      <c r="I26" s="40">
        <v>12</v>
      </c>
      <c r="J26" s="40">
        <f t="shared" si="14"/>
        <v>240</v>
      </c>
      <c r="K26" s="40">
        <f t="shared" si="15"/>
        <v>720</v>
      </c>
      <c r="L26" s="41">
        <f t="shared" si="16"/>
        <v>16</v>
      </c>
      <c r="M26" s="41">
        <f t="shared" si="17"/>
        <v>960</v>
      </c>
      <c r="N26" s="58"/>
    </row>
    <row r="27" spans="2:14" ht="15.75" x14ac:dyDescent="0.25">
      <c r="B27" s="76">
        <f>IF(G27&lt;&gt;"",COUNTA($G$12:G27),"")</f>
        <v>13</v>
      </c>
      <c r="C27" s="84"/>
      <c r="D27" s="76"/>
      <c r="E27" s="60" t="s">
        <v>204</v>
      </c>
      <c r="F27" s="68">
        <f>60/27</f>
        <v>2.2222222222222223</v>
      </c>
      <c r="G27" s="76" t="s">
        <v>66</v>
      </c>
      <c r="H27" s="45">
        <v>50</v>
      </c>
      <c r="I27" s="40">
        <v>30</v>
      </c>
      <c r="J27" s="40"/>
      <c r="K27" s="40"/>
      <c r="L27" s="41">
        <f t="shared" si="16"/>
        <v>80</v>
      </c>
      <c r="M27" s="41"/>
      <c r="N27" s="58"/>
    </row>
    <row r="28" spans="2:14" ht="15.75" x14ac:dyDescent="0.25">
      <c r="B28" s="76">
        <f>IF(G28&lt;&gt;"",COUNTA($G$12:G28),"")</f>
        <v>14</v>
      </c>
      <c r="C28" s="84"/>
      <c r="D28" s="55"/>
      <c r="E28" s="60" t="s">
        <v>141</v>
      </c>
      <c r="F28" s="67">
        <v>2</v>
      </c>
      <c r="G28" s="55" t="s">
        <v>45</v>
      </c>
      <c r="H28" s="45">
        <v>50</v>
      </c>
      <c r="I28" s="40">
        <v>0</v>
      </c>
      <c r="J28" s="40">
        <f t="shared" ref="J28:J35" si="18">H28*F28</f>
        <v>100</v>
      </c>
      <c r="K28" s="40">
        <f t="shared" ref="K28:K29" si="19">I28*F28</f>
        <v>0</v>
      </c>
      <c r="L28" s="41">
        <f t="shared" ref="L28:L29" si="20">I28+H28</f>
        <v>50</v>
      </c>
      <c r="M28" s="41">
        <f t="shared" ref="M28:M29" si="21">L28*F28</f>
        <v>100</v>
      </c>
      <c r="N28" s="58"/>
    </row>
    <row r="29" spans="2:14" ht="15.75" x14ac:dyDescent="0.25">
      <c r="B29" s="76">
        <f>IF(G29&lt;&gt;"",COUNTA($G$12:G29),"")</f>
        <v>15</v>
      </c>
      <c r="C29" s="84"/>
      <c r="D29" s="55"/>
      <c r="E29" s="60" t="s">
        <v>142</v>
      </c>
      <c r="F29" s="67">
        <v>9.43</v>
      </c>
      <c r="G29" s="55" t="s">
        <v>52</v>
      </c>
      <c r="H29" s="45">
        <v>8</v>
      </c>
      <c r="I29" s="40">
        <v>0</v>
      </c>
      <c r="J29" s="40">
        <f t="shared" si="18"/>
        <v>75.44</v>
      </c>
      <c r="K29" s="40">
        <f t="shared" si="19"/>
        <v>0</v>
      </c>
      <c r="L29" s="41">
        <f t="shared" si="20"/>
        <v>8</v>
      </c>
      <c r="M29" s="41">
        <f t="shared" si="21"/>
        <v>75.44</v>
      </c>
      <c r="N29" s="58"/>
    </row>
    <row r="30" spans="2:14" ht="15.75" x14ac:dyDescent="0.25">
      <c r="B30" s="76">
        <f>IF(G30&lt;&gt;"",COUNTA($G$12:G30),"")</f>
        <v>16</v>
      </c>
      <c r="C30" s="84"/>
      <c r="D30" s="55"/>
      <c r="E30" s="60" t="s">
        <v>143</v>
      </c>
      <c r="F30" s="67">
        <v>636.08000000000004</v>
      </c>
      <c r="G30" s="55" t="s">
        <v>53</v>
      </c>
      <c r="H30" s="45">
        <v>5</v>
      </c>
      <c r="I30" s="40">
        <v>0</v>
      </c>
      <c r="J30" s="40">
        <f t="shared" si="18"/>
        <v>3180.4</v>
      </c>
      <c r="K30" s="40">
        <f t="shared" ref="K30" si="22">I30*F30</f>
        <v>0</v>
      </c>
      <c r="L30" s="41">
        <f t="shared" ref="L30" si="23">I30+H30</f>
        <v>5</v>
      </c>
      <c r="M30" s="41">
        <f t="shared" ref="M30" si="24">L30*F30</f>
        <v>3180.4</v>
      </c>
      <c r="N30" s="58"/>
    </row>
    <row r="31" spans="2:14" ht="15.75" x14ac:dyDescent="0.25">
      <c r="B31" s="76">
        <f>IF(G31&lt;&gt;"",COUNTA($G$12:G31),"")</f>
        <v>17</v>
      </c>
      <c r="C31" s="84"/>
      <c r="D31" s="55"/>
      <c r="E31" s="60" t="s">
        <v>144</v>
      </c>
      <c r="F31" s="67">
        <v>353.84</v>
      </c>
      <c r="G31" s="55" t="s">
        <v>53</v>
      </c>
      <c r="H31" s="45">
        <v>8</v>
      </c>
      <c r="I31" s="40">
        <v>0</v>
      </c>
      <c r="J31" s="40">
        <f t="shared" si="18"/>
        <v>2830.72</v>
      </c>
      <c r="K31" s="40">
        <f t="shared" ref="K31:K35" si="25">I31*F31</f>
        <v>0</v>
      </c>
      <c r="L31" s="41">
        <f t="shared" ref="L31:L35" si="26">I31+H31</f>
        <v>8</v>
      </c>
      <c r="M31" s="41">
        <f t="shared" ref="M31:M35" si="27">L31*F31</f>
        <v>2830.72</v>
      </c>
      <c r="N31" s="58"/>
    </row>
    <row r="32" spans="2:14" ht="15.75" x14ac:dyDescent="0.25">
      <c r="B32" s="76">
        <f>IF(G32&lt;&gt;"",COUNTA($G$12:G32),"")</f>
        <v>18</v>
      </c>
      <c r="C32" s="84"/>
      <c r="D32" s="55"/>
      <c r="E32" s="60" t="s">
        <v>145</v>
      </c>
      <c r="F32" s="67">
        <v>403.84</v>
      </c>
      <c r="G32" s="55" t="s">
        <v>53</v>
      </c>
      <c r="H32" s="45">
        <v>5</v>
      </c>
      <c r="I32" s="40">
        <v>9</v>
      </c>
      <c r="J32" s="40">
        <f t="shared" si="18"/>
        <v>2019.1999999999998</v>
      </c>
      <c r="K32" s="40">
        <f t="shared" si="25"/>
        <v>3634.56</v>
      </c>
      <c r="L32" s="41">
        <f t="shared" si="26"/>
        <v>14</v>
      </c>
      <c r="M32" s="41">
        <f t="shared" si="27"/>
        <v>5653.7599999999993</v>
      </c>
      <c r="N32" s="58"/>
    </row>
    <row r="33" spans="2:14" ht="47.25" x14ac:dyDescent="0.25">
      <c r="B33" s="76">
        <f>IF(G33&lt;&gt;"",COUNTA($G$12:G33),"")</f>
        <v>19</v>
      </c>
      <c r="C33" s="84"/>
      <c r="D33" s="55"/>
      <c r="E33" s="60" t="s">
        <v>185</v>
      </c>
      <c r="F33" s="67">
        <v>4572.1000000000004</v>
      </c>
      <c r="G33" s="55" t="s">
        <v>53</v>
      </c>
      <c r="H33" s="45">
        <v>1</v>
      </c>
      <c r="I33" s="40">
        <v>3</v>
      </c>
      <c r="J33" s="40">
        <f t="shared" si="18"/>
        <v>4572.1000000000004</v>
      </c>
      <c r="K33" s="40">
        <f t="shared" si="25"/>
        <v>13716.300000000001</v>
      </c>
      <c r="L33" s="41">
        <f t="shared" si="26"/>
        <v>4</v>
      </c>
      <c r="M33" s="41">
        <f t="shared" si="27"/>
        <v>18288.400000000001</v>
      </c>
      <c r="N33" s="58"/>
    </row>
    <row r="34" spans="2:14" ht="15.75" x14ac:dyDescent="0.25">
      <c r="B34" s="76">
        <f>IF(G34&lt;&gt;"",COUNTA($G$12:G34),"")</f>
        <v>20</v>
      </c>
      <c r="C34" s="84"/>
      <c r="D34" s="76"/>
      <c r="E34" s="60" t="s">
        <v>187</v>
      </c>
      <c r="F34" s="68">
        <f>4976*0.33/27</f>
        <v>60.817777777777785</v>
      </c>
      <c r="G34" s="76" t="s">
        <v>66</v>
      </c>
      <c r="H34" s="45">
        <v>50</v>
      </c>
      <c r="I34" s="40">
        <v>30</v>
      </c>
      <c r="J34" s="40">
        <f t="shared" ref="J34" si="28">H34*F34</f>
        <v>3040.8888888888891</v>
      </c>
      <c r="K34" s="40">
        <f t="shared" ref="K34" si="29">I34*F34</f>
        <v>1824.5333333333335</v>
      </c>
      <c r="L34" s="41">
        <f t="shared" ref="L34" si="30">I34+H34</f>
        <v>80</v>
      </c>
      <c r="M34" s="41">
        <f t="shared" ref="M34" si="31">L34*F34</f>
        <v>4865.4222222222224</v>
      </c>
      <c r="N34" s="58"/>
    </row>
    <row r="35" spans="2:14" ht="15.75" x14ac:dyDescent="0.25">
      <c r="B35" s="76">
        <f>IF(G35&lt;&gt;"",COUNTA($G$12:G35),"")</f>
        <v>21</v>
      </c>
      <c r="C35" s="84"/>
      <c r="D35" s="55"/>
      <c r="E35" s="60" t="s">
        <v>158</v>
      </c>
      <c r="F35" s="67">
        <v>114.34</v>
      </c>
      <c r="G35" s="55" t="s">
        <v>52</v>
      </c>
      <c r="H35" s="45">
        <v>3</v>
      </c>
      <c r="I35" s="40">
        <v>15</v>
      </c>
      <c r="J35" s="40">
        <f t="shared" si="18"/>
        <v>343.02</v>
      </c>
      <c r="K35" s="40">
        <f t="shared" si="25"/>
        <v>1715.1000000000001</v>
      </c>
      <c r="L35" s="41">
        <f t="shared" si="26"/>
        <v>18</v>
      </c>
      <c r="M35" s="41">
        <f t="shared" si="27"/>
        <v>2058.12</v>
      </c>
      <c r="N35" s="58"/>
    </row>
    <row r="36" spans="2:14" ht="15.75" x14ac:dyDescent="0.25">
      <c r="B36" s="76" t="str">
        <f>IF(G36&lt;&gt;"",COUNTA($G$12:G36),"")</f>
        <v/>
      </c>
      <c r="C36" s="55"/>
      <c r="D36" s="55"/>
      <c r="E36" s="47" t="s">
        <v>2</v>
      </c>
      <c r="F36" s="67"/>
      <c r="G36" s="55"/>
      <c r="H36" s="45"/>
      <c r="I36" s="40"/>
      <c r="J36" s="40">
        <f>SUM(J22:J35)</f>
        <v>17173.697777777779</v>
      </c>
      <c r="K36" s="40">
        <f>SUM(K22:K35)</f>
        <v>28382.167407407407</v>
      </c>
      <c r="L36" s="41"/>
      <c r="M36" s="40">
        <f>SUM(M22:M35)</f>
        <v>45555.86518518519</v>
      </c>
      <c r="N36" s="58"/>
    </row>
    <row r="37" spans="2:14" ht="15.75" x14ac:dyDescent="0.25">
      <c r="B37" s="76" t="str">
        <f>IF(G37&lt;&gt;"",COUNTA($G$12:G37),"")</f>
        <v/>
      </c>
      <c r="C37" s="55"/>
      <c r="D37" s="55"/>
      <c r="E37" s="47"/>
      <c r="F37" s="67"/>
      <c r="G37" s="55"/>
      <c r="H37" s="45"/>
      <c r="I37" s="40"/>
      <c r="J37" s="40"/>
      <c r="K37" s="40"/>
      <c r="L37" s="41"/>
      <c r="M37" s="40"/>
      <c r="N37" s="58"/>
    </row>
    <row r="38" spans="2:14" ht="15.75" x14ac:dyDescent="0.25">
      <c r="B38" s="76" t="str">
        <f>IF(G38&lt;&gt;"",COUNTA($G$12:G38),"")</f>
        <v/>
      </c>
      <c r="C38" s="55"/>
      <c r="D38" s="55"/>
      <c r="E38" s="38" t="s">
        <v>36</v>
      </c>
      <c r="F38" s="67"/>
      <c r="G38" s="55"/>
      <c r="H38" s="45"/>
      <c r="I38" s="40"/>
      <c r="J38" s="40"/>
      <c r="K38" s="40"/>
      <c r="L38" s="41"/>
      <c r="M38" s="41"/>
      <c r="N38" s="58"/>
    </row>
    <row r="39" spans="2:14" ht="15.75" x14ac:dyDescent="0.25">
      <c r="B39" s="76" t="str">
        <f>IF(G39&lt;&gt;"",COUNTA($G$12:G39),"")</f>
        <v/>
      </c>
      <c r="C39" s="81">
        <v>4</v>
      </c>
      <c r="D39" s="55"/>
      <c r="E39" s="61" t="s">
        <v>39</v>
      </c>
      <c r="F39" s="67"/>
      <c r="G39" s="55"/>
      <c r="H39" s="45"/>
      <c r="I39" s="40"/>
      <c r="J39" s="40"/>
      <c r="K39" s="40"/>
      <c r="L39" s="41"/>
      <c r="M39" s="41"/>
      <c r="N39" s="58"/>
    </row>
    <row r="40" spans="2:14" ht="31.5" x14ac:dyDescent="0.25">
      <c r="B40" s="76">
        <f>IF(G40&lt;&gt;"",COUNTA($G$12:G40),"")</f>
        <v>22</v>
      </c>
      <c r="C40" s="81"/>
      <c r="D40" s="55"/>
      <c r="E40" s="60" t="s">
        <v>208</v>
      </c>
      <c r="F40" s="67">
        <v>2141</v>
      </c>
      <c r="G40" s="55" t="s">
        <v>53</v>
      </c>
      <c r="H40" s="45">
        <v>3.5</v>
      </c>
      <c r="I40" s="40">
        <v>9</v>
      </c>
      <c r="J40" s="40">
        <f t="shared" ref="J40:J51" si="32">H40*F40</f>
        <v>7493.5</v>
      </c>
      <c r="K40" s="40">
        <f t="shared" ref="K40:K51" si="33">I40*F40</f>
        <v>19269</v>
      </c>
      <c r="L40" s="41">
        <f t="shared" ref="L40:L51" si="34">I40+H40</f>
        <v>12.5</v>
      </c>
      <c r="M40" s="41">
        <f t="shared" si="10"/>
        <v>26762.5</v>
      </c>
      <c r="N40" s="58"/>
    </row>
    <row r="41" spans="2:14" ht="15.75" x14ac:dyDescent="0.25">
      <c r="B41" s="76">
        <f>IF(G41&lt;&gt;"",COUNTA($G$12:G41),"")</f>
        <v>23</v>
      </c>
      <c r="C41" s="81"/>
      <c r="D41" s="55"/>
      <c r="E41" s="60" t="s">
        <v>186</v>
      </c>
      <c r="F41" s="67">
        <v>20.32</v>
      </c>
      <c r="G41" s="55" t="s">
        <v>53</v>
      </c>
      <c r="H41" s="45">
        <v>7</v>
      </c>
      <c r="I41" s="40">
        <v>17</v>
      </c>
      <c r="J41" s="40">
        <f t="shared" ref="J41:J42" si="35">H41*F41</f>
        <v>142.24</v>
      </c>
      <c r="K41" s="40">
        <f t="shared" ref="K41:K42" si="36">I41*F41</f>
        <v>345.44</v>
      </c>
      <c r="L41" s="41">
        <f t="shared" ref="L41:L42" si="37">I41+H41</f>
        <v>24</v>
      </c>
      <c r="M41" s="41">
        <f t="shared" si="10"/>
        <v>487.68</v>
      </c>
      <c r="N41" s="58"/>
    </row>
    <row r="42" spans="2:14" ht="15.75" x14ac:dyDescent="0.25">
      <c r="B42" s="76">
        <f>IF(G42&lt;&gt;"",COUNTA($G$12:G42),"")</f>
        <v>24</v>
      </c>
      <c r="C42" s="81"/>
      <c r="D42" s="76"/>
      <c r="E42" s="60" t="s">
        <v>198</v>
      </c>
      <c r="F42" s="68">
        <f>2162*0.33/27</f>
        <v>26.424444444444447</v>
      </c>
      <c r="G42" s="76" t="s">
        <v>66</v>
      </c>
      <c r="H42" s="45">
        <v>50</v>
      </c>
      <c r="I42" s="40">
        <v>30</v>
      </c>
      <c r="J42" s="40">
        <f t="shared" si="35"/>
        <v>1321.2222222222224</v>
      </c>
      <c r="K42" s="40">
        <f t="shared" si="36"/>
        <v>792.73333333333335</v>
      </c>
      <c r="L42" s="41">
        <f t="shared" si="37"/>
        <v>80</v>
      </c>
      <c r="M42" s="41">
        <f t="shared" si="10"/>
        <v>2113.9555555555557</v>
      </c>
      <c r="N42" s="58"/>
    </row>
    <row r="43" spans="2:14" ht="15.75" x14ac:dyDescent="0.25">
      <c r="B43" s="76">
        <f>IF(G43&lt;&gt;"",COUNTA($G$12:G43),"")</f>
        <v>25</v>
      </c>
      <c r="C43" s="81"/>
      <c r="D43" s="55"/>
      <c r="E43" s="60" t="s">
        <v>147</v>
      </c>
      <c r="F43" s="67">
        <v>2161</v>
      </c>
      <c r="G43" s="55" t="s">
        <v>53</v>
      </c>
      <c r="H43" s="45">
        <v>1</v>
      </c>
      <c r="I43" s="40">
        <v>1</v>
      </c>
      <c r="J43" s="40">
        <f t="shared" ref="J43" si="38">H43*F43</f>
        <v>2161</v>
      </c>
      <c r="K43" s="40">
        <f t="shared" ref="K43" si="39">I43*F43</f>
        <v>2161</v>
      </c>
      <c r="L43" s="41">
        <f t="shared" ref="L43" si="40">I43+H43</f>
        <v>2</v>
      </c>
      <c r="M43" s="41">
        <f t="shared" ref="M43" si="41">L43*F43</f>
        <v>4322</v>
      </c>
      <c r="N43" s="58"/>
    </row>
    <row r="44" spans="2:14" ht="15.75" x14ac:dyDescent="0.25">
      <c r="B44" s="76" t="str">
        <f>IF(G44&lt;&gt;"",COUNTA($G$12:G44),"")</f>
        <v/>
      </c>
      <c r="C44" s="81"/>
      <c r="D44" s="55"/>
      <c r="E44" s="61" t="s">
        <v>37</v>
      </c>
      <c r="F44" s="67"/>
      <c r="G44" s="55"/>
      <c r="H44" s="45"/>
      <c r="I44" s="40"/>
      <c r="J44" s="40"/>
      <c r="K44" s="40"/>
      <c r="L44" s="41"/>
      <c r="M44" s="41"/>
      <c r="N44" s="58"/>
    </row>
    <row r="45" spans="2:14" ht="15.75" x14ac:dyDescent="0.25">
      <c r="B45" s="76">
        <f>IF(G45&lt;&gt;"",COUNTA($G$12:G45),"")</f>
        <v>26</v>
      </c>
      <c r="C45" s="81"/>
      <c r="D45" s="55"/>
      <c r="E45" s="60" t="s">
        <v>190</v>
      </c>
      <c r="F45" s="68">
        <f>12/27</f>
        <v>0.44444444444444442</v>
      </c>
      <c r="G45" s="55" t="s">
        <v>66</v>
      </c>
      <c r="H45" s="45">
        <v>150</v>
      </c>
      <c r="I45" s="40">
        <v>350</v>
      </c>
      <c r="J45" s="40">
        <f t="shared" si="32"/>
        <v>66.666666666666657</v>
      </c>
      <c r="K45" s="40">
        <f t="shared" si="33"/>
        <v>155.55555555555554</v>
      </c>
      <c r="L45" s="41">
        <f t="shared" si="34"/>
        <v>500</v>
      </c>
      <c r="M45" s="41">
        <f t="shared" si="10"/>
        <v>222.2222222222222</v>
      </c>
      <c r="N45" s="58"/>
    </row>
    <row r="46" spans="2:14" ht="15.75" x14ac:dyDescent="0.25">
      <c r="B46" s="76">
        <f>IF(G46&lt;&gt;"",COUNTA($G$12:G46),"")</f>
        <v>27</v>
      </c>
      <c r="C46" s="81"/>
      <c r="D46" s="55"/>
      <c r="E46" s="60" t="s">
        <v>191</v>
      </c>
      <c r="F46" s="68">
        <f>20/27</f>
        <v>0.7407407407407407</v>
      </c>
      <c r="G46" s="55" t="s">
        <v>66</v>
      </c>
      <c r="H46" s="45">
        <v>150</v>
      </c>
      <c r="I46" s="40">
        <v>350</v>
      </c>
      <c r="J46" s="40">
        <f t="shared" si="32"/>
        <v>111.1111111111111</v>
      </c>
      <c r="K46" s="40">
        <f t="shared" si="33"/>
        <v>259.25925925925924</v>
      </c>
      <c r="L46" s="41">
        <f t="shared" si="34"/>
        <v>500</v>
      </c>
      <c r="M46" s="41">
        <f t="shared" si="10"/>
        <v>370.37037037037032</v>
      </c>
      <c r="N46" s="58"/>
    </row>
    <row r="47" spans="2:14" ht="15.75" x14ac:dyDescent="0.25">
      <c r="B47" s="76">
        <f>IF(G47&lt;&gt;"",COUNTA($G$12:G47),"")</f>
        <v>28</v>
      </c>
      <c r="C47" s="81"/>
      <c r="D47" s="55"/>
      <c r="E47" s="60" t="s">
        <v>192</v>
      </c>
      <c r="F47" s="68">
        <f>32/27</f>
        <v>1.1851851851851851</v>
      </c>
      <c r="G47" s="55" t="s">
        <v>66</v>
      </c>
      <c r="H47" s="45">
        <v>150</v>
      </c>
      <c r="I47" s="40">
        <v>350</v>
      </c>
      <c r="J47" s="40">
        <f t="shared" ref="J47" si="42">H47*F47</f>
        <v>177.77777777777777</v>
      </c>
      <c r="K47" s="40">
        <f t="shared" ref="K47" si="43">I47*F47</f>
        <v>414.81481481481478</v>
      </c>
      <c r="L47" s="41">
        <f t="shared" ref="L47" si="44">I47+H47</f>
        <v>500</v>
      </c>
      <c r="M47" s="41">
        <f t="shared" si="10"/>
        <v>592.59259259259261</v>
      </c>
      <c r="N47" s="58"/>
    </row>
    <row r="48" spans="2:14" ht="15.75" x14ac:dyDescent="0.25">
      <c r="B48" s="76" t="str">
        <f>IF(G48&lt;&gt;"",COUNTA($G$12:G48),"")</f>
        <v/>
      </c>
      <c r="C48" s="81"/>
      <c r="D48" s="55"/>
      <c r="E48" s="61" t="s">
        <v>38</v>
      </c>
      <c r="F48" s="67"/>
      <c r="G48" s="55"/>
      <c r="H48" s="45"/>
      <c r="I48" s="40"/>
      <c r="J48" s="40"/>
      <c r="K48" s="40"/>
      <c r="L48" s="41"/>
      <c r="M48" s="41"/>
      <c r="N48" s="58"/>
    </row>
    <row r="49" spans="2:14" ht="15.75" x14ac:dyDescent="0.25">
      <c r="B49" s="76">
        <f>IF(G49&lt;&gt;"",COUNTA($G$12:G49),"")</f>
        <v>29</v>
      </c>
      <c r="C49" s="81"/>
      <c r="D49" s="55"/>
      <c r="E49" s="60" t="s">
        <v>193</v>
      </c>
      <c r="F49" s="68">
        <f>613/27</f>
        <v>22.703703703703702</v>
      </c>
      <c r="G49" s="55" t="s">
        <v>66</v>
      </c>
      <c r="H49" s="45">
        <v>150</v>
      </c>
      <c r="I49" s="40">
        <v>350</v>
      </c>
      <c r="J49" s="40">
        <f t="shared" si="32"/>
        <v>3405.5555555555552</v>
      </c>
      <c r="K49" s="40">
        <f t="shared" si="33"/>
        <v>7946.2962962962956</v>
      </c>
      <c r="L49" s="41">
        <f t="shared" si="34"/>
        <v>500</v>
      </c>
      <c r="M49" s="41">
        <f t="shared" si="10"/>
        <v>11351.85185185185</v>
      </c>
      <c r="N49" s="58"/>
    </row>
    <row r="50" spans="2:14" ht="15.75" x14ac:dyDescent="0.25">
      <c r="B50" s="76">
        <f>IF(G50&lt;&gt;"",COUNTA($G$12:G50),"")</f>
        <v>30</v>
      </c>
      <c r="C50" s="81"/>
      <c r="D50" s="55"/>
      <c r="E50" s="60" t="s">
        <v>194</v>
      </c>
      <c r="F50" s="68">
        <f>72/27</f>
        <v>2.6666666666666665</v>
      </c>
      <c r="G50" s="55" t="s">
        <v>66</v>
      </c>
      <c r="H50" s="45">
        <v>150</v>
      </c>
      <c r="I50" s="40">
        <v>350</v>
      </c>
      <c r="J50" s="40">
        <f t="shared" si="32"/>
        <v>400</v>
      </c>
      <c r="K50" s="40">
        <f t="shared" si="33"/>
        <v>933.33333333333326</v>
      </c>
      <c r="L50" s="41">
        <f t="shared" si="34"/>
        <v>500</v>
      </c>
      <c r="M50" s="41">
        <f t="shared" si="10"/>
        <v>1333.3333333333333</v>
      </c>
      <c r="N50" s="58"/>
    </row>
    <row r="51" spans="2:14" ht="15.75" x14ac:dyDescent="0.25">
      <c r="B51" s="76">
        <f>IF(G51&lt;&gt;"",COUNTA($G$12:G51),"")</f>
        <v>31</v>
      </c>
      <c r="C51" s="81"/>
      <c r="D51" s="76"/>
      <c r="E51" s="60" t="s">
        <v>213</v>
      </c>
      <c r="F51" s="68">
        <f>315*0.167*2/27</f>
        <v>3.8966666666666669</v>
      </c>
      <c r="G51" s="76" t="s">
        <v>66</v>
      </c>
      <c r="H51" s="45">
        <v>50</v>
      </c>
      <c r="I51" s="40">
        <v>30</v>
      </c>
      <c r="J51" s="40">
        <f t="shared" si="32"/>
        <v>194.83333333333334</v>
      </c>
      <c r="K51" s="40">
        <f t="shared" si="33"/>
        <v>116.9</v>
      </c>
      <c r="L51" s="41">
        <f t="shared" si="34"/>
        <v>80</v>
      </c>
      <c r="M51" s="41">
        <f t="shared" ref="M51" si="45">L51*F51</f>
        <v>311.73333333333335</v>
      </c>
      <c r="N51" s="58"/>
    </row>
    <row r="52" spans="2:14" ht="15.75" x14ac:dyDescent="0.25">
      <c r="B52" s="76" t="str">
        <f>IF(G52&lt;&gt;"",COUNTA($G$12:G52),"")</f>
        <v/>
      </c>
      <c r="C52" s="81"/>
      <c r="D52" s="55"/>
      <c r="E52" s="61" t="s">
        <v>64</v>
      </c>
      <c r="F52" s="67"/>
      <c r="G52" s="60"/>
      <c r="H52" s="45"/>
      <c r="I52" s="40"/>
      <c r="J52" s="40"/>
      <c r="K52" s="40"/>
      <c r="L52" s="41"/>
      <c r="M52" s="41"/>
      <c r="N52" s="58"/>
    </row>
    <row r="53" spans="2:14" ht="31.5" x14ac:dyDescent="0.25">
      <c r="B53" s="76">
        <f>IF(G53&lt;&gt;"",COUNTA($G$12:G53),"")</f>
        <v>32</v>
      </c>
      <c r="C53" s="81"/>
      <c r="D53" s="55"/>
      <c r="E53" s="60" t="s">
        <v>195</v>
      </c>
      <c r="F53" s="68">
        <f>422/27</f>
        <v>15.62962962962963</v>
      </c>
      <c r="G53" s="55" t="s">
        <v>66</v>
      </c>
      <c r="H53" s="45">
        <v>150</v>
      </c>
      <c r="I53" s="40">
        <v>350</v>
      </c>
      <c r="J53" s="40">
        <f t="shared" ref="J53" si="46">H53*F53</f>
        <v>2344.4444444444443</v>
      </c>
      <c r="K53" s="40">
        <f t="shared" ref="K53" si="47">I53*F53</f>
        <v>5470.3703703703704</v>
      </c>
      <c r="L53" s="41">
        <f t="shared" ref="L53" si="48">I53+H53</f>
        <v>500</v>
      </c>
      <c r="M53" s="41">
        <f t="shared" si="10"/>
        <v>7814.8148148148148</v>
      </c>
      <c r="N53" s="58"/>
    </row>
    <row r="54" spans="2:14" ht="15.75" x14ac:dyDescent="0.25">
      <c r="B54" s="76">
        <f>IF(G54&lt;&gt;"",COUNTA($G$12:G54),"")</f>
        <v>33</v>
      </c>
      <c r="C54" s="76"/>
      <c r="D54" s="76"/>
      <c r="E54" s="60" t="s">
        <v>196</v>
      </c>
      <c r="F54" s="68">
        <f>315/2.67</f>
        <v>117.97752808988764</v>
      </c>
      <c r="G54" s="76" t="s">
        <v>45</v>
      </c>
      <c r="H54" s="45">
        <v>0.5</v>
      </c>
      <c r="I54" s="45">
        <v>0.5</v>
      </c>
      <c r="J54" s="40">
        <f t="shared" ref="J54" si="49">H54*F54</f>
        <v>58.988764044943821</v>
      </c>
      <c r="K54" s="40">
        <f t="shared" ref="K54" si="50">I54*F54</f>
        <v>58.988764044943821</v>
      </c>
      <c r="L54" s="41">
        <f t="shared" ref="L54" si="51">I54+H54</f>
        <v>1</v>
      </c>
      <c r="M54" s="41">
        <f t="shared" ref="M54" si="52">L54*F54</f>
        <v>117.97752808988764</v>
      </c>
      <c r="N54" s="58"/>
    </row>
    <row r="55" spans="2:14" ht="15.75" x14ac:dyDescent="0.25">
      <c r="B55" s="76" t="str">
        <f>IF(G55&lt;&gt;"",COUNTA($G$12:G55),"")</f>
        <v/>
      </c>
      <c r="C55" s="55"/>
      <c r="D55" s="55"/>
      <c r="E55" s="47" t="s">
        <v>2</v>
      </c>
      <c r="F55" s="67"/>
      <c r="G55" s="39"/>
      <c r="H55" s="45"/>
      <c r="I55" s="40"/>
      <c r="J55" s="40">
        <f>SUM(J40:J54)</f>
        <v>17877.339875156056</v>
      </c>
      <c r="K55" s="40">
        <f>SUM(K40:K54)</f>
        <v>37923.691727007907</v>
      </c>
      <c r="L55" s="41"/>
      <c r="M55" s="40">
        <f>SUM(M40:M54)</f>
        <v>55801.031602163959</v>
      </c>
      <c r="N55" s="58"/>
    </row>
    <row r="56" spans="2:14" ht="15.75" x14ac:dyDescent="0.25">
      <c r="B56" s="76" t="str">
        <f>IF(G56&lt;&gt;"",COUNTA($G$12:G56),"")</f>
        <v/>
      </c>
      <c r="C56" s="55"/>
      <c r="D56" s="55"/>
      <c r="E56" s="47"/>
      <c r="F56" s="67"/>
      <c r="G56" s="39"/>
      <c r="H56" s="45"/>
      <c r="I56" s="40"/>
      <c r="J56" s="40"/>
      <c r="K56" s="40"/>
      <c r="L56" s="41"/>
      <c r="M56" s="41"/>
      <c r="N56" s="58"/>
    </row>
    <row r="57" spans="2:14" ht="15.75" x14ac:dyDescent="0.25">
      <c r="B57" s="76" t="str">
        <f>IF(G57&lt;&gt;"",COUNTA($G$12:G57),"")</f>
        <v/>
      </c>
      <c r="C57" s="55"/>
      <c r="D57" s="55"/>
      <c r="E57" s="38" t="s">
        <v>109</v>
      </c>
      <c r="F57" s="67"/>
      <c r="G57" s="39"/>
      <c r="H57" s="41"/>
      <c r="I57" s="41"/>
      <c r="J57" s="41"/>
      <c r="K57" s="40"/>
      <c r="L57" s="41"/>
      <c r="M57" s="41"/>
      <c r="N57" s="58"/>
    </row>
    <row r="58" spans="2:14" ht="15.75" x14ac:dyDescent="0.25">
      <c r="B58" s="76">
        <f>IF(G58&lt;&gt;"",COUNTA($G$12:G58),"")</f>
        <v>34</v>
      </c>
      <c r="C58" s="81">
        <v>4</v>
      </c>
      <c r="D58" s="55"/>
      <c r="E58" s="60" t="s">
        <v>110</v>
      </c>
      <c r="F58" s="67">
        <f>190+47</f>
        <v>237</v>
      </c>
      <c r="G58" s="55" t="s">
        <v>53</v>
      </c>
      <c r="H58" s="45">
        <v>5.81</v>
      </c>
      <c r="I58" s="40">
        <v>14</v>
      </c>
      <c r="J58" s="40">
        <f t="shared" ref="J58" si="53">H58*F58</f>
        <v>1376.9699999999998</v>
      </c>
      <c r="K58" s="40">
        <f t="shared" ref="K58" si="54">I58*F58</f>
        <v>3318</v>
      </c>
      <c r="L58" s="41">
        <f t="shared" ref="L58" si="55">I58+H58</f>
        <v>19.809999999999999</v>
      </c>
      <c r="M58" s="41">
        <f t="shared" si="10"/>
        <v>4694.9699999999993</v>
      </c>
      <c r="N58" s="58"/>
    </row>
    <row r="59" spans="2:14" ht="15.75" x14ac:dyDescent="0.25">
      <c r="B59" s="76" t="str">
        <f>IF(G59&lt;&gt;"",COUNTA($G$12:G59),"")</f>
        <v/>
      </c>
      <c r="C59" s="81"/>
      <c r="D59" s="55"/>
      <c r="E59" s="47" t="s">
        <v>2</v>
      </c>
      <c r="F59" s="67"/>
      <c r="G59" s="55"/>
      <c r="H59" s="45"/>
      <c r="I59" s="40"/>
      <c r="J59" s="40">
        <f>SUM(J58)</f>
        <v>1376.9699999999998</v>
      </c>
      <c r="K59" s="40">
        <f>SUM(K58)</f>
        <v>3318</v>
      </c>
      <c r="L59" s="41"/>
      <c r="M59" s="40">
        <f>SUM(M58)</f>
        <v>4694.9699999999993</v>
      </c>
      <c r="N59" s="58"/>
    </row>
    <row r="60" spans="2:14" ht="15.75" x14ac:dyDescent="0.25">
      <c r="B60" s="76" t="str">
        <f>IF(G60&lt;&gt;"",COUNTA($G$12:G60),"")</f>
        <v/>
      </c>
      <c r="C60" s="81"/>
      <c r="D60" s="55"/>
      <c r="E60" s="47"/>
      <c r="F60" s="67"/>
      <c r="G60" s="55"/>
      <c r="H60" s="45"/>
      <c r="I60" s="40"/>
      <c r="J60" s="40"/>
      <c r="K60" s="40"/>
      <c r="L60" s="41"/>
      <c r="M60" s="40"/>
      <c r="N60" s="58"/>
    </row>
    <row r="61" spans="2:14" ht="15.75" x14ac:dyDescent="0.25">
      <c r="B61" s="76" t="str">
        <f>IF(G61&lt;&gt;"",COUNTA($G$12:G61),"")</f>
        <v/>
      </c>
      <c r="C61" s="81"/>
      <c r="D61" s="55"/>
      <c r="E61" s="38" t="s">
        <v>140</v>
      </c>
      <c r="F61" s="67"/>
      <c r="G61" s="39"/>
      <c r="H61" s="41"/>
      <c r="I61" s="41"/>
      <c r="J61" s="41"/>
      <c r="K61" s="40"/>
      <c r="L61" s="41"/>
      <c r="M61" s="41"/>
      <c r="N61" s="58"/>
    </row>
    <row r="62" spans="2:14" ht="15.75" x14ac:dyDescent="0.25">
      <c r="B62" s="76">
        <f>IF(G62&lt;&gt;"",COUNTA($G$12:G62),"")</f>
        <v>35</v>
      </c>
      <c r="C62" s="81"/>
      <c r="D62" s="55"/>
      <c r="E62" s="60" t="s">
        <v>115</v>
      </c>
      <c r="F62" s="67">
        <v>2</v>
      </c>
      <c r="G62" s="55" t="s">
        <v>45</v>
      </c>
      <c r="H62" s="45">
        <v>800</v>
      </c>
      <c r="I62" s="40">
        <v>2000</v>
      </c>
      <c r="J62" s="40">
        <f t="shared" ref="J62" si="56">H62*F62</f>
        <v>1600</v>
      </c>
      <c r="K62" s="40">
        <f t="shared" ref="K62" si="57">I62*F62</f>
        <v>4000</v>
      </c>
      <c r="L62" s="41">
        <f t="shared" ref="L62" si="58">I62+H62</f>
        <v>2800</v>
      </c>
      <c r="M62" s="43">
        <f t="shared" si="10"/>
        <v>5600</v>
      </c>
      <c r="N62" s="58"/>
    </row>
    <row r="63" spans="2:14" ht="15.75" x14ac:dyDescent="0.25">
      <c r="B63" s="76" t="str">
        <f>IF(G63&lt;&gt;"",COUNTA($G$12:G63),"")</f>
        <v/>
      </c>
      <c r="C63" s="81"/>
      <c r="D63" s="55"/>
      <c r="E63" s="61" t="s">
        <v>40</v>
      </c>
      <c r="F63" s="67"/>
      <c r="G63" s="39"/>
      <c r="H63" s="41"/>
      <c r="I63" s="41"/>
      <c r="J63" s="41"/>
      <c r="K63" s="40"/>
      <c r="L63" s="41"/>
      <c r="M63" s="41"/>
      <c r="N63" s="58"/>
    </row>
    <row r="64" spans="2:14" ht="15.75" x14ac:dyDescent="0.25">
      <c r="B64" s="76">
        <f>IF(G64&lt;&gt;"",COUNTA($G$12:G64),"")</f>
        <v>36</v>
      </c>
      <c r="C64" s="81"/>
      <c r="D64" s="55"/>
      <c r="E64" s="60" t="s">
        <v>42</v>
      </c>
      <c r="F64" s="67">
        <v>53.78</v>
      </c>
      <c r="G64" s="55" t="s">
        <v>52</v>
      </c>
      <c r="H64" s="45">
        <v>4.95</v>
      </c>
      <c r="I64" s="40">
        <v>32.17</v>
      </c>
      <c r="J64" s="40">
        <f t="shared" ref="J64" si="59">H64*F64</f>
        <v>266.21100000000001</v>
      </c>
      <c r="K64" s="40">
        <f t="shared" ref="K64" si="60">I64*F64</f>
        <v>1730.1026000000002</v>
      </c>
      <c r="L64" s="41">
        <f t="shared" ref="L64" si="61">I64+H64</f>
        <v>37.120000000000005</v>
      </c>
      <c r="M64" s="41">
        <f t="shared" si="10"/>
        <v>1996.3136000000002</v>
      </c>
      <c r="N64" s="58"/>
    </row>
    <row r="65" spans="2:14" ht="15.75" x14ac:dyDescent="0.25">
      <c r="B65" s="76">
        <f>IF(G65&lt;&gt;"",COUNTA($G$12:G65),"")</f>
        <v>37</v>
      </c>
      <c r="C65" s="81"/>
      <c r="D65" s="55"/>
      <c r="E65" s="60" t="s">
        <v>41</v>
      </c>
      <c r="F65" s="67">
        <v>26.81</v>
      </c>
      <c r="G65" s="55" t="s">
        <v>52</v>
      </c>
      <c r="H65" s="45">
        <v>3.41</v>
      </c>
      <c r="I65" s="40">
        <v>53.3</v>
      </c>
      <c r="J65" s="40">
        <f t="shared" ref="J65" si="62">H65*F65</f>
        <v>91.4221</v>
      </c>
      <c r="K65" s="40">
        <f t="shared" ref="K65" si="63">I65*F65</f>
        <v>1428.973</v>
      </c>
      <c r="L65" s="41">
        <f t="shared" ref="L65" si="64">I65+H65</f>
        <v>56.709999999999994</v>
      </c>
      <c r="M65" s="41">
        <f t="shared" si="10"/>
        <v>1520.3950999999997</v>
      </c>
      <c r="N65" s="58"/>
    </row>
    <row r="66" spans="2:14" ht="15.75" x14ac:dyDescent="0.25">
      <c r="B66" s="76">
        <f>IF(G66&lt;&gt;"",COUNTA($G$12:G66),"")</f>
        <v>38</v>
      </c>
      <c r="C66" s="81"/>
      <c r="D66" s="55"/>
      <c r="E66" s="60" t="s">
        <v>43</v>
      </c>
      <c r="F66" s="67">
        <v>82.08</v>
      </c>
      <c r="G66" s="55" t="s">
        <v>52</v>
      </c>
      <c r="H66" s="45">
        <v>3.5</v>
      </c>
      <c r="I66" s="40">
        <v>10.35</v>
      </c>
      <c r="J66" s="40">
        <f t="shared" ref="J66" si="65">H66*F66</f>
        <v>287.27999999999997</v>
      </c>
      <c r="K66" s="40">
        <f t="shared" ref="K66" si="66">I66*F66</f>
        <v>849.52799999999991</v>
      </c>
      <c r="L66" s="41">
        <f t="shared" ref="L66" si="67">I66+H66</f>
        <v>13.85</v>
      </c>
      <c r="M66" s="41">
        <f t="shared" si="10"/>
        <v>1136.808</v>
      </c>
      <c r="N66" s="58"/>
    </row>
    <row r="67" spans="2:14" ht="15.75" x14ac:dyDescent="0.25">
      <c r="B67" s="76" t="str">
        <f>IF(G67&lt;&gt;"",COUNTA($G$12:G67),"")</f>
        <v/>
      </c>
      <c r="C67" s="81"/>
      <c r="D67" s="55"/>
      <c r="E67" s="61" t="s">
        <v>47</v>
      </c>
      <c r="F67" s="67"/>
      <c r="G67" s="55"/>
      <c r="H67" s="45"/>
      <c r="I67" s="40"/>
      <c r="J67" s="40"/>
      <c r="K67" s="40"/>
      <c r="L67" s="41"/>
      <c r="M67" s="41"/>
      <c r="N67" s="58"/>
    </row>
    <row r="68" spans="2:14" ht="31.5" x14ac:dyDescent="0.25">
      <c r="B68" s="76">
        <f>IF(G68&lt;&gt;"",COUNTA($G$12:G68),"")</f>
        <v>39</v>
      </c>
      <c r="C68" s="81"/>
      <c r="D68" s="55"/>
      <c r="E68" s="60" t="s">
        <v>44</v>
      </c>
      <c r="F68" s="67">
        <f>11.6*6</f>
        <v>69.599999999999994</v>
      </c>
      <c r="G68" s="55" t="s">
        <v>45</v>
      </c>
      <c r="H68" s="45">
        <v>4</v>
      </c>
      <c r="I68" s="40">
        <v>13</v>
      </c>
      <c r="J68" s="40">
        <f t="shared" ref="J68:J71" si="68">H68*F68</f>
        <v>278.39999999999998</v>
      </c>
      <c r="K68" s="40">
        <f t="shared" ref="K68:K71" si="69">I68*F68</f>
        <v>904.8</v>
      </c>
      <c r="L68" s="41">
        <f t="shared" ref="L68:L71" si="70">I68+H68</f>
        <v>17</v>
      </c>
      <c r="M68" s="41">
        <f t="shared" si="10"/>
        <v>1183.1999999999998</v>
      </c>
      <c r="N68" s="58"/>
    </row>
    <row r="69" spans="2:14" ht="15.75" x14ac:dyDescent="0.25">
      <c r="B69" s="76">
        <f>IF(G69&lt;&gt;"",COUNTA($G$12:G69),"")</f>
        <v>40</v>
      </c>
      <c r="C69" s="81"/>
      <c r="D69" s="55"/>
      <c r="E69" s="60" t="s">
        <v>46</v>
      </c>
      <c r="F69" s="67">
        <f>11.6*3</f>
        <v>34.799999999999997</v>
      </c>
      <c r="G69" s="55" t="s">
        <v>45</v>
      </c>
      <c r="H69" s="45">
        <v>4.95</v>
      </c>
      <c r="I69" s="40">
        <v>16.079999999999998</v>
      </c>
      <c r="J69" s="40">
        <f t="shared" si="68"/>
        <v>172.26</v>
      </c>
      <c r="K69" s="40">
        <f t="shared" si="69"/>
        <v>559.58399999999995</v>
      </c>
      <c r="L69" s="41">
        <f t="shared" si="70"/>
        <v>21.029999999999998</v>
      </c>
      <c r="M69" s="41">
        <f t="shared" si="10"/>
        <v>731.84399999999982</v>
      </c>
      <c r="N69" s="58"/>
    </row>
    <row r="70" spans="2:14" ht="15.75" x14ac:dyDescent="0.25">
      <c r="B70" s="76" t="str">
        <f>IF(G70&lt;&gt;"",COUNTA($G$12:G70),"")</f>
        <v/>
      </c>
      <c r="C70" s="81"/>
      <c r="D70" s="55"/>
      <c r="E70" s="61" t="s">
        <v>48</v>
      </c>
      <c r="F70" s="67"/>
      <c r="G70" s="55"/>
      <c r="H70" s="45"/>
      <c r="I70" s="40"/>
      <c r="J70" s="40"/>
      <c r="K70" s="40"/>
      <c r="L70" s="41"/>
      <c r="M70" s="41"/>
      <c r="N70" s="58"/>
    </row>
    <row r="71" spans="2:14" ht="15.75" x14ac:dyDescent="0.25">
      <c r="B71" s="76">
        <f>IF(G71&lt;&gt;"",COUNTA($G$12:G71),"")</f>
        <v>41</v>
      </c>
      <c r="C71" s="81"/>
      <c r="D71" s="55"/>
      <c r="E71" s="60" t="s">
        <v>49</v>
      </c>
      <c r="F71" s="67">
        <v>8</v>
      </c>
      <c r="G71" s="55" t="s">
        <v>45</v>
      </c>
      <c r="H71" s="45">
        <v>20</v>
      </c>
      <c r="I71" s="40">
        <v>30</v>
      </c>
      <c r="J71" s="40">
        <f t="shared" si="68"/>
        <v>160</v>
      </c>
      <c r="K71" s="40">
        <f t="shared" si="69"/>
        <v>240</v>
      </c>
      <c r="L71" s="41">
        <f t="shared" si="70"/>
        <v>50</v>
      </c>
      <c r="M71" s="41">
        <f t="shared" si="10"/>
        <v>400</v>
      </c>
      <c r="N71" s="58"/>
    </row>
    <row r="72" spans="2:14" ht="15.75" x14ac:dyDescent="0.25">
      <c r="B72" s="76">
        <f>IF(G72&lt;&gt;"",COUNTA($G$12:G72),"")</f>
        <v>42</v>
      </c>
      <c r="C72" s="81"/>
      <c r="D72" s="55"/>
      <c r="E72" s="60" t="s">
        <v>50</v>
      </c>
      <c r="F72" s="67">
        <v>4</v>
      </c>
      <c r="G72" s="55" t="s">
        <v>45</v>
      </c>
      <c r="H72" s="45">
        <v>20</v>
      </c>
      <c r="I72" s="40">
        <v>30</v>
      </c>
      <c r="J72" s="40">
        <f t="shared" ref="J72:J74" si="71">H72*F72</f>
        <v>80</v>
      </c>
      <c r="K72" s="40">
        <f t="shared" ref="K72:K74" si="72">I72*F72</f>
        <v>120</v>
      </c>
      <c r="L72" s="41">
        <f t="shared" ref="L72:L74" si="73">I72+H72</f>
        <v>50</v>
      </c>
      <c r="M72" s="41">
        <f t="shared" si="10"/>
        <v>200</v>
      </c>
      <c r="N72" s="58"/>
    </row>
    <row r="73" spans="2:14" ht="15.75" x14ac:dyDescent="0.25">
      <c r="B73" s="76">
        <f>IF(G73&lt;&gt;"",COUNTA($G$12:G73),"")</f>
        <v>43</v>
      </c>
      <c r="C73" s="81"/>
      <c r="D73" s="55"/>
      <c r="E73" s="60" t="s">
        <v>51</v>
      </c>
      <c r="F73" s="67">
        <f>182*2</f>
        <v>364</v>
      </c>
      <c r="G73" s="55" t="s">
        <v>52</v>
      </c>
      <c r="H73" s="45">
        <v>1</v>
      </c>
      <c r="I73" s="40">
        <v>1.5</v>
      </c>
      <c r="J73" s="40">
        <f t="shared" si="71"/>
        <v>364</v>
      </c>
      <c r="K73" s="40">
        <f t="shared" si="72"/>
        <v>546</v>
      </c>
      <c r="L73" s="41">
        <f t="shared" si="73"/>
        <v>2.5</v>
      </c>
      <c r="M73" s="41">
        <f t="shared" si="10"/>
        <v>910</v>
      </c>
      <c r="N73" s="58"/>
    </row>
    <row r="74" spans="2:14" ht="15.75" x14ac:dyDescent="0.25">
      <c r="B74" s="76">
        <f>IF(G74&lt;&gt;"",COUNTA($G$12:G74),"")</f>
        <v>44</v>
      </c>
      <c r="C74" s="81"/>
      <c r="D74" s="55"/>
      <c r="E74" s="60" t="s">
        <v>54</v>
      </c>
      <c r="F74" s="67">
        <f>91*3</f>
        <v>273</v>
      </c>
      <c r="G74" s="55" t="s">
        <v>52</v>
      </c>
      <c r="H74" s="45">
        <v>1</v>
      </c>
      <c r="I74" s="40">
        <v>1.5</v>
      </c>
      <c r="J74" s="40">
        <f t="shared" si="71"/>
        <v>273</v>
      </c>
      <c r="K74" s="40">
        <f t="shared" si="72"/>
        <v>409.5</v>
      </c>
      <c r="L74" s="41">
        <f t="shared" si="73"/>
        <v>2.5</v>
      </c>
      <c r="M74" s="41">
        <f t="shared" si="10"/>
        <v>682.5</v>
      </c>
      <c r="N74" s="58"/>
    </row>
    <row r="75" spans="2:14" ht="15.75" x14ac:dyDescent="0.25">
      <c r="B75" s="76">
        <f>IF(G75&lt;&gt;"",COUNTA($G$12:G75),"")</f>
        <v>45</v>
      </c>
      <c r="C75" s="81"/>
      <c r="D75" s="55"/>
      <c r="E75" s="60" t="s">
        <v>65</v>
      </c>
      <c r="F75" s="67">
        <v>4</v>
      </c>
      <c r="G75" s="55" t="s">
        <v>45</v>
      </c>
      <c r="H75" s="45">
        <v>20</v>
      </c>
      <c r="I75" s="40">
        <v>30</v>
      </c>
      <c r="J75" s="40">
        <f t="shared" ref="J75" si="74">H75*F75</f>
        <v>80</v>
      </c>
      <c r="K75" s="40">
        <f t="shared" ref="K75" si="75">I75*F75</f>
        <v>120</v>
      </c>
      <c r="L75" s="41">
        <f t="shared" ref="L75" si="76">I75+H75</f>
        <v>50</v>
      </c>
      <c r="M75" s="41">
        <f t="shared" si="10"/>
        <v>200</v>
      </c>
      <c r="N75" s="58"/>
    </row>
    <row r="76" spans="2:14" ht="15.75" x14ac:dyDescent="0.25">
      <c r="B76" s="76" t="str">
        <f>IF(G76&lt;&gt;"",COUNTA($G$12:G76),"")</f>
        <v/>
      </c>
      <c r="C76" s="55"/>
      <c r="D76" s="55"/>
      <c r="E76" s="47" t="s">
        <v>2</v>
      </c>
      <c r="F76" s="67"/>
      <c r="G76" s="55"/>
      <c r="H76" s="45"/>
      <c r="I76" s="40"/>
      <c r="J76" s="40">
        <f>SUM(J62:J75)</f>
        <v>3652.5730999999996</v>
      </c>
      <c r="K76" s="40">
        <f>SUM(K62:K75)</f>
        <v>10908.4876</v>
      </c>
      <c r="L76" s="41"/>
      <c r="M76" s="40">
        <f>SUM(M62:M75)</f>
        <v>14561.0607</v>
      </c>
      <c r="N76" s="58"/>
    </row>
    <row r="77" spans="2:14" ht="15.75" x14ac:dyDescent="0.25">
      <c r="B77" s="76" t="str">
        <f>IF(G77&lt;&gt;"",COUNTA($G$12:G77),"")</f>
        <v/>
      </c>
      <c r="C77" s="55"/>
      <c r="D77" s="55"/>
      <c r="E77" s="47"/>
      <c r="F77" s="67"/>
      <c r="G77" s="55"/>
      <c r="H77" s="45"/>
      <c r="I77" s="40"/>
      <c r="J77" s="40"/>
      <c r="K77" s="40"/>
      <c r="L77" s="41"/>
      <c r="M77" s="40"/>
      <c r="N77" s="58"/>
    </row>
    <row r="78" spans="2:14" ht="30" x14ac:dyDescent="0.25">
      <c r="B78" s="76" t="str">
        <f>IF(G78&lt;&gt;"",COUNTA($G$12:G78),"")</f>
        <v/>
      </c>
      <c r="C78" s="55"/>
      <c r="D78" s="55"/>
      <c r="E78" s="38" t="s">
        <v>69</v>
      </c>
      <c r="F78" s="67"/>
      <c r="G78" s="55"/>
      <c r="H78" s="41"/>
      <c r="I78" s="41"/>
      <c r="J78" s="41"/>
      <c r="K78" s="40"/>
      <c r="L78" s="41"/>
      <c r="M78" s="41"/>
      <c r="N78" s="58"/>
    </row>
    <row r="79" spans="2:14" ht="15.75" x14ac:dyDescent="0.25">
      <c r="B79" s="76" t="str">
        <f>IF(G79&lt;&gt;"",COUNTA($G$12:G79),"")</f>
        <v/>
      </c>
      <c r="C79" s="55"/>
      <c r="D79" s="55"/>
      <c r="E79" s="50" t="s">
        <v>67</v>
      </c>
      <c r="F79" s="67"/>
      <c r="G79" s="55"/>
      <c r="H79" s="41"/>
      <c r="I79" s="41"/>
      <c r="J79" s="41"/>
      <c r="K79" s="40"/>
      <c r="L79" s="41"/>
      <c r="M79" s="41"/>
      <c r="N79" s="58"/>
    </row>
    <row r="80" spans="2:14" ht="15.75" x14ac:dyDescent="0.25">
      <c r="B80" s="76">
        <f>IF(G80&lt;&gt;"",COUNTA($G$12:G80),"")</f>
        <v>46</v>
      </c>
      <c r="C80" s="82">
        <v>2</v>
      </c>
      <c r="D80" s="55"/>
      <c r="E80" s="60" t="s">
        <v>55</v>
      </c>
      <c r="F80" s="67">
        <v>9.5</v>
      </c>
      <c r="G80" s="55" t="s">
        <v>52</v>
      </c>
      <c r="H80" s="45">
        <v>2</v>
      </c>
      <c r="I80" s="40">
        <v>4.7</v>
      </c>
      <c r="J80" s="40">
        <f t="shared" ref="J80:J93" si="77">H80*F80</f>
        <v>19</v>
      </c>
      <c r="K80" s="40">
        <f t="shared" ref="K80:K93" si="78">I80*F80</f>
        <v>44.65</v>
      </c>
      <c r="L80" s="41">
        <f t="shared" ref="L80:L93" si="79">I80+H80</f>
        <v>6.7</v>
      </c>
      <c r="M80" s="41">
        <f t="shared" ref="M80:M93" si="80">L80*F80</f>
        <v>63.65</v>
      </c>
      <c r="N80" s="58"/>
    </row>
    <row r="81" spans="2:14" ht="15.75" x14ac:dyDescent="0.25">
      <c r="B81" s="76">
        <f>IF(G81&lt;&gt;"",COUNTA($G$12:G81),"")</f>
        <v>47</v>
      </c>
      <c r="C81" s="84"/>
      <c r="D81" s="55"/>
      <c r="E81" s="60" t="s">
        <v>56</v>
      </c>
      <c r="F81" s="67">
        <f>2*94.43</f>
        <v>188.86</v>
      </c>
      <c r="G81" s="55" t="s">
        <v>52</v>
      </c>
      <c r="H81" s="45">
        <v>2</v>
      </c>
      <c r="I81" s="40">
        <v>4.5</v>
      </c>
      <c r="J81" s="40">
        <f t="shared" si="77"/>
        <v>377.72</v>
      </c>
      <c r="K81" s="40">
        <f t="shared" si="78"/>
        <v>849.87000000000012</v>
      </c>
      <c r="L81" s="41">
        <f t="shared" si="79"/>
        <v>6.5</v>
      </c>
      <c r="M81" s="41">
        <f t="shared" si="80"/>
        <v>1227.5900000000001</v>
      </c>
      <c r="N81" s="58"/>
    </row>
    <row r="82" spans="2:14" ht="15.75" x14ac:dyDescent="0.25">
      <c r="B82" s="76">
        <f>IF(G82&lt;&gt;"",COUNTA($G$12:G82),"")</f>
        <v>48</v>
      </c>
      <c r="C82" s="84"/>
      <c r="D82" s="55"/>
      <c r="E82" s="60" t="s">
        <v>56</v>
      </c>
      <c r="F82" s="67">
        <f>2*30.52</f>
        <v>61.04</v>
      </c>
      <c r="G82" s="55" t="s">
        <v>52</v>
      </c>
      <c r="H82" s="45">
        <v>2</v>
      </c>
      <c r="I82" s="40">
        <v>4.5</v>
      </c>
      <c r="J82" s="40">
        <f t="shared" si="77"/>
        <v>122.08</v>
      </c>
      <c r="K82" s="40">
        <f t="shared" si="78"/>
        <v>274.68</v>
      </c>
      <c r="L82" s="41">
        <f t="shared" si="79"/>
        <v>6.5</v>
      </c>
      <c r="M82" s="41">
        <f t="shared" si="80"/>
        <v>396.76</v>
      </c>
      <c r="N82" s="58"/>
    </row>
    <row r="83" spans="2:14" ht="15.75" x14ac:dyDescent="0.25">
      <c r="B83" s="76">
        <f>IF(G83&lt;&gt;"",COUNTA($G$12:G83),"")</f>
        <v>49</v>
      </c>
      <c r="C83" s="84"/>
      <c r="D83" s="55"/>
      <c r="E83" s="60" t="s">
        <v>57</v>
      </c>
      <c r="F83" s="67">
        <v>8.5</v>
      </c>
      <c r="G83" s="55" t="s">
        <v>52</v>
      </c>
      <c r="H83" s="45">
        <v>2</v>
      </c>
      <c r="I83" s="40">
        <v>4</v>
      </c>
      <c r="J83" s="40">
        <f t="shared" si="77"/>
        <v>17</v>
      </c>
      <c r="K83" s="40">
        <f t="shared" si="78"/>
        <v>34</v>
      </c>
      <c r="L83" s="41">
        <f t="shared" si="79"/>
        <v>6</v>
      </c>
      <c r="M83" s="41">
        <f t="shared" si="80"/>
        <v>51</v>
      </c>
      <c r="N83" s="58"/>
    </row>
    <row r="84" spans="2:14" ht="15.75" x14ac:dyDescent="0.25">
      <c r="B84" s="76">
        <f>IF(G84&lt;&gt;"",COUNTA($G$12:G84),"")</f>
        <v>50</v>
      </c>
      <c r="C84" s="84"/>
      <c r="D84" s="55"/>
      <c r="E84" s="60" t="s">
        <v>58</v>
      </c>
      <c r="F84" s="67">
        <v>96.17</v>
      </c>
      <c r="G84" s="55" t="s">
        <v>52</v>
      </c>
      <c r="H84" s="45">
        <v>2</v>
      </c>
      <c r="I84" s="40">
        <v>4.5</v>
      </c>
      <c r="J84" s="40">
        <f t="shared" si="77"/>
        <v>192.34</v>
      </c>
      <c r="K84" s="40">
        <f t="shared" si="78"/>
        <v>432.76499999999999</v>
      </c>
      <c r="L84" s="41">
        <f t="shared" si="79"/>
        <v>6.5</v>
      </c>
      <c r="M84" s="41">
        <f t="shared" si="80"/>
        <v>625.10500000000002</v>
      </c>
      <c r="N84" s="58"/>
    </row>
    <row r="85" spans="2:14" ht="15.75" x14ac:dyDescent="0.25">
      <c r="B85" s="76">
        <f>IF(G85&lt;&gt;"",COUNTA($G$12:G85),"")</f>
        <v>51</v>
      </c>
      <c r="C85" s="84"/>
      <c r="D85" s="55"/>
      <c r="E85" s="60" t="s">
        <v>59</v>
      </c>
      <c r="F85" s="67">
        <f>2*59</f>
        <v>118</v>
      </c>
      <c r="G85" s="55" t="s">
        <v>52</v>
      </c>
      <c r="H85" s="45">
        <v>1.5</v>
      </c>
      <c r="I85" s="40">
        <v>4.2</v>
      </c>
      <c r="J85" s="40">
        <f t="shared" si="77"/>
        <v>177</v>
      </c>
      <c r="K85" s="40">
        <f t="shared" si="78"/>
        <v>495.6</v>
      </c>
      <c r="L85" s="41">
        <f t="shared" si="79"/>
        <v>5.7</v>
      </c>
      <c r="M85" s="41">
        <f t="shared" si="80"/>
        <v>672.6</v>
      </c>
      <c r="N85" s="58"/>
    </row>
    <row r="86" spans="2:14" ht="15.75" x14ac:dyDescent="0.25">
      <c r="B86" s="76">
        <f>IF(G86&lt;&gt;"",COUNTA($G$12:G86),"")</f>
        <v>52</v>
      </c>
      <c r="C86" s="84"/>
      <c r="D86" s="55"/>
      <c r="E86" s="60" t="s">
        <v>136</v>
      </c>
      <c r="F86" s="67">
        <f>10.85*3</f>
        <v>32.549999999999997</v>
      </c>
      <c r="G86" s="55" t="s">
        <v>52</v>
      </c>
      <c r="H86" s="45">
        <v>1</v>
      </c>
      <c r="I86" s="40">
        <v>2.25</v>
      </c>
      <c r="J86" s="40">
        <f t="shared" si="77"/>
        <v>32.549999999999997</v>
      </c>
      <c r="K86" s="40">
        <f t="shared" si="78"/>
        <v>73.237499999999997</v>
      </c>
      <c r="L86" s="41">
        <f t="shared" si="79"/>
        <v>3.25</v>
      </c>
      <c r="M86" s="41">
        <f t="shared" si="80"/>
        <v>105.78749999999999</v>
      </c>
      <c r="N86" s="58"/>
    </row>
    <row r="87" spans="2:14" ht="15.75" x14ac:dyDescent="0.25">
      <c r="B87" s="76">
        <f>IF(G87&lt;&gt;"",COUNTA($G$12:G87),"")</f>
        <v>53</v>
      </c>
      <c r="C87" s="84"/>
      <c r="D87" s="55"/>
      <c r="E87" s="60" t="s">
        <v>63</v>
      </c>
      <c r="F87" s="67">
        <v>920.94</v>
      </c>
      <c r="G87" s="55" t="s">
        <v>52</v>
      </c>
      <c r="H87" s="45">
        <v>2</v>
      </c>
      <c r="I87" s="40">
        <v>4.5</v>
      </c>
      <c r="J87" s="40">
        <f t="shared" si="77"/>
        <v>1841.88</v>
      </c>
      <c r="K87" s="40">
        <f t="shared" si="78"/>
        <v>4144.2300000000005</v>
      </c>
      <c r="L87" s="41">
        <f t="shared" si="79"/>
        <v>6.5</v>
      </c>
      <c r="M87" s="41">
        <f t="shared" si="80"/>
        <v>5986.1100000000006</v>
      </c>
      <c r="N87" s="58"/>
    </row>
    <row r="88" spans="2:14" ht="15.75" x14ac:dyDescent="0.25">
      <c r="B88" s="76">
        <f>IF(G88&lt;&gt;"",COUNTA($G$12:G88),"")</f>
        <v>54</v>
      </c>
      <c r="C88" s="84"/>
      <c r="D88" s="55"/>
      <c r="E88" s="60" t="s">
        <v>60</v>
      </c>
      <c r="F88" s="75">
        <v>1233.33</v>
      </c>
      <c r="G88" s="55" t="s">
        <v>52</v>
      </c>
      <c r="H88" s="45">
        <v>2</v>
      </c>
      <c r="I88" s="40">
        <v>4.5</v>
      </c>
      <c r="J88" s="40">
        <f t="shared" si="77"/>
        <v>2466.66</v>
      </c>
      <c r="K88" s="40">
        <f t="shared" si="78"/>
        <v>5549.9849999999997</v>
      </c>
      <c r="L88" s="41">
        <f t="shared" si="79"/>
        <v>6.5</v>
      </c>
      <c r="M88" s="41">
        <f t="shared" si="80"/>
        <v>8016.6449999999995</v>
      </c>
      <c r="N88" s="58"/>
    </row>
    <row r="89" spans="2:14" ht="15.75" x14ac:dyDescent="0.25">
      <c r="B89" s="76">
        <f>IF(G89&lt;&gt;"",COUNTA($G$12:G89),"")</f>
        <v>55</v>
      </c>
      <c r="C89" s="84"/>
      <c r="D89" s="55"/>
      <c r="E89" s="60" t="s">
        <v>62</v>
      </c>
      <c r="F89" s="67">
        <v>355</v>
      </c>
      <c r="G89" s="55" t="s">
        <v>52</v>
      </c>
      <c r="H89" s="45">
        <v>3</v>
      </c>
      <c r="I89" s="40">
        <v>5</v>
      </c>
      <c r="J89" s="40">
        <f t="shared" si="77"/>
        <v>1065</v>
      </c>
      <c r="K89" s="40">
        <f t="shared" si="78"/>
        <v>1775</v>
      </c>
      <c r="L89" s="41">
        <f t="shared" si="79"/>
        <v>8</v>
      </c>
      <c r="M89" s="41">
        <f t="shared" si="80"/>
        <v>2840</v>
      </c>
      <c r="N89" s="58"/>
    </row>
    <row r="90" spans="2:14" ht="15.75" x14ac:dyDescent="0.25">
      <c r="B90" s="76">
        <f>IF(G90&lt;&gt;"",COUNTA($G$12:G90),"")</f>
        <v>56</v>
      </c>
      <c r="C90" s="84"/>
      <c r="D90" s="55"/>
      <c r="E90" s="60" t="s">
        <v>61</v>
      </c>
      <c r="F90" s="67">
        <v>46.74</v>
      </c>
      <c r="G90" s="55" t="s">
        <v>52</v>
      </c>
      <c r="H90" s="45">
        <v>2</v>
      </c>
      <c r="I90" s="40">
        <v>6</v>
      </c>
      <c r="J90" s="40">
        <f t="shared" si="77"/>
        <v>93.48</v>
      </c>
      <c r="K90" s="40">
        <f t="shared" si="78"/>
        <v>280.44</v>
      </c>
      <c r="L90" s="41">
        <f t="shared" si="79"/>
        <v>8</v>
      </c>
      <c r="M90" s="41">
        <f t="shared" si="80"/>
        <v>373.92</v>
      </c>
      <c r="N90" s="58"/>
    </row>
    <row r="91" spans="2:14" ht="15.75" x14ac:dyDescent="0.25">
      <c r="B91" s="76">
        <f>IF(G91&lt;&gt;"",COUNTA($G$12:G91),"")</f>
        <v>57</v>
      </c>
      <c r="C91" s="84"/>
      <c r="D91" s="55"/>
      <c r="E91" s="60" t="s">
        <v>243</v>
      </c>
      <c r="F91" s="67">
        <v>21</v>
      </c>
      <c r="G91" s="55" t="s">
        <v>89</v>
      </c>
      <c r="H91" s="45">
        <v>25</v>
      </c>
      <c r="I91" s="40">
        <v>65</v>
      </c>
      <c r="J91" s="40">
        <f t="shared" si="77"/>
        <v>525</v>
      </c>
      <c r="K91" s="40">
        <f t="shared" si="78"/>
        <v>1365</v>
      </c>
      <c r="L91" s="41">
        <f t="shared" si="79"/>
        <v>90</v>
      </c>
      <c r="M91" s="41">
        <f t="shared" si="80"/>
        <v>1890</v>
      </c>
      <c r="N91" s="58"/>
    </row>
    <row r="92" spans="2:14" ht="15.75" x14ac:dyDescent="0.25">
      <c r="B92" s="76">
        <f>IF(G92&lt;&gt;"",COUNTA($G$12:G92),"")</f>
        <v>58</v>
      </c>
      <c r="C92" s="84"/>
      <c r="D92" s="55"/>
      <c r="E92" s="60" t="s">
        <v>68</v>
      </c>
      <c r="F92" s="67">
        <f>59+47</f>
        <v>106</v>
      </c>
      <c r="G92" s="55" t="s">
        <v>52</v>
      </c>
      <c r="H92" s="45">
        <v>4.8</v>
      </c>
      <c r="I92" s="40">
        <v>25.5</v>
      </c>
      <c r="J92" s="40">
        <f t="shared" si="77"/>
        <v>508.79999999999995</v>
      </c>
      <c r="K92" s="40">
        <f t="shared" si="78"/>
        <v>2703</v>
      </c>
      <c r="L92" s="41">
        <f t="shared" si="79"/>
        <v>30.3</v>
      </c>
      <c r="M92" s="41">
        <f t="shared" si="80"/>
        <v>3211.8</v>
      </c>
      <c r="N92" s="58"/>
    </row>
    <row r="93" spans="2:14" ht="15.75" x14ac:dyDescent="0.25">
      <c r="B93" s="76">
        <f>IF(G93&lt;&gt;"",COUNTA($G$12:G93),"")</f>
        <v>59</v>
      </c>
      <c r="C93" s="83"/>
      <c r="D93" s="76"/>
      <c r="E93" s="60" t="s">
        <v>244</v>
      </c>
      <c r="F93" s="67">
        <f>4*8.5</f>
        <v>34</v>
      </c>
      <c r="G93" s="76" t="s">
        <v>52</v>
      </c>
      <c r="H93" s="45">
        <v>2.5</v>
      </c>
      <c r="I93" s="40">
        <v>5</v>
      </c>
      <c r="J93" s="40">
        <f t="shared" si="77"/>
        <v>85</v>
      </c>
      <c r="K93" s="40">
        <f t="shared" si="78"/>
        <v>170</v>
      </c>
      <c r="L93" s="41">
        <f t="shared" si="79"/>
        <v>7.5</v>
      </c>
      <c r="M93" s="41">
        <f t="shared" si="80"/>
        <v>255</v>
      </c>
      <c r="N93" s="58"/>
    </row>
    <row r="94" spans="2:14" ht="15.75" x14ac:dyDescent="0.25">
      <c r="B94" s="76" t="str">
        <f>IF(G94&lt;&gt;"",COUNTA($G$12:G94),"")</f>
        <v/>
      </c>
      <c r="C94" s="55"/>
      <c r="D94" s="55"/>
      <c r="E94" s="47" t="s">
        <v>2</v>
      </c>
      <c r="F94" s="67"/>
      <c r="G94" s="55"/>
      <c r="H94" s="45"/>
      <c r="I94" s="40"/>
      <c r="J94" s="40">
        <f>SUM(J80:J93)</f>
        <v>7523.5099999999993</v>
      </c>
      <c r="K94" s="40">
        <f>SUM(K80:K93)</f>
        <v>18192.457500000004</v>
      </c>
      <c r="L94" s="41"/>
      <c r="M94" s="40">
        <f>SUM(M80:M93)</f>
        <v>25715.967499999999</v>
      </c>
      <c r="N94" s="58"/>
    </row>
    <row r="95" spans="2:14" ht="15.75" x14ac:dyDescent="0.25">
      <c r="B95" s="76" t="str">
        <f>IF(G95&lt;&gt;"",COUNTA($G$12:G95),"")</f>
        <v/>
      </c>
      <c r="C95" s="55"/>
      <c r="D95" s="55"/>
      <c r="E95" s="47"/>
      <c r="F95" s="67"/>
      <c r="G95" s="55"/>
      <c r="H95" s="45"/>
      <c r="I95" s="40"/>
      <c r="J95" s="40"/>
      <c r="K95" s="40"/>
      <c r="L95" s="41"/>
      <c r="M95" s="41"/>
      <c r="N95" s="58"/>
    </row>
    <row r="96" spans="2:14" ht="30" x14ac:dyDescent="0.25">
      <c r="B96" s="76" t="str">
        <f>IF(G96&lt;&gt;"",COUNTA($G$12:G96),"")</f>
        <v/>
      </c>
      <c r="C96" s="55"/>
      <c r="D96" s="55"/>
      <c r="E96" s="38" t="s">
        <v>148</v>
      </c>
      <c r="F96" s="67"/>
      <c r="G96" s="55"/>
      <c r="H96" s="41"/>
      <c r="I96" s="41"/>
      <c r="J96" s="41"/>
      <c r="K96" s="40"/>
      <c r="L96" s="41"/>
      <c r="M96" s="41"/>
      <c r="N96" s="58"/>
    </row>
    <row r="97" spans="2:14" ht="15.75" x14ac:dyDescent="0.25">
      <c r="B97" s="76" t="str">
        <f>IF(G97&lt;&gt;"",COUNTA($G$12:G97),"")</f>
        <v/>
      </c>
      <c r="C97" s="81"/>
      <c r="D97" s="55"/>
      <c r="E97" s="49" t="s">
        <v>84</v>
      </c>
      <c r="F97" s="67"/>
      <c r="G97" s="55"/>
      <c r="H97" s="45"/>
      <c r="I97" s="40"/>
      <c r="J97" s="40"/>
      <c r="K97" s="40"/>
      <c r="L97" s="41"/>
      <c r="M97" s="41"/>
      <c r="N97" s="58"/>
    </row>
    <row r="98" spans="2:14" ht="19.149999999999999" customHeight="1" x14ac:dyDescent="0.25">
      <c r="B98" s="76">
        <f>IF(G98&lt;&gt;"",COUNTA($G$12:G98),"")</f>
        <v>60</v>
      </c>
      <c r="C98" s="81"/>
      <c r="D98" s="55"/>
      <c r="E98" s="60" t="s">
        <v>124</v>
      </c>
      <c r="F98" s="67">
        <v>3600</v>
      </c>
      <c r="G98" s="55" t="s">
        <v>53</v>
      </c>
      <c r="H98" s="45">
        <v>3</v>
      </c>
      <c r="I98" s="40">
        <v>4</v>
      </c>
      <c r="J98" s="40">
        <f t="shared" ref="J98" si="81">H98*F98</f>
        <v>10800</v>
      </c>
      <c r="K98" s="40">
        <f t="shared" ref="K98" si="82">I98*F98</f>
        <v>14400</v>
      </c>
      <c r="L98" s="41">
        <f t="shared" ref="L98" si="83">I98+H98</f>
        <v>7</v>
      </c>
      <c r="M98" s="41">
        <f t="shared" si="10"/>
        <v>25200</v>
      </c>
      <c r="N98" s="58"/>
    </row>
    <row r="99" spans="2:14" ht="16.149999999999999" customHeight="1" x14ac:dyDescent="0.25">
      <c r="B99" s="76">
        <f>IF(G99&lt;&gt;"",COUNTA($G$12:G99),"")</f>
        <v>61</v>
      </c>
      <c r="C99" s="81"/>
      <c r="D99" s="55"/>
      <c r="E99" s="60" t="s">
        <v>85</v>
      </c>
      <c r="F99" s="67">
        <v>3600</v>
      </c>
      <c r="G99" s="55" t="s">
        <v>53</v>
      </c>
      <c r="H99" s="45">
        <v>0.5</v>
      </c>
      <c r="I99" s="40">
        <v>0.5</v>
      </c>
      <c r="J99" s="40">
        <f t="shared" ref="J99:J105" si="84">H99*F99</f>
        <v>1800</v>
      </c>
      <c r="K99" s="40">
        <f t="shared" ref="K99:K105" si="85">I99*F99</f>
        <v>1800</v>
      </c>
      <c r="L99" s="41">
        <f t="shared" ref="L99:L105" si="86">I99+H99</f>
        <v>1</v>
      </c>
      <c r="M99" s="41">
        <f t="shared" si="10"/>
        <v>3600</v>
      </c>
      <c r="N99" s="58"/>
    </row>
    <row r="100" spans="2:14" ht="16.149999999999999" customHeight="1" x14ac:dyDescent="0.25">
      <c r="B100" s="76">
        <f>IF(G100&lt;&gt;"",COUNTA($G$12:G100),"")</f>
        <v>62</v>
      </c>
      <c r="C100" s="81"/>
      <c r="D100" s="55"/>
      <c r="E100" s="60" t="s">
        <v>178</v>
      </c>
      <c r="F100" s="67">
        <v>3600</v>
      </c>
      <c r="G100" s="55" t="s">
        <v>53</v>
      </c>
      <c r="H100" s="45">
        <v>1</v>
      </c>
      <c r="I100" s="40">
        <v>2</v>
      </c>
      <c r="J100" s="40">
        <f t="shared" ref="J100" si="87">H100*F100</f>
        <v>3600</v>
      </c>
      <c r="K100" s="40">
        <f t="shared" ref="K100" si="88">I100*F100</f>
        <v>7200</v>
      </c>
      <c r="L100" s="41">
        <f t="shared" ref="L100" si="89">I100+H100</f>
        <v>3</v>
      </c>
      <c r="M100" s="41">
        <f t="shared" ref="M100" si="90">L100*F100</f>
        <v>10800</v>
      </c>
      <c r="N100" s="58"/>
    </row>
    <row r="101" spans="2:14" ht="16.149999999999999" customHeight="1" x14ac:dyDescent="0.25">
      <c r="B101" s="76">
        <f>IF(G101&lt;&gt;"",COUNTA($G$12:G101),"")</f>
        <v>63</v>
      </c>
      <c r="C101" s="81"/>
      <c r="D101" s="55"/>
      <c r="E101" s="60" t="s">
        <v>149</v>
      </c>
      <c r="F101" s="67">
        <v>3600</v>
      </c>
      <c r="G101" s="55" t="s">
        <v>53</v>
      </c>
      <c r="H101" s="45">
        <v>0.4</v>
      </c>
      <c r="I101" s="40">
        <v>0.8</v>
      </c>
      <c r="J101" s="40">
        <f t="shared" si="84"/>
        <v>1440</v>
      </c>
      <c r="K101" s="40">
        <f t="shared" si="85"/>
        <v>2880</v>
      </c>
      <c r="L101" s="41">
        <f t="shared" si="86"/>
        <v>1.2000000000000002</v>
      </c>
      <c r="M101" s="41">
        <f t="shared" si="10"/>
        <v>4320.0000000000009</v>
      </c>
      <c r="N101" s="58"/>
    </row>
    <row r="102" spans="2:14" ht="15.75" x14ac:dyDescent="0.25">
      <c r="B102" s="76">
        <f>IF(G102&lt;&gt;"",COUNTA($G$12:G102),"")</f>
        <v>64</v>
      </c>
      <c r="C102" s="81"/>
      <c r="D102" s="55"/>
      <c r="E102" s="51" t="s">
        <v>125</v>
      </c>
      <c r="F102" s="67">
        <v>11.7</v>
      </c>
      <c r="G102" s="55" t="s">
        <v>52</v>
      </c>
      <c r="H102" s="45">
        <v>2.23</v>
      </c>
      <c r="I102" s="40">
        <v>10.23</v>
      </c>
      <c r="J102" s="40">
        <f t="shared" si="84"/>
        <v>26.090999999999998</v>
      </c>
      <c r="K102" s="40">
        <f t="shared" si="85"/>
        <v>119.691</v>
      </c>
      <c r="L102" s="41">
        <f t="shared" si="86"/>
        <v>12.46</v>
      </c>
      <c r="M102" s="41">
        <f t="shared" si="10"/>
        <v>145.78200000000001</v>
      </c>
      <c r="N102" s="58"/>
    </row>
    <row r="103" spans="2:14" ht="15.75" x14ac:dyDescent="0.25">
      <c r="B103" s="76">
        <f>IF(G103&lt;&gt;"",COUNTA($G$12:G103),"")</f>
        <v>65</v>
      </c>
      <c r="C103" s="81"/>
      <c r="D103" s="55"/>
      <c r="E103" s="51" t="s">
        <v>126</v>
      </c>
      <c r="F103" s="67">
        <v>180.76</v>
      </c>
      <c r="G103" s="55" t="s">
        <v>52</v>
      </c>
      <c r="H103" s="45">
        <v>2.92</v>
      </c>
      <c r="I103" s="40">
        <v>11.13</v>
      </c>
      <c r="J103" s="40">
        <f t="shared" si="84"/>
        <v>527.81919999999991</v>
      </c>
      <c r="K103" s="40">
        <f t="shared" si="85"/>
        <v>2011.8588</v>
      </c>
      <c r="L103" s="41">
        <f t="shared" si="86"/>
        <v>14.05</v>
      </c>
      <c r="M103" s="41">
        <f t="shared" si="10"/>
        <v>2539.6779999999999</v>
      </c>
      <c r="N103" s="58"/>
    </row>
    <row r="104" spans="2:14" ht="15.75" x14ac:dyDescent="0.25">
      <c r="B104" s="76">
        <f>IF(G104&lt;&gt;"",COUNTA($G$12:G104),"")</f>
        <v>66</v>
      </c>
      <c r="C104" s="81"/>
      <c r="D104" s="55"/>
      <c r="E104" s="51" t="s">
        <v>81</v>
      </c>
      <c r="F104" s="67">
        <v>216.05</v>
      </c>
      <c r="G104" s="55" t="s">
        <v>52</v>
      </c>
      <c r="H104" s="45">
        <v>3.5</v>
      </c>
      <c r="I104" s="40">
        <v>16</v>
      </c>
      <c r="J104" s="40">
        <f t="shared" si="84"/>
        <v>756.17500000000007</v>
      </c>
      <c r="K104" s="40">
        <f t="shared" si="85"/>
        <v>3456.8</v>
      </c>
      <c r="L104" s="41">
        <f t="shared" si="86"/>
        <v>19.5</v>
      </c>
      <c r="M104" s="41">
        <f t="shared" si="10"/>
        <v>4212.9750000000004</v>
      </c>
      <c r="N104" s="58"/>
    </row>
    <row r="105" spans="2:14" ht="15.75" x14ac:dyDescent="0.25">
      <c r="B105" s="76">
        <f>IF(G105&lt;&gt;"",COUNTA($G$12:G105),"")</f>
        <v>67</v>
      </c>
      <c r="C105" s="81"/>
      <c r="D105" s="55"/>
      <c r="E105" s="51" t="s">
        <v>82</v>
      </c>
      <c r="F105" s="67">
        <v>12</v>
      </c>
      <c r="G105" s="55" t="s">
        <v>45</v>
      </c>
      <c r="H105" s="45">
        <v>128.83000000000001</v>
      </c>
      <c r="I105" s="40">
        <v>581.74</v>
      </c>
      <c r="J105" s="40">
        <f t="shared" si="84"/>
        <v>1545.96</v>
      </c>
      <c r="K105" s="40">
        <f t="shared" si="85"/>
        <v>6980.88</v>
      </c>
      <c r="L105" s="41">
        <f t="shared" si="86"/>
        <v>710.57</v>
      </c>
      <c r="M105" s="41">
        <f t="shared" si="10"/>
        <v>8526.84</v>
      </c>
      <c r="N105" s="58"/>
    </row>
    <row r="106" spans="2:14" ht="15.75" x14ac:dyDescent="0.25">
      <c r="B106" s="76" t="str">
        <f>IF(G106&lt;&gt;"",COUNTA($G$12:G106),"")</f>
        <v/>
      </c>
      <c r="C106" s="55"/>
      <c r="D106" s="55"/>
      <c r="E106" s="47" t="s">
        <v>2</v>
      </c>
      <c r="F106" s="67"/>
      <c r="G106" s="55"/>
      <c r="H106" s="45"/>
      <c r="I106" s="40"/>
      <c r="J106" s="40">
        <f>SUM(J97:J105)</f>
        <v>20496.045199999997</v>
      </c>
      <c r="K106" s="40">
        <f>SUM(K97:K105)</f>
        <v>38849.229800000001</v>
      </c>
      <c r="L106" s="41"/>
      <c r="M106" s="40">
        <f>SUM(M97:M105)</f>
        <v>59345.274999999994</v>
      </c>
      <c r="N106" s="58"/>
    </row>
    <row r="107" spans="2:14" ht="15.75" x14ac:dyDescent="0.25">
      <c r="B107" s="76" t="str">
        <f>IF(G107&lt;&gt;"",COUNTA($G$12:G107),"")</f>
        <v/>
      </c>
      <c r="C107" s="55"/>
      <c r="D107" s="55"/>
      <c r="E107" s="47"/>
      <c r="F107" s="67"/>
      <c r="G107" s="55"/>
      <c r="H107" s="45"/>
      <c r="I107" s="40"/>
      <c r="J107" s="40"/>
      <c r="K107" s="40"/>
      <c r="L107" s="41"/>
      <c r="M107" s="41"/>
      <c r="N107" s="58"/>
    </row>
    <row r="108" spans="2:14" ht="15.75" x14ac:dyDescent="0.25">
      <c r="B108" s="76" t="str">
        <f>IF(G108&lt;&gt;"",COUNTA($G$12:G108),"")</f>
        <v/>
      </c>
      <c r="C108" s="55"/>
      <c r="D108" s="55"/>
      <c r="E108" s="38" t="s">
        <v>129</v>
      </c>
      <c r="F108" s="67"/>
      <c r="G108" s="55"/>
      <c r="H108" s="45"/>
      <c r="I108" s="40"/>
      <c r="J108" s="40"/>
      <c r="K108" s="40"/>
      <c r="L108" s="41"/>
      <c r="M108" s="41"/>
      <c r="N108" s="58"/>
    </row>
    <row r="109" spans="2:14" ht="15.75" x14ac:dyDescent="0.25">
      <c r="B109" s="76" t="str">
        <f>IF(G109&lt;&gt;"",COUNTA($G$12:G109),"")</f>
        <v/>
      </c>
      <c r="C109" s="81">
        <v>3</v>
      </c>
      <c r="D109" s="55"/>
      <c r="E109" s="61" t="s">
        <v>86</v>
      </c>
      <c r="F109" s="67"/>
      <c r="G109" s="55"/>
      <c r="H109" s="45"/>
      <c r="I109" s="40"/>
      <c r="J109" s="40"/>
      <c r="K109" s="40"/>
      <c r="L109" s="41"/>
      <c r="M109" s="41"/>
      <c r="N109" s="58"/>
    </row>
    <row r="110" spans="2:14" ht="15.75" x14ac:dyDescent="0.25">
      <c r="B110" s="76">
        <f>IF(G110&lt;&gt;"",COUNTA($G$12:G110),"")</f>
        <v>68</v>
      </c>
      <c r="C110" s="81"/>
      <c r="D110" s="55"/>
      <c r="E110" s="60" t="s">
        <v>217</v>
      </c>
      <c r="F110" s="67">
        <v>1</v>
      </c>
      <c r="G110" s="55" t="s">
        <v>45</v>
      </c>
      <c r="H110" s="45">
        <v>150</v>
      </c>
      <c r="I110" s="40">
        <f>25*40</f>
        <v>1000</v>
      </c>
      <c r="J110" s="40">
        <f t="shared" ref="J110" si="91">H110*F110</f>
        <v>150</v>
      </c>
      <c r="K110" s="40">
        <f t="shared" ref="K110" si="92">I110*F110</f>
        <v>1000</v>
      </c>
      <c r="L110" s="41">
        <f t="shared" ref="L110" si="93">I110+H110</f>
        <v>1150</v>
      </c>
      <c r="M110" s="41">
        <f t="shared" ref="M110:M162" si="94">L110*F110</f>
        <v>1150</v>
      </c>
      <c r="N110" s="58"/>
    </row>
    <row r="111" spans="2:14" ht="15.75" x14ac:dyDescent="0.25">
      <c r="B111" s="76">
        <f>IF(G111&lt;&gt;"",COUNTA($G$12:G111),"")</f>
        <v>69</v>
      </c>
      <c r="C111" s="81"/>
      <c r="D111" s="55"/>
      <c r="E111" s="60" t="s">
        <v>218</v>
      </c>
      <c r="F111" s="67">
        <v>2</v>
      </c>
      <c r="G111" s="55" t="s">
        <v>45</v>
      </c>
      <c r="H111" s="45">
        <v>150</v>
      </c>
      <c r="I111" s="40">
        <f>28*40</f>
        <v>1120</v>
      </c>
      <c r="J111" s="40">
        <f t="shared" ref="J111" si="95">H111*F111</f>
        <v>300</v>
      </c>
      <c r="K111" s="40">
        <f t="shared" ref="K111" si="96">I111*F111</f>
        <v>2240</v>
      </c>
      <c r="L111" s="41">
        <f t="shared" ref="L111" si="97">I111+H111</f>
        <v>1270</v>
      </c>
      <c r="M111" s="41">
        <f t="shared" si="94"/>
        <v>2540</v>
      </c>
      <c r="N111" s="58"/>
    </row>
    <row r="112" spans="2:14" ht="15.75" x14ac:dyDescent="0.25">
      <c r="B112" s="76">
        <f>IF(G112&lt;&gt;"",COUNTA($G$12:G112),"")</f>
        <v>70</v>
      </c>
      <c r="C112" s="81"/>
      <c r="D112" s="55"/>
      <c r="E112" s="60" t="s">
        <v>219</v>
      </c>
      <c r="F112" s="67">
        <v>2</v>
      </c>
      <c r="G112" s="55" t="s">
        <v>45</v>
      </c>
      <c r="H112" s="45">
        <v>150</v>
      </c>
      <c r="I112" s="40">
        <f>23.31*40</f>
        <v>932.4</v>
      </c>
      <c r="J112" s="40">
        <f t="shared" ref="J112" si="98">H112*F112</f>
        <v>300</v>
      </c>
      <c r="K112" s="40">
        <f t="shared" ref="K112" si="99">I112*F112</f>
        <v>1864.8</v>
      </c>
      <c r="L112" s="41">
        <f t="shared" ref="L112" si="100">I112+H112</f>
        <v>1082.4000000000001</v>
      </c>
      <c r="M112" s="41">
        <f t="shared" si="94"/>
        <v>2164.8000000000002</v>
      </c>
      <c r="N112" s="58"/>
    </row>
    <row r="113" spans="2:14" ht="31.5" x14ac:dyDescent="0.25">
      <c r="B113" s="76">
        <f>IF(G113&lt;&gt;"",COUNTA($G$12:G113),"")</f>
        <v>71</v>
      </c>
      <c r="C113" s="81"/>
      <c r="D113" s="55"/>
      <c r="E113" s="60" t="s">
        <v>215</v>
      </c>
      <c r="F113" s="67">
        <v>5</v>
      </c>
      <c r="G113" s="55" t="s">
        <v>45</v>
      </c>
      <c r="H113" s="45">
        <v>500</v>
      </c>
      <c r="I113" s="40">
        <v>3600</v>
      </c>
      <c r="J113" s="40">
        <f t="shared" ref="J113:J114" si="101">H113*F113</f>
        <v>2500</v>
      </c>
      <c r="K113" s="40">
        <f t="shared" ref="K113:K114" si="102">I113*F113</f>
        <v>18000</v>
      </c>
      <c r="L113" s="41">
        <f t="shared" ref="L113:L114" si="103">I113+H113</f>
        <v>4100</v>
      </c>
      <c r="M113" s="41">
        <f t="shared" si="94"/>
        <v>20500</v>
      </c>
      <c r="N113" s="58"/>
    </row>
    <row r="114" spans="2:14" ht="31.5" x14ac:dyDescent="0.25">
      <c r="B114" s="76">
        <f>IF(G114&lt;&gt;"",COUNTA($G$12:G114),"")</f>
        <v>72</v>
      </c>
      <c r="C114" s="81"/>
      <c r="D114" s="55"/>
      <c r="E114" s="60" t="s">
        <v>216</v>
      </c>
      <c r="F114" s="67">
        <v>1</v>
      </c>
      <c r="G114" s="55" t="s">
        <v>45</v>
      </c>
      <c r="H114" s="45">
        <v>500</v>
      </c>
      <c r="I114" s="40">
        <v>3000</v>
      </c>
      <c r="J114" s="40">
        <f t="shared" si="101"/>
        <v>500</v>
      </c>
      <c r="K114" s="40">
        <f t="shared" si="102"/>
        <v>3000</v>
      </c>
      <c r="L114" s="41">
        <f t="shared" si="103"/>
        <v>3500</v>
      </c>
      <c r="M114" s="41">
        <f t="shared" si="94"/>
        <v>3500</v>
      </c>
      <c r="N114" s="58"/>
    </row>
    <row r="115" spans="2:14" ht="15.75" x14ac:dyDescent="0.25">
      <c r="B115" s="76" t="str">
        <f>IF(G115&lt;&gt;"",COUNTA($G$12:G115),"")</f>
        <v/>
      </c>
      <c r="C115" s="81"/>
      <c r="D115" s="55"/>
      <c r="E115" s="61" t="s">
        <v>87</v>
      </c>
      <c r="F115" s="67"/>
      <c r="G115" s="55"/>
      <c r="H115" s="45"/>
      <c r="I115" s="40"/>
      <c r="J115" s="40"/>
      <c r="K115" s="40"/>
      <c r="L115" s="41"/>
      <c r="M115" s="41"/>
      <c r="N115" s="58"/>
    </row>
    <row r="116" spans="2:14" ht="15.75" x14ac:dyDescent="0.25">
      <c r="B116" s="76">
        <f>IF(G116&lt;&gt;"",COUNTA($G$12:G116),"")</f>
        <v>73</v>
      </c>
      <c r="C116" s="81"/>
      <c r="D116" s="55"/>
      <c r="E116" s="60" t="s">
        <v>135</v>
      </c>
      <c r="F116" s="67">
        <v>17</v>
      </c>
      <c r="G116" s="55" t="s">
        <v>45</v>
      </c>
      <c r="H116" s="45">
        <v>100</v>
      </c>
      <c r="I116" s="40">
        <f>10.8*50</f>
        <v>540</v>
      </c>
      <c r="J116" s="40">
        <f t="shared" ref="J116:J118" si="104">H116*F116</f>
        <v>1700</v>
      </c>
      <c r="K116" s="40">
        <f t="shared" ref="K116:K118" si="105">I116*F116</f>
        <v>9180</v>
      </c>
      <c r="L116" s="41">
        <f t="shared" ref="L116:L118" si="106">I116+H116</f>
        <v>640</v>
      </c>
      <c r="M116" s="41">
        <f t="shared" si="94"/>
        <v>10880</v>
      </c>
      <c r="N116" s="58"/>
    </row>
    <row r="117" spans="2:14" ht="15.75" x14ac:dyDescent="0.25">
      <c r="B117" s="76">
        <f>IF(G117&lt;&gt;"",COUNTA($G$12:G117),"")</f>
        <v>74</v>
      </c>
      <c r="C117" s="81"/>
      <c r="D117" s="55"/>
      <c r="E117" s="60" t="s">
        <v>134</v>
      </c>
      <c r="F117" s="67">
        <v>4</v>
      </c>
      <c r="G117" s="55" t="s">
        <v>45</v>
      </c>
      <c r="H117" s="45">
        <v>100</v>
      </c>
      <c r="I117" s="40">
        <f>10.8*40</f>
        <v>432</v>
      </c>
      <c r="J117" s="40">
        <f t="shared" si="104"/>
        <v>400</v>
      </c>
      <c r="K117" s="40">
        <f t="shared" si="105"/>
        <v>1728</v>
      </c>
      <c r="L117" s="41">
        <f t="shared" si="106"/>
        <v>532</v>
      </c>
      <c r="M117" s="41">
        <f t="shared" si="94"/>
        <v>2128</v>
      </c>
      <c r="N117" s="58"/>
    </row>
    <row r="118" spans="2:14" ht="31.5" x14ac:dyDescent="0.25">
      <c r="B118" s="76">
        <f>IF(G118&lt;&gt;"",COUNTA($G$12:G118),"")</f>
        <v>75</v>
      </c>
      <c r="C118" s="81"/>
      <c r="D118" s="55"/>
      <c r="E118" s="60" t="s">
        <v>88</v>
      </c>
      <c r="F118" s="67">
        <v>8</v>
      </c>
      <c r="G118" s="55" t="s">
        <v>45</v>
      </c>
      <c r="H118" s="45">
        <v>150</v>
      </c>
      <c r="I118" s="40">
        <f>55</f>
        <v>55</v>
      </c>
      <c r="J118" s="40">
        <f t="shared" si="104"/>
        <v>1200</v>
      </c>
      <c r="K118" s="40">
        <f t="shared" si="105"/>
        <v>440</v>
      </c>
      <c r="L118" s="41">
        <f t="shared" si="106"/>
        <v>205</v>
      </c>
      <c r="M118" s="41">
        <f t="shared" si="94"/>
        <v>1640</v>
      </c>
      <c r="N118" s="58"/>
    </row>
    <row r="119" spans="2:14" ht="15.75" x14ac:dyDescent="0.25">
      <c r="B119" s="76">
        <f>IF(G119&lt;&gt;"",COUNTA($G$12:G119),"")</f>
        <v>76</v>
      </c>
      <c r="C119" s="81"/>
      <c r="D119" s="55"/>
      <c r="E119" s="60" t="s">
        <v>133</v>
      </c>
      <c r="F119" s="67">
        <v>3</v>
      </c>
      <c r="G119" s="55" t="s">
        <v>45</v>
      </c>
      <c r="H119" s="45">
        <v>100</v>
      </c>
      <c r="I119" s="40">
        <f>6.8*40</f>
        <v>272</v>
      </c>
      <c r="J119" s="40">
        <f t="shared" ref="J119" si="107">H119*F119</f>
        <v>300</v>
      </c>
      <c r="K119" s="40">
        <f t="shared" ref="K119" si="108">I119*F119</f>
        <v>816</v>
      </c>
      <c r="L119" s="41">
        <f t="shared" ref="L119" si="109">I119+H119</f>
        <v>372</v>
      </c>
      <c r="M119" s="41">
        <f t="shared" si="94"/>
        <v>1116</v>
      </c>
      <c r="N119" s="58"/>
    </row>
    <row r="120" spans="2:14" ht="15.75" x14ac:dyDescent="0.25">
      <c r="B120" s="76" t="str">
        <f>IF(G120&lt;&gt;"",COUNTA($G$12:G120),"")</f>
        <v/>
      </c>
      <c r="C120" s="55"/>
      <c r="D120" s="55"/>
      <c r="E120" s="47" t="s">
        <v>2</v>
      </c>
      <c r="F120" s="67"/>
      <c r="G120" s="55"/>
      <c r="H120" s="45"/>
      <c r="I120" s="40"/>
      <c r="J120" s="40">
        <f>SUM(J110:J119)</f>
        <v>7350</v>
      </c>
      <c r="K120" s="40">
        <f>SUM(K110:K119)</f>
        <v>38268.800000000003</v>
      </c>
      <c r="L120" s="41"/>
      <c r="M120" s="40">
        <f>SUM(M110:M119)</f>
        <v>45618.8</v>
      </c>
      <c r="N120" s="58"/>
    </row>
    <row r="121" spans="2:14" ht="15.75" x14ac:dyDescent="0.25">
      <c r="B121" s="76" t="str">
        <f>IF(G121&lt;&gt;"",COUNTA($G$12:G121),"")</f>
        <v/>
      </c>
      <c r="C121" s="55"/>
      <c r="D121" s="55"/>
      <c r="E121" s="47"/>
      <c r="F121" s="67"/>
      <c r="G121" s="55"/>
      <c r="H121" s="45"/>
      <c r="I121" s="40"/>
      <c r="J121" s="40"/>
      <c r="K121" s="40"/>
      <c r="L121" s="41"/>
      <c r="M121" s="41"/>
      <c r="N121" s="58"/>
    </row>
    <row r="122" spans="2:14" ht="15.75" x14ac:dyDescent="0.25">
      <c r="B122" s="76" t="str">
        <f>IF(G122&lt;&gt;"",COUNTA($G$12:G122),"")</f>
        <v/>
      </c>
      <c r="C122" s="55"/>
      <c r="D122" s="55"/>
      <c r="E122" s="38" t="s">
        <v>128</v>
      </c>
      <c r="F122" s="67"/>
      <c r="G122" s="55"/>
      <c r="H122" s="45"/>
      <c r="I122" s="40"/>
      <c r="J122" s="40"/>
      <c r="K122" s="40"/>
      <c r="L122" s="41"/>
      <c r="M122" s="41"/>
      <c r="N122" s="58"/>
    </row>
    <row r="123" spans="2:14" ht="15.75" x14ac:dyDescent="0.25">
      <c r="B123" s="76" t="str">
        <f>IF(G123&lt;&gt;"",COUNTA($G$12:G123),"")</f>
        <v/>
      </c>
      <c r="C123" s="55"/>
      <c r="D123" s="55"/>
      <c r="E123" s="50" t="s">
        <v>83</v>
      </c>
      <c r="F123" s="67"/>
      <c r="G123" s="55"/>
      <c r="H123" s="45"/>
      <c r="I123" s="40"/>
      <c r="J123" s="40"/>
      <c r="K123" s="40"/>
      <c r="L123" s="41"/>
      <c r="M123" s="41"/>
      <c r="N123" s="58"/>
    </row>
    <row r="124" spans="2:14" ht="15.75" x14ac:dyDescent="0.25">
      <c r="B124" s="76" t="str">
        <f>IF(G124&lt;&gt;"",COUNTA($G$12:G124),"")</f>
        <v/>
      </c>
      <c r="C124" s="82">
        <v>3</v>
      </c>
      <c r="D124" s="55"/>
      <c r="E124" s="62" t="s">
        <v>90</v>
      </c>
      <c r="F124" s="67"/>
      <c r="G124" s="55"/>
      <c r="H124" s="45"/>
      <c r="I124" s="40"/>
      <c r="J124" s="40"/>
      <c r="K124" s="40"/>
      <c r="L124" s="41"/>
      <c r="M124" s="41"/>
      <c r="N124" s="58"/>
    </row>
    <row r="125" spans="2:14" ht="15.75" x14ac:dyDescent="0.25">
      <c r="B125" s="76">
        <f>IF(G125&lt;&gt;"",COUNTA($G$12:G125),"")</f>
        <v>77</v>
      </c>
      <c r="C125" s="84"/>
      <c r="D125" s="55"/>
      <c r="E125" s="63" t="s">
        <v>91</v>
      </c>
      <c r="F125" s="75">
        <f>(189+670)/1.33</f>
        <v>645.86466165413526</v>
      </c>
      <c r="G125" s="55" t="s">
        <v>52</v>
      </c>
      <c r="H125" s="45">
        <v>1</v>
      </c>
      <c r="I125" s="40">
        <v>1.5</v>
      </c>
      <c r="J125" s="40">
        <f t="shared" ref="J125:J147" si="110">H125*F125</f>
        <v>645.86466165413526</v>
      </c>
      <c r="K125" s="40">
        <f t="shared" ref="K125:K147" si="111">I125*F125</f>
        <v>968.79699248120289</v>
      </c>
      <c r="L125" s="41">
        <f t="shared" ref="L125:L147" si="112">I125+H125</f>
        <v>2.5</v>
      </c>
      <c r="M125" s="41">
        <f t="shared" si="94"/>
        <v>1614.6616541353383</v>
      </c>
      <c r="N125" s="58"/>
    </row>
    <row r="126" spans="2:14" ht="15.75" x14ac:dyDescent="0.25">
      <c r="B126" s="76">
        <f>IF(G126&lt;&gt;"",COUNTA($G$12:G126),"")</f>
        <v>78</v>
      </c>
      <c r="C126" s="84"/>
      <c r="D126" s="55"/>
      <c r="E126" s="63" t="s">
        <v>92</v>
      </c>
      <c r="F126" s="67">
        <f>144+83</f>
        <v>227</v>
      </c>
      <c r="G126" s="55" t="s">
        <v>52</v>
      </c>
      <c r="H126" s="45">
        <v>1</v>
      </c>
      <c r="I126" s="40">
        <v>2</v>
      </c>
      <c r="J126" s="40">
        <f t="shared" si="110"/>
        <v>227</v>
      </c>
      <c r="K126" s="40">
        <f t="shared" si="111"/>
        <v>454</v>
      </c>
      <c r="L126" s="41">
        <f t="shared" si="112"/>
        <v>3</v>
      </c>
      <c r="M126" s="41">
        <f t="shared" si="94"/>
        <v>681</v>
      </c>
      <c r="N126" s="58"/>
    </row>
    <row r="127" spans="2:14" ht="15.75" x14ac:dyDescent="0.25">
      <c r="B127" s="76">
        <f>IF(G127&lt;&gt;"",COUNTA($G$12:G127),"")</f>
        <v>79</v>
      </c>
      <c r="C127" s="84"/>
      <c r="D127" s="55"/>
      <c r="E127" s="63" t="s">
        <v>104</v>
      </c>
      <c r="F127" s="67">
        <f>1340+378</f>
        <v>1718</v>
      </c>
      <c r="G127" s="55" t="s">
        <v>53</v>
      </c>
      <c r="H127" s="45">
        <v>1</v>
      </c>
      <c r="I127" s="40">
        <v>1</v>
      </c>
      <c r="J127" s="40">
        <f t="shared" si="110"/>
        <v>1718</v>
      </c>
      <c r="K127" s="40">
        <f t="shared" si="111"/>
        <v>1718</v>
      </c>
      <c r="L127" s="41">
        <f t="shared" si="112"/>
        <v>2</v>
      </c>
      <c r="M127" s="41">
        <f t="shared" si="94"/>
        <v>3436</v>
      </c>
      <c r="N127" s="58"/>
    </row>
    <row r="128" spans="2:14" ht="15.75" x14ac:dyDescent="0.25">
      <c r="B128" s="76">
        <f>IF(G128&lt;&gt;"",COUNTA($G$12:G128),"")</f>
        <v>80</v>
      </c>
      <c r="C128" s="84"/>
      <c r="D128" s="55"/>
      <c r="E128" s="63" t="s">
        <v>171</v>
      </c>
      <c r="F128" s="67">
        <f>189+670</f>
        <v>859</v>
      </c>
      <c r="G128" s="55" t="s">
        <v>53</v>
      </c>
      <c r="H128" s="45">
        <v>1</v>
      </c>
      <c r="I128" s="40">
        <v>1</v>
      </c>
      <c r="J128" s="40">
        <f t="shared" si="110"/>
        <v>859</v>
      </c>
      <c r="K128" s="40">
        <f t="shared" si="111"/>
        <v>859</v>
      </c>
      <c r="L128" s="41">
        <f t="shared" si="112"/>
        <v>2</v>
      </c>
      <c r="M128" s="41">
        <f t="shared" si="94"/>
        <v>1718</v>
      </c>
      <c r="N128" s="58"/>
    </row>
    <row r="129" spans="2:14" ht="15.75" x14ac:dyDescent="0.25">
      <c r="B129" s="76">
        <f>IF(G129&lt;&gt;"",COUNTA($G$12:G129),"")</f>
        <v>81</v>
      </c>
      <c r="C129" s="84"/>
      <c r="D129" s="55"/>
      <c r="E129" s="63" t="s">
        <v>94</v>
      </c>
      <c r="F129" s="67">
        <v>554</v>
      </c>
      <c r="G129" s="55" t="s">
        <v>52</v>
      </c>
      <c r="H129" s="45">
        <v>0.3</v>
      </c>
      <c r="I129" s="40">
        <v>0.8</v>
      </c>
      <c r="J129" s="40">
        <f t="shared" si="110"/>
        <v>166.2</v>
      </c>
      <c r="K129" s="40">
        <f t="shared" si="111"/>
        <v>443.20000000000005</v>
      </c>
      <c r="L129" s="41">
        <f t="shared" si="112"/>
        <v>1.1000000000000001</v>
      </c>
      <c r="M129" s="41">
        <f t="shared" si="94"/>
        <v>609.40000000000009</v>
      </c>
      <c r="N129" s="58"/>
    </row>
    <row r="130" spans="2:14" ht="15.75" x14ac:dyDescent="0.25">
      <c r="B130" s="76" t="str">
        <f>IF(G130&lt;&gt;"",COUNTA($G$12:G130),"")</f>
        <v/>
      </c>
      <c r="C130" s="84"/>
      <c r="D130" s="55"/>
      <c r="E130" s="62" t="s">
        <v>106</v>
      </c>
      <c r="F130" s="67"/>
      <c r="G130" s="55"/>
      <c r="H130" s="45"/>
      <c r="I130" s="40"/>
      <c r="J130" s="40"/>
      <c r="K130" s="40"/>
      <c r="L130" s="41"/>
      <c r="M130" s="41"/>
      <c r="N130" s="58"/>
    </row>
    <row r="131" spans="2:14" ht="15.75" x14ac:dyDescent="0.25">
      <c r="B131" s="76">
        <f>IF(G131&lt;&gt;"",COUNTA($G$12:G131),"")</f>
        <v>82</v>
      </c>
      <c r="C131" s="84"/>
      <c r="D131" s="55"/>
      <c r="E131" s="63" t="s">
        <v>91</v>
      </c>
      <c r="F131" s="75">
        <f>40/1.33</f>
        <v>30.075187969924812</v>
      </c>
      <c r="G131" s="55" t="s">
        <v>52</v>
      </c>
      <c r="H131" s="45">
        <v>1</v>
      </c>
      <c r="I131" s="40">
        <v>1.5</v>
      </c>
      <c r="J131" s="40">
        <f t="shared" ref="J131:J135" si="113">H131*F131</f>
        <v>30.075187969924812</v>
      </c>
      <c r="K131" s="40">
        <f t="shared" ref="K131:K135" si="114">I131*F131</f>
        <v>45.112781954887218</v>
      </c>
      <c r="L131" s="41">
        <f t="shared" ref="L131:L135" si="115">I131+H131</f>
        <v>2.5</v>
      </c>
      <c r="M131" s="41">
        <f t="shared" si="94"/>
        <v>75.187969924812023</v>
      </c>
      <c r="N131" s="58"/>
    </row>
    <row r="132" spans="2:14" ht="15.75" x14ac:dyDescent="0.25">
      <c r="B132" s="76">
        <f>IF(G132&lt;&gt;"",COUNTA($G$12:G132),"")</f>
        <v>83</v>
      </c>
      <c r="C132" s="84"/>
      <c r="D132" s="55"/>
      <c r="E132" s="63" t="s">
        <v>92</v>
      </c>
      <c r="F132" s="67">
        <v>16</v>
      </c>
      <c r="G132" s="55" t="s">
        <v>52</v>
      </c>
      <c r="H132" s="45">
        <v>1</v>
      </c>
      <c r="I132" s="40">
        <v>2</v>
      </c>
      <c r="J132" s="40">
        <f t="shared" si="113"/>
        <v>16</v>
      </c>
      <c r="K132" s="40">
        <f t="shared" si="114"/>
        <v>32</v>
      </c>
      <c r="L132" s="41">
        <f t="shared" si="115"/>
        <v>3</v>
      </c>
      <c r="M132" s="41">
        <f t="shared" si="94"/>
        <v>48</v>
      </c>
      <c r="N132" s="58"/>
    </row>
    <row r="133" spans="2:14" ht="15.75" x14ac:dyDescent="0.25">
      <c r="B133" s="76">
        <f>IF(G133&lt;&gt;"",COUNTA($G$12:G133),"")</f>
        <v>84</v>
      </c>
      <c r="C133" s="84"/>
      <c r="D133" s="55"/>
      <c r="E133" s="63" t="s">
        <v>104</v>
      </c>
      <c r="F133" s="67">
        <v>60</v>
      </c>
      <c r="G133" s="55" t="s">
        <v>53</v>
      </c>
      <c r="H133" s="45">
        <v>1</v>
      </c>
      <c r="I133" s="40">
        <v>1</v>
      </c>
      <c r="J133" s="40">
        <f t="shared" si="113"/>
        <v>60</v>
      </c>
      <c r="K133" s="40">
        <f t="shared" si="114"/>
        <v>60</v>
      </c>
      <c r="L133" s="41">
        <f t="shared" si="115"/>
        <v>2</v>
      </c>
      <c r="M133" s="41">
        <f t="shared" si="94"/>
        <v>120</v>
      </c>
      <c r="N133" s="58"/>
    </row>
    <row r="134" spans="2:14" ht="15.75" x14ac:dyDescent="0.25">
      <c r="B134" s="76">
        <f>IF(G134&lt;&gt;"",COUNTA($G$12:G134),"")</f>
        <v>85</v>
      </c>
      <c r="C134" s="84"/>
      <c r="D134" s="55"/>
      <c r="E134" s="63" t="s">
        <v>171</v>
      </c>
      <c r="F134" s="67">
        <v>30</v>
      </c>
      <c r="G134" s="55" t="s">
        <v>53</v>
      </c>
      <c r="H134" s="45">
        <v>1</v>
      </c>
      <c r="I134" s="40">
        <v>1</v>
      </c>
      <c r="J134" s="40">
        <f t="shared" si="113"/>
        <v>30</v>
      </c>
      <c r="K134" s="40">
        <f t="shared" si="114"/>
        <v>30</v>
      </c>
      <c r="L134" s="41">
        <f t="shared" si="115"/>
        <v>2</v>
      </c>
      <c r="M134" s="41">
        <f t="shared" si="94"/>
        <v>60</v>
      </c>
      <c r="N134" s="58"/>
    </row>
    <row r="135" spans="2:14" ht="15.75" x14ac:dyDescent="0.25">
      <c r="B135" s="76">
        <f>IF(G135&lt;&gt;"",COUNTA($G$12:G135),"")</f>
        <v>86</v>
      </c>
      <c r="C135" s="84"/>
      <c r="D135" s="55"/>
      <c r="E135" s="63" t="s">
        <v>94</v>
      </c>
      <c r="F135" s="67">
        <v>16</v>
      </c>
      <c r="G135" s="55" t="s">
        <v>52</v>
      </c>
      <c r="H135" s="45">
        <v>0.3</v>
      </c>
      <c r="I135" s="40">
        <v>0.8</v>
      </c>
      <c r="J135" s="40">
        <f t="shared" si="113"/>
        <v>4.8</v>
      </c>
      <c r="K135" s="40">
        <f t="shared" si="114"/>
        <v>12.8</v>
      </c>
      <c r="L135" s="41">
        <f t="shared" si="115"/>
        <v>1.1000000000000001</v>
      </c>
      <c r="M135" s="41">
        <f t="shared" si="94"/>
        <v>17.600000000000001</v>
      </c>
      <c r="N135" s="58"/>
    </row>
    <row r="136" spans="2:14" ht="15.75" x14ac:dyDescent="0.25">
      <c r="B136" s="76" t="str">
        <f>IF(G136&lt;&gt;"",COUNTA($G$12:G136),"")</f>
        <v/>
      </c>
      <c r="C136" s="84"/>
      <c r="D136" s="55"/>
      <c r="E136" s="62" t="s">
        <v>105</v>
      </c>
      <c r="F136" s="67"/>
      <c r="G136" s="55"/>
      <c r="H136" s="45"/>
      <c r="I136" s="40"/>
      <c r="J136" s="40"/>
      <c r="K136" s="40"/>
      <c r="L136" s="41"/>
      <c r="M136" s="41"/>
      <c r="N136" s="58"/>
    </row>
    <row r="137" spans="2:14" ht="15.75" x14ac:dyDescent="0.25">
      <c r="B137" s="76">
        <f>IF(G137&lt;&gt;"",COUNTA($G$12:G137),"")</f>
        <v>87</v>
      </c>
      <c r="C137" s="84"/>
      <c r="D137" s="55"/>
      <c r="E137" s="63" t="s">
        <v>96</v>
      </c>
      <c r="F137" s="75">
        <f>(252+557+46+246)/1.33</f>
        <v>827.81954887218046</v>
      </c>
      <c r="G137" s="55" t="s">
        <v>52</v>
      </c>
      <c r="H137" s="45">
        <v>1</v>
      </c>
      <c r="I137" s="40">
        <v>2</v>
      </c>
      <c r="J137" s="40">
        <f t="shared" ref="J137:J141" si="116">H137*F137</f>
        <v>827.81954887218046</v>
      </c>
      <c r="K137" s="40">
        <f t="shared" ref="K137:K141" si="117">I137*F137</f>
        <v>1655.6390977443609</v>
      </c>
      <c r="L137" s="41">
        <f t="shared" ref="L137:L141" si="118">I137+H137</f>
        <v>3</v>
      </c>
      <c r="M137" s="41">
        <f t="shared" si="94"/>
        <v>2483.4586466165415</v>
      </c>
      <c r="N137" s="58"/>
    </row>
    <row r="138" spans="2:14" ht="15.75" x14ac:dyDescent="0.25">
      <c r="B138" s="76">
        <f>IF(G138&lt;&gt;"",COUNTA($G$12:G138),"")</f>
        <v>88</v>
      </c>
      <c r="C138" s="84"/>
      <c r="D138" s="55"/>
      <c r="E138" s="63" t="s">
        <v>92</v>
      </c>
      <c r="F138" s="67">
        <f>44+83+108+41</f>
        <v>276</v>
      </c>
      <c r="G138" s="55" t="s">
        <v>52</v>
      </c>
      <c r="H138" s="45">
        <v>1</v>
      </c>
      <c r="I138" s="40">
        <v>2</v>
      </c>
      <c r="J138" s="40">
        <f t="shared" si="116"/>
        <v>276</v>
      </c>
      <c r="K138" s="40">
        <f t="shared" si="117"/>
        <v>552</v>
      </c>
      <c r="L138" s="41">
        <f t="shared" si="118"/>
        <v>3</v>
      </c>
      <c r="M138" s="41">
        <f t="shared" si="94"/>
        <v>828</v>
      </c>
      <c r="N138" s="58"/>
    </row>
    <row r="139" spans="2:14" ht="15.75" x14ac:dyDescent="0.25">
      <c r="B139" s="76">
        <f>IF(G139&lt;&gt;"",COUNTA($G$12:G139),"")</f>
        <v>89</v>
      </c>
      <c r="C139" s="84"/>
      <c r="D139" s="55"/>
      <c r="E139" s="63" t="s">
        <v>104</v>
      </c>
      <c r="F139" s="67">
        <f>92+504+1114+496</f>
        <v>2206</v>
      </c>
      <c r="G139" s="55" t="s">
        <v>53</v>
      </c>
      <c r="H139" s="45">
        <v>1</v>
      </c>
      <c r="I139" s="40">
        <v>1</v>
      </c>
      <c r="J139" s="40">
        <f t="shared" si="116"/>
        <v>2206</v>
      </c>
      <c r="K139" s="40">
        <f t="shared" si="117"/>
        <v>2206</v>
      </c>
      <c r="L139" s="41">
        <f t="shared" si="118"/>
        <v>2</v>
      </c>
      <c r="M139" s="41">
        <f t="shared" si="94"/>
        <v>4412</v>
      </c>
      <c r="N139" s="58"/>
    </row>
    <row r="140" spans="2:14" ht="15.75" x14ac:dyDescent="0.25">
      <c r="B140" s="76">
        <f>IF(G140&lt;&gt;"",COUNTA($G$12:G140),"")</f>
        <v>90</v>
      </c>
      <c r="C140" s="84"/>
      <c r="D140" s="55"/>
      <c r="E140" s="63" t="s">
        <v>171</v>
      </c>
      <c r="F140" s="67">
        <f>46+252+557+246</f>
        <v>1101</v>
      </c>
      <c r="G140" s="55" t="s">
        <v>53</v>
      </c>
      <c r="H140" s="45">
        <v>1</v>
      </c>
      <c r="I140" s="40">
        <v>1</v>
      </c>
      <c r="J140" s="40">
        <f t="shared" si="116"/>
        <v>1101</v>
      </c>
      <c r="K140" s="40">
        <f t="shared" si="117"/>
        <v>1101</v>
      </c>
      <c r="L140" s="41">
        <f t="shared" si="118"/>
        <v>2</v>
      </c>
      <c r="M140" s="41">
        <f t="shared" si="94"/>
        <v>2202</v>
      </c>
      <c r="N140" s="58"/>
    </row>
    <row r="141" spans="2:14" ht="15.75" x14ac:dyDescent="0.25">
      <c r="B141" s="76">
        <f>IF(G141&lt;&gt;"",COUNTA($G$12:G141),"")</f>
        <v>91</v>
      </c>
      <c r="C141" s="84"/>
      <c r="D141" s="55"/>
      <c r="E141" s="63" t="s">
        <v>94</v>
      </c>
      <c r="F141" s="67">
        <f>276*2</f>
        <v>552</v>
      </c>
      <c r="G141" s="55" t="s">
        <v>52</v>
      </c>
      <c r="H141" s="45">
        <v>0.3</v>
      </c>
      <c r="I141" s="40">
        <v>0.8</v>
      </c>
      <c r="J141" s="40">
        <f t="shared" si="116"/>
        <v>165.6</v>
      </c>
      <c r="K141" s="40">
        <f t="shared" si="117"/>
        <v>441.6</v>
      </c>
      <c r="L141" s="41">
        <f t="shared" si="118"/>
        <v>1.1000000000000001</v>
      </c>
      <c r="M141" s="41">
        <f t="shared" si="94"/>
        <v>607.20000000000005</v>
      </c>
      <c r="N141" s="58"/>
    </row>
    <row r="142" spans="2:14" ht="15.75" x14ac:dyDescent="0.25">
      <c r="B142" s="76" t="str">
        <f>IF(G142&lt;&gt;"",COUNTA($G$12:G142),"")</f>
        <v/>
      </c>
      <c r="C142" s="84"/>
      <c r="D142" s="55"/>
      <c r="E142" s="62" t="s">
        <v>95</v>
      </c>
      <c r="F142" s="67"/>
      <c r="G142" s="55"/>
      <c r="H142" s="45"/>
      <c r="I142" s="40"/>
      <c r="J142" s="40"/>
      <c r="K142" s="40"/>
      <c r="L142" s="41"/>
      <c r="M142" s="41"/>
      <c r="N142" s="58"/>
    </row>
    <row r="143" spans="2:14" ht="15.75" x14ac:dyDescent="0.25">
      <c r="B143" s="76">
        <f>IF(G143&lt;&gt;"",COUNTA($G$12:G143),"")</f>
        <v>92</v>
      </c>
      <c r="C143" s="84"/>
      <c r="D143" s="55"/>
      <c r="E143" s="63" t="s">
        <v>245</v>
      </c>
      <c r="F143" s="75">
        <v>798</v>
      </c>
      <c r="G143" s="55" t="s">
        <v>52</v>
      </c>
      <c r="H143" s="45">
        <v>1</v>
      </c>
      <c r="I143" s="40">
        <v>2</v>
      </c>
      <c r="J143" s="40">
        <f t="shared" si="110"/>
        <v>798</v>
      </c>
      <c r="K143" s="40">
        <f t="shared" si="111"/>
        <v>1596</v>
      </c>
      <c r="L143" s="41">
        <f t="shared" si="112"/>
        <v>3</v>
      </c>
      <c r="M143" s="41">
        <f t="shared" si="94"/>
        <v>2394</v>
      </c>
      <c r="N143" s="58"/>
    </row>
    <row r="144" spans="2:14" ht="15.75" x14ac:dyDescent="0.25">
      <c r="B144" s="76">
        <f>IF(G144&lt;&gt;"",COUNTA($G$12:G144),"")</f>
        <v>93</v>
      </c>
      <c r="C144" s="84"/>
      <c r="D144" s="55"/>
      <c r="E144" s="63" t="s">
        <v>251</v>
      </c>
      <c r="F144" s="67">
        <v>1710</v>
      </c>
      <c r="G144" s="55" t="s">
        <v>52</v>
      </c>
      <c r="H144" s="45">
        <v>1</v>
      </c>
      <c r="I144" s="40">
        <v>2</v>
      </c>
      <c r="J144" s="40">
        <f t="shared" si="110"/>
        <v>1710</v>
      </c>
      <c r="K144" s="40">
        <f t="shared" si="111"/>
        <v>3420</v>
      </c>
      <c r="L144" s="41">
        <f t="shared" si="112"/>
        <v>3</v>
      </c>
      <c r="M144" s="41">
        <f t="shared" si="94"/>
        <v>5130</v>
      </c>
      <c r="N144" s="58"/>
    </row>
    <row r="145" spans="2:14" ht="15.75" x14ac:dyDescent="0.25">
      <c r="B145" s="76">
        <f>IF(G145&lt;&gt;"",COUNTA($G$12:G145),"")</f>
        <v>94</v>
      </c>
      <c r="C145" s="84"/>
      <c r="D145" s="55"/>
      <c r="E145" s="63" t="s">
        <v>252</v>
      </c>
      <c r="F145" s="67">
        <v>226</v>
      </c>
      <c r="G145" s="55" t="s">
        <v>53</v>
      </c>
      <c r="H145" s="45">
        <v>1</v>
      </c>
      <c r="I145" s="40">
        <v>1</v>
      </c>
      <c r="J145" s="40">
        <f t="shared" si="110"/>
        <v>226</v>
      </c>
      <c r="K145" s="40">
        <f t="shared" si="111"/>
        <v>226</v>
      </c>
      <c r="L145" s="41">
        <f t="shared" si="112"/>
        <v>2</v>
      </c>
      <c r="M145" s="41">
        <f t="shared" si="94"/>
        <v>452</v>
      </c>
      <c r="N145" s="58"/>
    </row>
    <row r="146" spans="2:14" ht="15.75" x14ac:dyDescent="0.25">
      <c r="B146" s="76">
        <f>IF(G146&lt;&gt;"",COUNTA($G$12:G146),"")</f>
        <v>95</v>
      </c>
      <c r="C146" s="84"/>
      <c r="D146" s="55"/>
      <c r="E146" s="63" t="s">
        <v>253</v>
      </c>
      <c r="F146" s="67">
        <v>2296</v>
      </c>
      <c r="G146" s="55" t="s">
        <v>53</v>
      </c>
      <c r="H146" s="45">
        <v>1</v>
      </c>
      <c r="I146" s="40">
        <v>1</v>
      </c>
      <c r="J146" s="40">
        <f t="shared" si="110"/>
        <v>2296</v>
      </c>
      <c r="K146" s="40">
        <f t="shared" si="111"/>
        <v>2296</v>
      </c>
      <c r="L146" s="41">
        <f t="shared" si="112"/>
        <v>2</v>
      </c>
      <c r="M146" s="41">
        <f t="shared" si="94"/>
        <v>4592</v>
      </c>
      <c r="N146" s="58"/>
    </row>
    <row r="147" spans="2:14" ht="15.75" x14ac:dyDescent="0.25">
      <c r="B147" s="76">
        <f>IF(G147&lt;&gt;"",COUNTA($G$12:G147),"")</f>
        <v>96</v>
      </c>
      <c r="C147" s="84"/>
      <c r="D147" s="55"/>
      <c r="E147" s="63" t="s">
        <v>247</v>
      </c>
      <c r="F147" s="67">
        <v>2296</v>
      </c>
      <c r="G147" s="55" t="s">
        <v>53</v>
      </c>
      <c r="H147" s="45">
        <v>1</v>
      </c>
      <c r="I147" s="40">
        <v>2</v>
      </c>
      <c r="J147" s="40">
        <f t="shared" si="110"/>
        <v>2296</v>
      </c>
      <c r="K147" s="40">
        <f t="shared" si="111"/>
        <v>4592</v>
      </c>
      <c r="L147" s="41">
        <f t="shared" si="112"/>
        <v>3</v>
      </c>
      <c r="M147" s="41">
        <f t="shared" si="94"/>
        <v>6888</v>
      </c>
      <c r="N147" s="58"/>
    </row>
    <row r="148" spans="2:14" ht="15.75" x14ac:dyDescent="0.25">
      <c r="B148" s="76">
        <f>IF(G148&lt;&gt;"",COUNTA($G$12:G148),"")</f>
        <v>97</v>
      </c>
      <c r="C148" s="84"/>
      <c r="D148" s="55"/>
      <c r="E148" s="63" t="s">
        <v>249</v>
      </c>
      <c r="F148" s="67">
        <v>1646</v>
      </c>
      <c r="G148" s="55" t="s">
        <v>53</v>
      </c>
      <c r="H148" s="45">
        <v>1</v>
      </c>
      <c r="I148" s="40">
        <v>1.5</v>
      </c>
      <c r="J148" s="40">
        <f t="shared" ref="J148:J154" si="119">H148*F148</f>
        <v>1646</v>
      </c>
      <c r="K148" s="40">
        <f t="shared" ref="K148:K154" si="120">I148*F148</f>
        <v>2469</v>
      </c>
      <c r="L148" s="41">
        <f t="shared" ref="L148:L154" si="121">I148+H148</f>
        <v>2.5</v>
      </c>
      <c r="M148" s="41">
        <f t="shared" si="94"/>
        <v>4115</v>
      </c>
      <c r="N148" s="58"/>
    </row>
    <row r="149" spans="2:14" ht="15.75" x14ac:dyDescent="0.25">
      <c r="B149" s="76">
        <f>IF(G149&lt;&gt;"",COUNTA($G$12:G149),"")</f>
        <v>98</v>
      </c>
      <c r="C149" s="84"/>
      <c r="D149" s="55"/>
      <c r="E149" s="63" t="s">
        <v>211</v>
      </c>
      <c r="F149" s="67">
        <v>425</v>
      </c>
      <c r="G149" s="55" t="s">
        <v>53</v>
      </c>
      <c r="H149" s="45">
        <v>12</v>
      </c>
      <c r="I149" s="40">
        <v>9</v>
      </c>
      <c r="J149" s="40">
        <f t="shared" si="119"/>
        <v>5100</v>
      </c>
      <c r="K149" s="40">
        <f t="shared" si="120"/>
        <v>3825</v>
      </c>
      <c r="L149" s="41">
        <f t="shared" si="121"/>
        <v>21</v>
      </c>
      <c r="M149" s="41">
        <f t="shared" si="94"/>
        <v>8925</v>
      </c>
      <c r="N149" s="58"/>
    </row>
    <row r="150" spans="2:14" ht="15.75" x14ac:dyDescent="0.25">
      <c r="B150" s="76">
        <f>IF(G150&lt;&gt;"",COUNTA($G$12:G150),"")</f>
        <v>99</v>
      </c>
      <c r="C150" s="84"/>
      <c r="D150" s="76"/>
      <c r="E150" s="63" t="s">
        <v>254</v>
      </c>
      <c r="F150" s="67">
        <v>122</v>
      </c>
      <c r="G150" s="76" t="s">
        <v>52</v>
      </c>
      <c r="H150" s="45">
        <v>0.4</v>
      </c>
      <c r="I150" s="40">
        <v>0.1</v>
      </c>
      <c r="J150" s="40">
        <f t="shared" si="119"/>
        <v>48.800000000000004</v>
      </c>
      <c r="K150" s="40">
        <f t="shared" si="120"/>
        <v>12.200000000000001</v>
      </c>
      <c r="L150" s="41">
        <f t="shared" si="121"/>
        <v>0.5</v>
      </c>
      <c r="M150" s="41">
        <f t="shared" si="94"/>
        <v>61</v>
      </c>
      <c r="N150" s="58"/>
    </row>
    <row r="151" spans="2:14" ht="15.75" x14ac:dyDescent="0.25">
      <c r="B151" s="76" t="str">
        <f>IF(G151&lt;&gt;"",COUNTA($G$12:G151),"")</f>
        <v/>
      </c>
      <c r="C151" s="84"/>
      <c r="D151" s="55"/>
      <c r="E151" s="62" t="s">
        <v>97</v>
      </c>
      <c r="F151" s="67"/>
      <c r="G151" s="55"/>
      <c r="H151" s="45"/>
      <c r="I151" s="40"/>
      <c r="J151" s="40"/>
      <c r="K151" s="40"/>
      <c r="L151" s="41"/>
      <c r="M151" s="41"/>
      <c r="N151" s="58"/>
    </row>
    <row r="152" spans="2:14" ht="15.75" x14ac:dyDescent="0.25">
      <c r="B152" s="76">
        <f>IF(G152&lt;&gt;"",COUNTA($G$12:G152),"")</f>
        <v>100</v>
      </c>
      <c r="C152" s="84"/>
      <c r="D152" s="55"/>
      <c r="E152" s="63" t="s">
        <v>245</v>
      </c>
      <c r="F152" s="75">
        <v>87.960000000000008</v>
      </c>
      <c r="G152" s="55" t="s">
        <v>52</v>
      </c>
      <c r="H152" s="45">
        <v>1</v>
      </c>
      <c r="I152" s="40">
        <v>3</v>
      </c>
      <c r="J152" s="40">
        <f t="shared" si="119"/>
        <v>87.960000000000008</v>
      </c>
      <c r="K152" s="40">
        <f t="shared" si="120"/>
        <v>263.88</v>
      </c>
      <c r="L152" s="41">
        <f t="shared" si="121"/>
        <v>4</v>
      </c>
      <c r="M152" s="41">
        <f t="shared" si="94"/>
        <v>351.84000000000003</v>
      </c>
      <c r="N152" s="58"/>
    </row>
    <row r="153" spans="2:14" ht="15.75" x14ac:dyDescent="0.25">
      <c r="B153" s="76">
        <f>IF(G153&lt;&gt;"",COUNTA($G$12:G153),"")</f>
        <v>101</v>
      </c>
      <c r="C153" s="84"/>
      <c r="D153" s="55"/>
      <c r="E153" s="63" t="s">
        <v>246</v>
      </c>
      <c r="F153" s="67">
        <v>230</v>
      </c>
      <c r="G153" s="55" t="s">
        <v>52</v>
      </c>
      <c r="H153" s="45">
        <v>1</v>
      </c>
      <c r="I153" s="40">
        <v>3</v>
      </c>
      <c r="J153" s="40">
        <f t="shared" si="119"/>
        <v>230</v>
      </c>
      <c r="K153" s="40">
        <f t="shared" si="120"/>
        <v>690</v>
      </c>
      <c r="L153" s="41">
        <f t="shared" si="121"/>
        <v>4</v>
      </c>
      <c r="M153" s="41">
        <f t="shared" si="94"/>
        <v>920</v>
      </c>
      <c r="N153" s="58"/>
    </row>
    <row r="154" spans="2:14" ht="15.75" x14ac:dyDescent="0.25">
      <c r="B154" s="76">
        <f>IF(G154&lt;&gt;"",COUNTA($G$12:G154),"")</f>
        <v>102</v>
      </c>
      <c r="C154" s="84"/>
      <c r="D154" s="55"/>
      <c r="E154" s="63" t="s">
        <v>247</v>
      </c>
      <c r="F154" s="67">
        <v>293</v>
      </c>
      <c r="G154" s="55" t="s">
        <v>53</v>
      </c>
      <c r="H154" s="45">
        <v>1</v>
      </c>
      <c r="I154" s="40">
        <v>2</v>
      </c>
      <c r="J154" s="40">
        <f t="shared" si="119"/>
        <v>293</v>
      </c>
      <c r="K154" s="40">
        <f t="shared" si="120"/>
        <v>586</v>
      </c>
      <c r="L154" s="41">
        <f t="shared" si="121"/>
        <v>3</v>
      </c>
      <c r="M154" s="41">
        <f t="shared" si="94"/>
        <v>879</v>
      </c>
      <c r="N154" s="58"/>
    </row>
    <row r="155" spans="2:14" ht="15.75" x14ac:dyDescent="0.25">
      <c r="B155" s="76">
        <f>IF(G155&lt;&gt;"",COUNTA($G$12:G155),"")</f>
        <v>103</v>
      </c>
      <c r="C155" s="84"/>
      <c r="D155" s="55"/>
      <c r="E155" s="63" t="s">
        <v>248</v>
      </c>
      <c r="F155" s="67">
        <v>293</v>
      </c>
      <c r="G155" s="55" t="s">
        <v>53</v>
      </c>
      <c r="H155" s="45">
        <v>1</v>
      </c>
      <c r="I155" s="40">
        <v>1</v>
      </c>
      <c r="J155" s="40">
        <f t="shared" ref="J155:J157" si="122">H155*F155</f>
        <v>293</v>
      </c>
      <c r="K155" s="40">
        <f t="shared" ref="K155:K157" si="123">I155*F155</f>
        <v>293</v>
      </c>
      <c r="L155" s="41">
        <f t="shared" ref="L155:L157" si="124">I155+H155</f>
        <v>2</v>
      </c>
      <c r="M155" s="41">
        <f t="shared" si="94"/>
        <v>586</v>
      </c>
      <c r="N155" s="58"/>
    </row>
    <row r="156" spans="2:14" ht="15.75" x14ac:dyDescent="0.25">
      <c r="B156" s="76">
        <f>IF(G156&lt;&gt;"",COUNTA($G$12:G156),"")</f>
        <v>104</v>
      </c>
      <c r="C156" s="84"/>
      <c r="D156" s="55"/>
      <c r="E156" s="63" t="s">
        <v>249</v>
      </c>
      <c r="F156" s="67">
        <v>615.72</v>
      </c>
      <c r="G156" s="55" t="s">
        <v>53</v>
      </c>
      <c r="H156" s="45">
        <v>1</v>
      </c>
      <c r="I156" s="40">
        <v>1.2</v>
      </c>
      <c r="J156" s="40">
        <f t="shared" si="122"/>
        <v>615.72</v>
      </c>
      <c r="K156" s="40">
        <f t="shared" si="123"/>
        <v>738.86400000000003</v>
      </c>
      <c r="L156" s="41">
        <f t="shared" si="124"/>
        <v>2.2000000000000002</v>
      </c>
      <c r="M156" s="41">
        <f t="shared" si="94"/>
        <v>1354.5840000000001</v>
      </c>
      <c r="N156" s="58"/>
    </row>
    <row r="157" spans="2:14" ht="15.75" x14ac:dyDescent="0.25">
      <c r="B157" s="76">
        <f>IF(G157&lt;&gt;"",COUNTA($G$12:G157),"")</f>
        <v>105</v>
      </c>
      <c r="C157" s="84"/>
      <c r="D157" s="55"/>
      <c r="E157" s="63" t="s">
        <v>211</v>
      </c>
      <c r="F157" s="67">
        <v>87.960000000000008</v>
      </c>
      <c r="G157" s="55" t="s">
        <v>53</v>
      </c>
      <c r="H157" s="45">
        <v>12</v>
      </c>
      <c r="I157" s="40">
        <v>9</v>
      </c>
      <c r="J157" s="40">
        <f t="shared" si="122"/>
        <v>1055.52</v>
      </c>
      <c r="K157" s="40">
        <f t="shared" si="123"/>
        <v>791.6400000000001</v>
      </c>
      <c r="L157" s="41">
        <f t="shared" si="124"/>
        <v>21</v>
      </c>
      <c r="M157" s="41">
        <f t="shared" si="94"/>
        <v>1847.16</v>
      </c>
      <c r="N157" s="58"/>
    </row>
    <row r="158" spans="2:14" ht="15.75" x14ac:dyDescent="0.25">
      <c r="B158" s="76" t="str">
        <f>IF(G158&lt;&gt;"",COUNTA($G$12:G158),"")</f>
        <v/>
      </c>
      <c r="C158" s="84"/>
      <c r="D158" s="55"/>
      <c r="E158" s="62" t="s">
        <v>107</v>
      </c>
      <c r="F158" s="67"/>
      <c r="G158" s="55"/>
      <c r="H158" s="45"/>
      <c r="I158" s="40"/>
      <c r="J158" s="40"/>
      <c r="K158" s="40"/>
      <c r="L158" s="41"/>
      <c r="M158" s="41"/>
      <c r="N158" s="58"/>
    </row>
    <row r="159" spans="2:14" ht="15.75" x14ac:dyDescent="0.25">
      <c r="B159" s="76">
        <f>IF(G159&lt;&gt;"",COUNTA($G$12:G159),"")</f>
        <v>106</v>
      </c>
      <c r="C159" s="84"/>
      <c r="D159" s="55"/>
      <c r="E159" s="63" t="s">
        <v>245</v>
      </c>
      <c r="F159" s="75">
        <v>258</v>
      </c>
      <c r="G159" s="55" t="s">
        <v>52</v>
      </c>
      <c r="H159" s="45">
        <v>1</v>
      </c>
      <c r="I159" s="40">
        <v>1.5</v>
      </c>
      <c r="J159" s="40">
        <f t="shared" ref="J159:J161" si="125">H159*F159</f>
        <v>258</v>
      </c>
      <c r="K159" s="40">
        <f t="shared" ref="K159:K161" si="126">I159*F159</f>
        <v>387</v>
      </c>
      <c r="L159" s="41">
        <f t="shared" ref="L159:L161" si="127">I159+H159</f>
        <v>2.5</v>
      </c>
      <c r="M159" s="41">
        <f t="shared" si="94"/>
        <v>645</v>
      </c>
      <c r="N159" s="58"/>
    </row>
    <row r="160" spans="2:14" ht="15.75" x14ac:dyDescent="0.25">
      <c r="B160" s="76">
        <f>IF(G160&lt;&gt;"",COUNTA($G$12:G160),"")</f>
        <v>107</v>
      </c>
      <c r="C160" s="84"/>
      <c r="D160" s="55"/>
      <c r="E160" s="63" t="s">
        <v>250</v>
      </c>
      <c r="F160" s="67">
        <v>531</v>
      </c>
      <c r="G160" s="55" t="s">
        <v>52</v>
      </c>
      <c r="H160" s="45">
        <v>1</v>
      </c>
      <c r="I160" s="40">
        <v>1.5</v>
      </c>
      <c r="J160" s="40">
        <f t="shared" si="125"/>
        <v>531</v>
      </c>
      <c r="K160" s="40">
        <f t="shared" si="126"/>
        <v>796.5</v>
      </c>
      <c r="L160" s="41">
        <f t="shared" si="127"/>
        <v>2.5</v>
      </c>
      <c r="M160" s="41">
        <f t="shared" si="94"/>
        <v>1327.5</v>
      </c>
      <c r="N160" s="58"/>
    </row>
    <row r="161" spans="2:14" ht="15.75" x14ac:dyDescent="0.25">
      <c r="B161" s="76">
        <f>IF(G161&lt;&gt;"",COUNTA($G$12:G161),"")</f>
        <v>108</v>
      </c>
      <c r="C161" s="84"/>
      <c r="D161" s="55"/>
      <c r="E161" s="63" t="s">
        <v>247</v>
      </c>
      <c r="F161" s="67">
        <v>700</v>
      </c>
      <c r="G161" s="55" t="s">
        <v>53</v>
      </c>
      <c r="H161" s="45">
        <v>1</v>
      </c>
      <c r="I161" s="40">
        <v>2</v>
      </c>
      <c r="J161" s="40">
        <f t="shared" si="125"/>
        <v>700</v>
      </c>
      <c r="K161" s="40">
        <f t="shared" si="126"/>
        <v>1400</v>
      </c>
      <c r="L161" s="41">
        <f t="shared" si="127"/>
        <v>3</v>
      </c>
      <c r="M161" s="41">
        <f t="shared" si="94"/>
        <v>2100</v>
      </c>
      <c r="N161" s="58"/>
    </row>
    <row r="162" spans="2:14" ht="15.75" x14ac:dyDescent="0.25">
      <c r="B162" s="76">
        <f>IF(G162&lt;&gt;"",COUNTA($G$12:G162),"")</f>
        <v>109</v>
      </c>
      <c r="C162" s="84"/>
      <c r="D162" s="55"/>
      <c r="E162" s="63" t="s">
        <v>248</v>
      </c>
      <c r="F162" s="67">
        <v>700</v>
      </c>
      <c r="G162" s="55" t="s">
        <v>53</v>
      </c>
      <c r="H162" s="45">
        <v>1</v>
      </c>
      <c r="I162" s="40">
        <v>1</v>
      </c>
      <c r="J162" s="40">
        <f t="shared" ref="J162" si="128">H162*F162</f>
        <v>700</v>
      </c>
      <c r="K162" s="40">
        <f t="shared" ref="K162" si="129">I162*F162</f>
        <v>700</v>
      </c>
      <c r="L162" s="41">
        <f t="shared" ref="L162" si="130">I162+H162</f>
        <v>2</v>
      </c>
      <c r="M162" s="41">
        <f t="shared" si="94"/>
        <v>1400</v>
      </c>
      <c r="N162" s="58"/>
    </row>
    <row r="163" spans="2:14" ht="15.75" x14ac:dyDescent="0.25">
      <c r="B163" s="76" t="str">
        <f>IF(G163&lt;&gt;"",COUNTA($G$12:G163),"")</f>
        <v/>
      </c>
      <c r="C163" s="84"/>
      <c r="D163" s="76"/>
      <c r="E163" s="50" t="s">
        <v>77</v>
      </c>
      <c r="F163" s="67"/>
      <c r="G163" s="76"/>
      <c r="H163" s="41"/>
      <c r="I163" s="41"/>
      <c r="J163" s="41"/>
      <c r="K163" s="40"/>
      <c r="L163" s="41"/>
      <c r="M163" s="41"/>
      <c r="N163" s="58"/>
    </row>
    <row r="164" spans="2:14" ht="15.75" x14ac:dyDescent="0.25">
      <c r="B164" s="76">
        <f>IF(G164&lt;&gt;"",COUNTA($G$12:G164),"")</f>
        <v>110</v>
      </c>
      <c r="C164" s="84"/>
      <c r="D164" s="76"/>
      <c r="E164" s="51" t="s">
        <v>122</v>
      </c>
      <c r="F164" s="67">
        <v>1263</v>
      </c>
      <c r="G164" s="76" t="s">
        <v>53</v>
      </c>
      <c r="H164" s="45">
        <v>4.1900000000000004</v>
      </c>
      <c r="I164" s="40">
        <v>6</v>
      </c>
      <c r="J164" s="40">
        <f t="shared" ref="J164:J178" si="131">H164*F164</f>
        <v>5291.97</v>
      </c>
      <c r="K164" s="40">
        <f t="shared" ref="K164:K178" si="132">I164*F164</f>
        <v>7578</v>
      </c>
      <c r="L164" s="41">
        <f t="shared" ref="L164:L178" si="133">I164+H164</f>
        <v>10.190000000000001</v>
      </c>
      <c r="M164" s="41">
        <f t="shared" ref="M164:M178" si="134">L164*F164</f>
        <v>12869.970000000001</v>
      </c>
      <c r="N164" s="58"/>
    </row>
    <row r="165" spans="2:14" ht="15.75" x14ac:dyDescent="0.25">
      <c r="B165" s="76">
        <f>IF(G165&lt;&gt;"",COUNTA($G$12:G165),"")</f>
        <v>111</v>
      </c>
      <c r="C165" s="84"/>
      <c r="D165" s="76"/>
      <c r="E165" s="51" t="s">
        <v>123</v>
      </c>
      <c r="F165" s="67">
        <v>90</v>
      </c>
      <c r="G165" s="76" t="s">
        <v>53</v>
      </c>
      <c r="H165" s="45">
        <v>10.49</v>
      </c>
      <c r="I165" s="40">
        <v>5.78</v>
      </c>
      <c r="J165" s="40">
        <f t="shared" si="131"/>
        <v>944.1</v>
      </c>
      <c r="K165" s="40">
        <f t="shared" si="132"/>
        <v>520.20000000000005</v>
      </c>
      <c r="L165" s="41">
        <f t="shared" si="133"/>
        <v>16.27</v>
      </c>
      <c r="M165" s="41">
        <f t="shared" si="134"/>
        <v>1464.3</v>
      </c>
      <c r="N165" s="58"/>
    </row>
    <row r="166" spans="2:14" ht="15.75" x14ac:dyDescent="0.25">
      <c r="B166" s="76">
        <f>IF(G166&lt;&gt;"",COUNTA($G$12:G166),"")</f>
        <v>112</v>
      </c>
      <c r="C166" s="84"/>
      <c r="D166" s="76"/>
      <c r="E166" s="51" t="s">
        <v>70</v>
      </c>
      <c r="F166" s="67">
        <v>22</v>
      </c>
      <c r="G166" s="76" t="s">
        <v>52</v>
      </c>
      <c r="H166" s="45">
        <v>7.24</v>
      </c>
      <c r="I166" s="40">
        <v>8.51</v>
      </c>
      <c r="J166" s="40">
        <f t="shared" si="131"/>
        <v>159.28</v>
      </c>
      <c r="K166" s="40">
        <f t="shared" si="132"/>
        <v>187.22</v>
      </c>
      <c r="L166" s="41">
        <f t="shared" si="133"/>
        <v>15.75</v>
      </c>
      <c r="M166" s="41">
        <f t="shared" si="134"/>
        <v>346.5</v>
      </c>
      <c r="N166" s="58"/>
    </row>
    <row r="167" spans="2:14" ht="15.75" x14ac:dyDescent="0.25">
      <c r="B167" s="76">
        <f>IF(G167&lt;&gt;"",COUNTA($G$12:G167),"")</f>
        <v>113</v>
      </c>
      <c r="C167" s="84"/>
      <c r="D167" s="76"/>
      <c r="E167" s="51" t="s">
        <v>71</v>
      </c>
      <c r="F167" s="67">
        <v>105</v>
      </c>
      <c r="G167" s="76" t="s">
        <v>52</v>
      </c>
      <c r="H167" s="45">
        <v>5.81</v>
      </c>
      <c r="I167" s="40">
        <v>14</v>
      </c>
      <c r="J167" s="40">
        <f t="shared" si="131"/>
        <v>610.04999999999995</v>
      </c>
      <c r="K167" s="40">
        <f t="shared" si="132"/>
        <v>1470</v>
      </c>
      <c r="L167" s="41">
        <f t="shared" si="133"/>
        <v>19.809999999999999</v>
      </c>
      <c r="M167" s="41">
        <f t="shared" si="134"/>
        <v>2080.0499999999997</v>
      </c>
      <c r="N167" s="58"/>
    </row>
    <row r="168" spans="2:14" ht="15.75" x14ac:dyDescent="0.25">
      <c r="B168" s="76">
        <f>IF(G168&lt;&gt;"",COUNTA($G$12:G168),"")</f>
        <v>114</v>
      </c>
      <c r="C168" s="84"/>
      <c r="D168" s="76"/>
      <c r="E168" s="51" t="s">
        <v>212</v>
      </c>
      <c r="F168" s="67">
        <f>88*2*5</f>
        <v>880</v>
      </c>
      <c r="G168" s="76" t="s">
        <v>53</v>
      </c>
      <c r="H168" s="45">
        <v>7</v>
      </c>
      <c r="I168" s="40">
        <v>5</v>
      </c>
      <c r="J168" s="40">
        <f t="shared" ref="J168" si="135">H168*F168</f>
        <v>6160</v>
      </c>
      <c r="K168" s="40">
        <f t="shared" ref="K168" si="136">I168*F168</f>
        <v>4400</v>
      </c>
      <c r="L168" s="41">
        <f t="shared" ref="L168" si="137">I168+H168</f>
        <v>12</v>
      </c>
      <c r="M168" s="41">
        <f t="shared" ref="M168" si="138">L168*F168</f>
        <v>10560</v>
      </c>
      <c r="N168" s="58"/>
    </row>
    <row r="169" spans="2:14" ht="15.75" x14ac:dyDescent="0.25">
      <c r="B169" s="76">
        <f>IF(G169&lt;&gt;"",COUNTA($G$12:G169),"")</f>
        <v>115</v>
      </c>
      <c r="C169" s="84"/>
      <c r="D169" s="76"/>
      <c r="E169" s="51" t="s">
        <v>72</v>
      </c>
      <c r="F169" s="67">
        <v>1004.29</v>
      </c>
      <c r="G169" s="76" t="s">
        <v>53</v>
      </c>
      <c r="H169" s="45">
        <v>1.68</v>
      </c>
      <c r="I169" s="40">
        <v>1.07</v>
      </c>
      <c r="J169" s="40">
        <f t="shared" si="131"/>
        <v>1687.2071999999998</v>
      </c>
      <c r="K169" s="40">
        <f t="shared" si="132"/>
        <v>1074.5903000000001</v>
      </c>
      <c r="L169" s="41">
        <f t="shared" si="133"/>
        <v>2.75</v>
      </c>
      <c r="M169" s="41">
        <f t="shared" si="134"/>
        <v>2761.7974999999997</v>
      </c>
      <c r="N169" s="58"/>
    </row>
    <row r="170" spans="2:14" ht="15.75" x14ac:dyDescent="0.25">
      <c r="B170" s="76">
        <f>IF(G170&lt;&gt;"",COUNTA($G$12:G170),"")</f>
        <v>116</v>
      </c>
      <c r="C170" s="84"/>
      <c r="D170" s="76"/>
      <c r="E170" s="51" t="s">
        <v>73</v>
      </c>
      <c r="F170" s="67">
        <f>44+176.64</f>
        <v>220.64</v>
      </c>
      <c r="G170" s="76" t="s">
        <v>52</v>
      </c>
      <c r="H170" s="45">
        <v>1.39</v>
      </c>
      <c r="I170" s="40">
        <v>1.7</v>
      </c>
      <c r="J170" s="40">
        <f t="shared" si="131"/>
        <v>306.68959999999998</v>
      </c>
      <c r="K170" s="40">
        <f t="shared" si="132"/>
        <v>375.08799999999997</v>
      </c>
      <c r="L170" s="41">
        <f t="shared" si="133"/>
        <v>3.09</v>
      </c>
      <c r="M170" s="41">
        <f t="shared" si="134"/>
        <v>681.77759999999989</v>
      </c>
      <c r="N170" s="58"/>
    </row>
    <row r="171" spans="2:14" ht="15.75" x14ac:dyDescent="0.25">
      <c r="B171" s="76">
        <f>IF(G171&lt;&gt;"",COUNTA($G$12:G171),"")</f>
        <v>117</v>
      </c>
      <c r="C171" s="84"/>
      <c r="D171" s="76"/>
      <c r="E171" s="51" t="s">
        <v>74</v>
      </c>
      <c r="F171" s="67">
        <v>130</v>
      </c>
      <c r="G171" s="76" t="s">
        <v>52</v>
      </c>
      <c r="H171" s="45">
        <v>1.1100000000000001</v>
      </c>
      <c r="I171" s="40">
        <v>2</v>
      </c>
      <c r="J171" s="40">
        <f t="shared" si="131"/>
        <v>144.30000000000001</v>
      </c>
      <c r="K171" s="40">
        <f t="shared" si="132"/>
        <v>260</v>
      </c>
      <c r="L171" s="41">
        <f t="shared" si="133"/>
        <v>3.1100000000000003</v>
      </c>
      <c r="M171" s="41">
        <f t="shared" si="134"/>
        <v>404.30000000000007</v>
      </c>
      <c r="N171" s="58"/>
    </row>
    <row r="172" spans="2:14" ht="15.75" x14ac:dyDescent="0.25">
      <c r="B172" s="76">
        <f>IF(G172&lt;&gt;"",COUNTA($G$12:G172),"")</f>
        <v>118</v>
      </c>
      <c r="C172" s="84"/>
      <c r="D172" s="76"/>
      <c r="E172" s="51" t="s">
        <v>75</v>
      </c>
      <c r="F172" s="67">
        <v>8.2899999999999991</v>
      </c>
      <c r="G172" s="76" t="s">
        <v>53</v>
      </c>
      <c r="H172" s="45">
        <v>10.69</v>
      </c>
      <c r="I172" s="40">
        <v>56.7</v>
      </c>
      <c r="J172" s="40">
        <f t="shared" si="131"/>
        <v>88.620099999999994</v>
      </c>
      <c r="K172" s="40">
        <f t="shared" si="132"/>
        <v>470.04299999999995</v>
      </c>
      <c r="L172" s="41">
        <f t="shared" si="133"/>
        <v>67.39</v>
      </c>
      <c r="M172" s="41">
        <f t="shared" si="134"/>
        <v>558.66309999999999</v>
      </c>
      <c r="N172" s="58"/>
    </row>
    <row r="173" spans="2:14" ht="15.75" x14ac:dyDescent="0.25">
      <c r="B173" s="76">
        <f>IF(G173&lt;&gt;"",COUNTA($G$12:G173),"")</f>
        <v>119</v>
      </c>
      <c r="C173" s="84"/>
      <c r="D173" s="76"/>
      <c r="E173" s="51" t="s">
        <v>209</v>
      </c>
      <c r="F173" s="67">
        <f>34+146.82</f>
        <v>180.82</v>
      </c>
      <c r="G173" s="76" t="s">
        <v>52</v>
      </c>
      <c r="H173" s="45">
        <v>1.28</v>
      </c>
      <c r="I173" s="40">
        <v>1.65</v>
      </c>
      <c r="J173" s="40">
        <f t="shared" si="131"/>
        <v>231.4496</v>
      </c>
      <c r="K173" s="40">
        <f t="shared" si="132"/>
        <v>298.35299999999995</v>
      </c>
      <c r="L173" s="41">
        <f t="shared" si="133"/>
        <v>2.9299999999999997</v>
      </c>
      <c r="M173" s="41">
        <f t="shared" si="134"/>
        <v>529.80259999999998</v>
      </c>
      <c r="N173" s="58"/>
    </row>
    <row r="174" spans="2:14" ht="15.75" x14ac:dyDescent="0.25">
      <c r="B174" s="76">
        <f>IF(G174&lt;&gt;"",COUNTA($G$12:G174),"")</f>
        <v>120</v>
      </c>
      <c r="C174" s="84"/>
      <c r="D174" s="76"/>
      <c r="E174" s="51" t="s">
        <v>78</v>
      </c>
      <c r="F174" s="67">
        <v>32.159999999999997</v>
      </c>
      <c r="G174" s="76" t="s">
        <v>52</v>
      </c>
      <c r="H174" s="45">
        <v>3.02</v>
      </c>
      <c r="I174" s="40">
        <v>15.81</v>
      </c>
      <c r="J174" s="40">
        <f t="shared" si="131"/>
        <v>97.123199999999997</v>
      </c>
      <c r="K174" s="40">
        <f t="shared" si="132"/>
        <v>508.44959999999998</v>
      </c>
      <c r="L174" s="41">
        <f t="shared" si="133"/>
        <v>18.830000000000002</v>
      </c>
      <c r="M174" s="41">
        <f t="shared" si="134"/>
        <v>605.57280000000003</v>
      </c>
      <c r="N174" s="58"/>
    </row>
    <row r="175" spans="2:14" ht="15.75" x14ac:dyDescent="0.25">
      <c r="B175" s="76">
        <f>IF(G175&lt;&gt;"",COUNTA($G$12:G175),"")</f>
        <v>121</v>
      </c>
      <c r="C175" s="84"/>
      <c r="D175" s="76"/>
      <c r="E175" s="51" t="s">
        <v>79</v>
      </c>
      <c r="F175" s="67">
        <v>114.57</v>
      </c>
      <c r="G175" s="76" t="s">
        <v>52</v>
      </c>
      <c r="H175" s="45">
        <v>3.02</v>
      </c>
      <c r="I175" s="40">
        <v>15.81</v>
      </c>
      <c r="J175" s="40">
        <f t="shared" si="131"/>
        <v>346.00139999999999</v>
      </c>
      <c r="K175" s="40">
        <f t="shared" si="132"/>
        <v>1811.3516999999999</v>
      </c>
      <c r="L175" s="41">
        <f t="shared" si="133"/>
        <v>18.830000000000002</v>
      </c>
      <c r="M175" s="41">
        <f t="shared" si="134"/>
        <v>2157.3531000000003</v>
      </c>
      <c r="N175" s="58"/>
    </row>
    <row r="176" spans="2:14" ht="15.75" x14ac:dyDescent="0.25">
      <c r="B176" s="76">
        <f>IF(G176&lt;&gt;"",COUNTA($G$12:G176),"")</f>
        <v>122</v>
      </c>
      <c r="C176" s="84"/>
      <c r="D176" s="76"/>
      <c r="E176" s="51" t="s">
        <v>80</v>
      </c>
      <c r="F176" s="67">
        <v>226.26</v>
      </c>
      <c r="G176" s="76" t="s">
        <v>52</v>
      </c>
      <c r="H176" s="45">
        <v>0.88</v>
      </c>
      <c r="I176" s="40">
        <v>2.5</v>
      </c>
      <c r="J176" s="40">
        <f t="shared" si="131"/>
        <v>199.1088</v>
      </c>
      <c r="K176" s="40">
        <f t="shared" si="132"/>
        <v>565.65</v>
      </c>
      <c r="L176" s="41">
        <f t="shared" si="133"/>
        <v>3.38</v>
      </c>
      <c r="M176" s="41">
        <f t="shared" si="134"/>
        <v>764.75879999999995</v>
      </c>
      <c r="N176" s="58"/>
    </row>
    <row r="177" spans="2:14" ht="15.75" x14ac:dyDescent="0.25">
      <c r="B177" s="76">
        <f>IF(G177&lt;&gt;"",COUNTA($G$12:G177),"")</f>
        <v>123</v>
      </c>
      <c r="C177" s="84"/>
      <c r="D177" s="76"/>
      <c r="E177" s="51" t="s">
        <v>210</v>
      </c>
      <c r="F177" s="67">
        <f>2*51.88</f>
        <v>103.76</v>
      </c>
      <c r="G177" s="76" t="s">
        <v>52</v>
      </c>
      <c r="H177" s="45">
        <v>1.2</v>
      </c>
      <c r="I177" s="40">
        <v>1.8</v>
      </c>
      <c r="J177" s="40">
        <f t="shared" si="131"/>
        <v>124.512</v>
      </c>
      <c r="K177" s="40">
        <f t="shared" si="132"/>
        <v>186.768</v>
      </c>
      <c r="L177" s="41">
        <f t="shared" si="133"/>
        <v>3</v>
      </c>
      <c r="M177" s="41">
        <f t="shared" si="134"/>
        <v>311.28000000000003</v>
      </c>
      <c r="N177" s="58"/>
    </row>
    <row r="178" spans="2:14" ht="15.75" x14ac:dyDescent="0.25">
      <c r="B178" s="76">
        <f>IF(G178&lt;&gt;"",COUNTA($G$12:G178),"")</f>
        <v>124</v>
      </c>
      <c r="C178" s="84"/>
      <c r="D178" s="76"/>
      <c r="E178" s="51" t="s">
        <v>76</v>
      </c>
      <c r="F178" s="67">
        <v>55.34</v>
      </c>
      <c r="G178" s="76" t="s">
        <v>52</v>
      </c>
      <c r="H178" s="45">
        <v>7.24</v>
      </c>
      <c r="I178" s="40">
        <v>8.51</v>
      </c>
      <c r="J178" s="40">
        <f t="shared" si="131"/>
        <v>400.66160000000002</v>
      </c>
      <c r="K178" s="40">
        <f t="shared" si="132"/>
        <v>470.9434</v>
      </c>
      <c r="L178" s="41">
        <f t="shared" si="133"/>
        <v>15.75</v>
      </c>
      <c r="M178" s="41">
        <f t="shared" si="134"/>
        <v>871.60500000000002</v>
      </c>
      <c r="N178" s="58"/>
    </row>
    <row r="179" spans="2:14" ht="15.75" x14ac:dyDescent="0.25">
      <c r="B179" s="76" t="str">
        <f>IF(G179&lt;&gt;"",COUNTA($G$12:G179),"")</f>
        <v/>
      </c>
      <c r="C179" s="84"/>
      <c r="D179" s="55"/>
      <c r="E179" s="62" t="s">
        <v>98</v>
      </c>
      <c r="F179" s="67"/>
      <c r="G179" s="55"/>
      <c r="H179" s="45"/>
      <c r="I179" s="40"/>
      <c r="J179" s="40"/>
      <c r="K179" s="40"/>
      <c r="L179" s="41"/>
      <c r="M179" s="41"/>
      <c r="N179" s="58"/>
    </row>
    <row r="180" spans="2:14" ht="15.75" x14ac:dyDescent="0.25">
      <c r="B180" s="76">
        <f>IF(G180&lt;&gt;"",COUNTA($G$12:G180),"")</f>
        <v>125</v>
      </c>
      <c r="C180" s="84"/>
      <c r="D180" s="55"/>
      <c r="E180" s="63" t="s">
        <v>236</v>
      </c>
      <c r="F180" s="75">
        <f>2150+966</f>
        <v>3116</v>
      </c>
      <c r="G180" s="55" t="s">
        <v>53</v>
      </c>
      <c r="H180" s="45">
        <v>3</v>
      </c>
      <c r="I180" s="40">
        <v>7</v>
      </c>
      <c r="J180" s="40">
        <f t="shared" ref="J180:J182" si="139">H180*F180</f>
        <v>9348</v>
      </c>
      <c r="K180" s="40">
        <f t="shared" ref="K180:K182" si="140">I180*F180</f>
        <v>21812</v>
      </c>
      <c r="L180" s="41">
        <f t="shared" ref="L180:L182" si="141">I180+H180</f>
        <v>10</v>
      </c>
      <c r="M180" s="41">
        <f t="shared" ref="M180:M238" si="142">L180*F180</f>
        <v>31160</v>
      </c>
      <c r="N180" s="58"/>
    </row>
    <row r="181" spans="2:14" ht="15.75" x14ac:dyDescent="0.25">
      <c r="B181" s="76">
        <f>IF(G181&lt;&gt;"",COUNTA($G$12:G181),"")</f>
        <v>126</v>
      </c>
      <c r="C181" s="84"/>
      <c r="D181" s="55"/>
      <c r="E181" s="63" t="s">
        <v>108</v>
      </c>
      <c r="F181" s="67">
        <f>43+968</f>
        <v>1011</v>
      </c>
      <c r="G181" s="55" t="s">
        <v>53</v>
      </c>
      <c r="H181" s="45">
        <v>1</v>
      </c>
      <c r="I181" s="40">
        <v>2</v>
      </c>
      <c r="J181" s="40">
        <f t="shared" si="139"/>
        <v>1011</v>
      </c>
      <c r="K181" s="40">
        <f t="shared" si="140"/>
        <v>2022</v>
      </c>
      <c r="L181" s="41">
        <f t="shared" si="141"/>
        <v>3</v>
      </c>
      <c r="M181" s="41">
        <f t="shared" si="142"/>
        <v>3033</v>
      </c>
      <c r="N181" s="58"/>
    </row>
    <row r="182" spans="2:14" ht="15.75" x14ac:dyDescent="0.25">
      <c r="B182" s="76">
        <f>IF(G182&lt;&gt;"",COUNTA($G$12:G182),"")</f>
        <v>127</v>
      </c>
      <c r="C182" s="84"/>
      <c r="D182" s="55"/>
      <c r="E182" s="63" t="s">
        <v>235</v>
      </c>
      <c r="F182" s="67">
        <v>968</v>
      </c>
      <c r="G182" s="55" t="s">
        <v>53</v>
      </c>
      <c r="H182" s="45">
        <v>1.64</v>
      </c>
      <c r="I182" s="40">
        <v>5.79</v>
      </c>
      <c r="J182" s="40">
        <f t="shared" si="139"/>
        <v>1587.52</v>
      </c>
      <c r="K182" s="40">
        <f t="shared" si="140"/>
        <v>5604.72</v>
      </c>
      <c r="L182" s="41">
        <f t="shared" si="141"/>
        <v>7.43</v>
      </c>
      <c r="M182" s="41">
        <f t="shared" si="142"/>
        <v>7192.24</v>
      </c>
      <c r="N182" s="58"/>
    </row>
    <row r="183" spans="2:14" ht="15.75" x14ac:dyDescent="0.25">
      <c r="B183" s="76" t="str">
        <f>IF(G183&lt;&gt;"",COUNTA($G$12:G183),"")</f>
        <v/>
      </c>
      <c r="C183" s="84"/>
      <c r="D183" s="55"/>
      <c r="E183" s="62" t="s">
        <v>99</v>
      </c>
      <c r="F183" s="67"/>
      <c r="G183" s="55"/>
      <c r="H183" s="45"/>
      <c r="I183" s="40"/>
      <c r="J183" s="40"/>
      <c r="K183" s="40"/>
      <c r="L183" s="41"/>
      <c r="M183" s="41"/>
      <c r="N183" s="58"/>
    </row>
    <row r="184" spans="2:14" ht="15.75" x14ac:dyDescent="0.25">
      <c r="B184" s="76">
        <f>IF(G184&lt;&gt;"",COUNTA($G$12:G184),"")</f>
        <v>128</v>
      </c>
      <c r="C184" s="84"/>
      <c r="D184" s="55"/>
      <c r="E184" s="63" t="s">
        <v>238</v>
      </c>
      <c r="F184" s="67">
        <v>560</v>
      </c>
      <c r="G184" s="55" t="s">
        <v>52</v>
      </c>
      <c r="H184" s="45">
        <v>1</v>
      </c>
      <c r="I184" s="40">
        <v>2</v>
      </c>
      <c r="J184" s="40">
        <f t="shared" ref="J184" si="143">H184*F184</f>
        <v>560</v>
      </c>
      <c r="K184" s="40">
        <f t="shared" ref="K184" si="144">I184*F184</f>
        <v>1120</v>
      </c>
      <c r="L184" s="41">
        <f t="shared" ref="L184" si="145">I184+H184</f>
        <v>3</v>
      </c>
      <c r="M184" s="41">
        <f t="shared" si="142"/>
        <v>1680</v>
      </c>
      <c r="N184" s="58"/>
    </row>
    <row r="185" spans="2:14" ht="15.75" x14ac:dyDescent="0.25">
      <c r="B185" s="76" t="str">
        <f>IF(G185&lt;&gt;"",COUNTA($G$12:G185),"")</f>
        <v/>
      </c>
      <c r="C185" s="84"/>
      <c r="D185" s="55"/>
      <c r="E185" s="62" t="s">
        <v>100</v>
      </c>
      <c r="F185" s="67"/>
      <c r="G185" s="55"/>
      <c r="H185" s="45"/>
      <c r="I185" s="40"/>
      <c r="J185" s="40"/>
      <c r="K185" s="40"/>
      <c r="L185" s="41"/>
      <c r="M185" s="41"/>
      <c r="N185" s="58"/>
    </row>
    <row r="186" spans="2:14" ht="15.75" x14ac:dyDescent="0.25">
      <c r="B186" s="76">
        <f>IF(G186&lt;&gt;"",COUNTA($G$12:G186),"")</f>
        <v>129</v>
      </c>
      <c r="C186" s="84"/>
      <c r="D186" s="55"/>
      <c r="E186" s="60" t="s">
        <v>101</v>
      </c>
      <c r="F186" s="67">
        <f>972+2154</f>
        <v>3126</v>
      </c>
      <c r="G186" s="55" t="s">
        <v>53</v>
      </c>
      <c r="H186" s="45">
        <v>1</v>
      </c>
      <c r="I186" s="40">
        <v>1</v>
      </c>
      <c r="J186" s="40">
        <f t="shared" ref="J186" si="146">H186*F186</f>
        <v>3126</v>
      </c>
      <c r="K186" s="40">
        <f t="shared" ref="K186" si="147">I186*F186</f>
        <v>3126</v>
      </c>
      <c r="L186" s="41">
        <f t="shared" ref="L186" si="148">I186+H186</f>
        <v>2</v>
      </c>
      <c r="M186" s="41">
        <f t="shared" si="142"/>
        <v>6252</v>
      </c>
      <c r="N186" s="58"/>
    </row>
    <row r="187" spans="2:14" ht="15.75" x14ac:dyDescent="0.25">
      <c r="B187" s="76">
        <f>IF(G187&lt;&gt;"",COUNTA($G$12:G187),"")</f>
        <v>130</v>
      </c>
      <c r="C187" s="84"/>
      <c r="D187" s="55"/>
      <c r="E187" s="60" t="s">
        <v>150</v>
      </c>
      <c r="F187" s="67">
        <f>972+2154</f>
        <v>3126</v>
      </c>
      <c r="G187" s="55" t="s">
        <v>53</v>
      </c>
      <c r="H187" s="45">
        <v>1</v>
      </c>
      <c r="I187" s="40">
        <v>1</v>
      </c>
      <c r="J187" s="40">
        <f t="shared" ref="J187" si="149">H187*F187</f>
        <v>3126</v>
      </c>
      <c r="K187" s="40">
        <f t="shared" ref="K187" si="150">I187*F187</f>
        <v>3126</v>
      </c>
      <c r="L187" s="41">
        <f t="shared" ref="L187" si="151">I187+H187</f>
        <v>2</v>
      </c>
      <c r="M187" s="41">
        <f t="shared" ref="M187" si="152">L187*F187</f>
        <v>6252</v>
      </c>
      <c r="N187" s="58"/>
    </row>
    <row r="188" spans="2:14" ht="15.75" x14ac:dyDescent="0.25">
      <c r="B188" s="76" t="str">
        <f>IF(G188&lt;&gt;"",COUNTA($G$12:G188),"")</f>
        <v/>
      </c>
      <c r="C188" s="84"/>
      <c r="D188" s="55"/>
      <c r="E188" s="61" t="s">
        <v>237</v>
      </c>
      <c r="F188" s="67"/>
      <c r="G188" s="55"/>
      <c r="H188" s="45"/>
      <c r="I188" s="40"/>
      <c r="J188" s="40"/>
      <c r="K188" s="40"/>
      <c r="L188" s="41"/>
      <c r="M188" s="41"/>
      <c r="N188" s="58"/>
    </row>
    <row r="189" spans="2:14" ht="15.75" x14ac:dyDescent="0.25">
      <c r="B189" s="76">
        <f>IF(G189&lt;&gt;"",COUNTA($G$12:G189),"")</f>
        <v>131</v>
      </c>
      <c r="C189" s="84"/>
      <c r="D189" s="55"/>
      <c r="E189" s="60" t="s">
        <v>102</v>
      </c>
      <c r="F189" s="67">
        <v>6310</v>
      </c>
      <c r="G189" s="55" t="s">
        <v>53</v>
      </c>
      <c r="H189" s="45">
        <v>1.2</v>
      </c>
      <c r="I189" s="40">
        <v>0.8</v>
      </c>
      <c r="J189" s="40">
        <f t="shared" ref="J189:J192" si="153">H189*F189</f>
        <v>7572</v>
      </c>
      <c r="K189" s="40">
        <f t="shared" ref="K189:K192" si="154">I189*F189</f>
        <v>5048</v>
      </c>
      <c r="L189" s="41">
        <f t="shared" ref="L189:L192" si="155">I189+H189</f>
        <v>2</v>
      </c>
      <c r="M189" s="41">
        <f t="shared" si="142"/>
        <v>12620</v>
      </c>
      <c r="N189" s="58"/>
    </row>
    <row r="190" spans="2:14" ht="15.75" x14ac:dyDescent="0.25">
      <c r="B190" s="76">
        <f>IF(G190&lt;&gt;"",COUNTA($G$12:G190),"")</f>
        <v>132</v>
      </c>
      <c r="C190" s="84"/>
      <c r="D190" s="55"/>
      <c r="E190" s="60" t="s">
        <v>103</v>
      </c>
      <c r="F190" s="67">
        <v>3126</v>
      </c>
      <c r="G190" s="55" t="s">
        <v>53</v>
      </c>
      <c r="H190" s="45">
        <v>1.5</v>
      </c>
      <c r="I190" s="40">
        <v>0.8</v>
      </c>
      <c r="J190" s="40">
        <f t="shared" si="153"/>
        <v>4689</v>
      </c>
      <c r="K190" s="40">
        <f t="shared" si="154"/>
        <v>2500.8000000000002</v>
      </c>
      <c r="L190" s="41">
        <f t="shared" si="155"/>
        <v>2.2999999999999998</v>
      </c>
      <c r="M190" s="41">
        <f t="shared" si="142"/>
        <v>7189.7999999999993</v>
      </c>
      <c r="N190" s="58"/>
    </row>
    <row r="191" spans="2:14" ht="15.75" x14ac:dyDescent="0.25">
      <c r="B191" s="76">
        <f>IF(G191&lt;&gt;"",COUNTA($G$12:G191),"")</f>
        <v>133</v>
      </c>
      <c r="C191" s="84"/>
      <c r="D191" s="76"/>
      <c r="E191" s="60" t="s">
        <v>234</v>
      </c>
      <c r="F191" s="67">
        <v>106</v>
      </c>
      <c r="G191" s="76" t="s">
        <v>52</v>
      </c>
      <c r="H191" s="45">
        <v>1</v>
      </c>
      <c r="I191" s="40">
        <v>2</v>
      </c>
      <c r="J191" s="40">
        <f t="shared" si="153"/>
        <v>106</v>
      </c>
      <c r="K191" s="40">
        <f t="shared" si="154"/>
        <v>212</v>
      </c>
      <c r="L191" s="41">
        <f t="shared" si="155"/>
        <v>3</v>
      </c>
      <c r="M191" s="41">
        <f t="shared" si="142"/>
        <v>318</v>
      </c>
      <c r="N191" s="58"/>
    </row>
    <row r="192" spans="2:14" ht="15.75" x14ac:dyDescent="0.25">
      <c r="B192" s="76">
        <f>IF(G192&lt;&gt;"",COUNTA($G$12:G192),"")</f>
        <v>134</v>
      </c>
      <c r="C192" s="83"/>
      <c r="D192" s="55"/>
      <c r="E192" s="60" t="s">
        <v>151</v>
      </c>
      <c r="F192" s="67">
        <v>11</v>
      </c>
      <c r="G192" s="55" t="s">
        <v>45</v>
      </c>
      <c r="H192" s="45">
        <v>80</v>
      </c>
      <c r="I192" s="40">
        <v>20</v>
      </c>
      <c r="J192" s="40">
        <f t="shared" si="153"/>
        <v>880</v>
      </c>
      <c r="K192" s="40">
        <f t="shared" si="154"/>
        <v>220</v>
      </c>
      <c r="L192" s="41">
        <f t="shared" si="155"/>
        <v>100</v>
      </c>
      <c r="M192" s="41">
        <f t="shared" si="142"/>
        <v>1100</v>
      </c>
      <c r="N192" s="58"/>
    </row>
    <row r="193" spans="2:14" ht="15.75" x14ac:dyDescent="0.25">
      <c r="B193" s="76" t="str">
        <f>IF(G193&lt;&gt;"",COUNTA($G$12:G193),"")</f>
        <v/>
      </c>
      <c r="C193" s="55"/>
      <c r="D193" s="55"/>
      <c r="E193" s="47" t="s">
        <v>2</v>
      </c>
      <c r="F193" s="67"/>
      <c r="G193" s="55"/>
      <c r="H193" s="45"/>
      <c r="I193" s="40"/>
      <c r="J193" s="40">
        <f>SUM(J125:J192)</f>
        <v>76014.952898496238</v>
      </c>
      <c r="K193" s="40">
        <f>SUM(K125:K192)</f>
        <v>100630.40987218045</v>
      </c>
      <c r="L193" s="41"/>
      <c r="M193" s="40">
        <f>SUM(M125:M192)</f>
        <v>176645.36277067667</v>
      </c>
      <c r="N193" s="58"/>
    </row>
    <row r="194" spans="2:14" ht="15.75" x14ac:dyDescent="0.25">
      <c r="B194" s="76" t="str">
        <f>IF(G194&lt;&gt;"",COUNTA($G$12:G194),"")</f>
        <v/>
      </c>
      <c r="C194" s="55"/>
      <c r="D194" s="55"/>
      <c r="E194" s="47"/>
      <c r="F194" s="67"/>
      <c r="G194" s="55"/>
      <c r="H194" s="45"/>
      <c r="I194" s="40"/>
      <c r="J194" s="40"/>
      <c r="K194" s="40"/>
      <c r="L194" s="41"/>
      <c r="M194" s="40"/>
      <c r="N194" s="58"/>
    </row>
    <row r="195" spans="2:14" ht="15.75" x14ac:dyDescent="0.25">
      <c r="B195" s="76" t="str">
        <f>IF(G195&lt;&gt;"",COUNTA($G$12:G195),"")</f>
        <v/>
      </c>
      <c r="C195" s="55"/>
      <c r="D195" s="55"/>
      <c r="E195" s="38" t="s">
        <v>155</v>
      </c>
      <c r="F195" s="67"/>
      <c r="G195" s="55"/>
      <c r="H195" s="45"/>
      <c r="I195" s="40"/>
      <c r="J195" s="40"/>
      <c r="K195" s="40"/>
      <c r="L195" s="41"/>
      <c r="M195" s="41"/>
      <c r="N195" s="58"/>
    </row>
    <row r="196" spans="2:14" ht="15.75" x14ac:dyDescent="0.25">
      <c r="B196" s="76">
        <f>IF(G196&lt;&gt;"",COUNTA($G$12:G196),"")</f>
        <v>135</v>
      </c>
      <c r="C196" s="82">
        <v>3</v>
      </c>
      <c r="D196" s="55"/>
      <c r="E196" s="60" t="s">
        <v>156</v>
      </c>
      <c r="F196" s="67">
        <v>3</v>
      </c>
      <c r="G196" s="55" t="s">
        <v>52</v>
      </c>
      <c r="H196" s="45">
        <v>50</v>
      </c>
      <c r="I196" s="40">
        <v>80</v>
      </c>
      <c r="J196" s="40">
        <f t="shared" ref="J196:J198" si="156">H196*F196</f>
        <v>150</v>
      </c>
      <c r="K196" s="40">
        <f t="shared" ref="K196:K198" si="157">I196*F196</f>
        <v>240</v>
      </c>
      <c r="L196" s="41">
        <f t="shared" ref="L196:L198" si="158">I196+H196</f>
        <v>130</v>
      </c>
      <c r="M196" s="41">
        <f t="shared" ref="M196:M198" si="159">L196*F196</f>
        <v>390</v>
      </c>
      <c r="N196" s="58"/>
    </row>
    <row r="197" spans="2:14" ht="15.75" x14ac:dyDescent="0.25">
      <c r="B197" s="76">
        <f>IF(G197&lt;&gt;"",COUNTA($G$12:G197),"")</f>
        <v>136</v>
      </c>
      <c r="C197" s="84"/>
      <c r="D197" s="55"/>
      <c r="E197" s="60" t="s">
        <v>157</v>
      </c>
      <c r="F197" s="67">
        <v>5.6</v>
      </c>
      <c r="G197" s="55" t="s">
        <v>53</v>
      </c>
      <c r="H197" s="45">
        <v>15</v>
      </c>
      <c r="I197" s="40">
        <v>25</v>
      </c>
      <c r="J197" s="40">
        <f t="shared" si="156"/>
        <v>84</v>
      </c>
      <c r="K197" s="40">
        <f t="shared" si="157"/>
        <v>140</v>
      </c>
      <c r="L197" s="41">
        <f t="shared" si="158"/>
        <v>40</v>
      </c>
      <c r="M197" s="41">
        <f t="shared" si="159"/>
        <v>224</v>
      </c>
      <c r="N197" s="58"/>
    </row>
    <row r="198" spans="2:14" ht="15.75" x14ac:dyDescent="0.25">
      <c r="B198" s="76">
        <f>IF(G198&lt;&gt;"",COUNTA($G$12:G198),"")</f>
        <v>137</v>
      </c>
      <c r="C198" s="84"/>
      <c r="D198" s="55"/>
      <c r="E198" s="60" t="s">
        <v>169</v>
      </c>
      <c r="F198" s="67">
        <v>16</v>
      </c>
      <c r="G198" s="55" t="s">
        <v>52</v>
      </c>
      <c r="H198" s="45">
        <v>65</v>
      </c>
      <c r="I198" s="40">
        <v>105</v>
      </c>
      <c r="J198" s="40">
        <f t="shared" si="156"/>
        <v>1040</v>
      </c>
      <c r="K198" s="40">
        <f t="shared" si="157"/>
        <v>1680</v>
      </c>
      <c r="L198" s="41">
        <f t="shared" si="158"/>
        <v>170</v>
      </c>
      <c r="M198" s="41">
        <f t="shared" si="159"/>
        <v>2720</v>
      </c>
      <c r="N198" s="58"/>
    </row>
    <row r="199" spans="2:14" ht="15.75" x14ac:dyDescent="0.25">
      <c r="B199" s="76">
        <f>IF(G199&lt;&gt;"",COUNTA($G$12:G199),"")</f>
        <v>138</v>
      </c>
      <c r="C199" s="83"/>
      <c r="D199" s="55"/>
      <c r="E199" s="60" t="s">
        <v>170</v>
      </c>
      <c r="F199" s="67">
        <v>32</v>
      </c>
      <c r="G199" s="55" t="s">
        <v>53</v>
      </c>
      <c r="H199" s="45">
        <v>8</v>
      </c>
      <c r="I199" s="40">
        <v>12</v>
      </c>
      <c r="J199" s="40">
        <f t="shared" ref="J199" si="160">H199*F199</f>
        <v>256</v>
      </c>
      <c r="K199" s="40">
        <f t="shared" ref="K199" si="161">I199*F199</f>
        <v>384</v>
      </c>
      <c r="L199" s="41">
        <f t="shared" ref="L199" si="162">I199+H199</f>
        <v>20</v>
      </c>
      <c r="M199" s="41">
        <f t="shared" ref="M199" si="163">L199*F199</f>
        <v>640</v>
      </c>
      <c r="N199" s="58"/>
    </row>
    <row r="200" spans="2:14" ht="15.75" x14ac:dyDescent="0.25">
      <c r="B200" s="76" t="str">
        <f>IF(G200&lt;&gt;"",COUNTA($G$12:G200),"")</f>
        <v/>
      </c>
      <c r="C200" s="55"/>
      <c r="D200" s="55"/>
      <c r="E200" s="47" t="s">
        <v>2</v>
      </c>
      <c r="F200" s="67"/>
      <c r="G200" s="55"/>
      <c r="H200" s="45"/>
      <c r="I200" s="40"/>
      <c r="J200" s="40">
        <f>SUM(J196:J199)</f>
        <v>1530</v>
      </c>
      <c r="K200" s="40">
        <f>SUM(K196:K199)</f>
        <v>2444</v>
      </c>
      <c r="L200" s="41"/>
      <c r="M200" s="40">
        <f>SUM(M196:M199)</f>
        <v>3974</v>
      </c>
      <c r="N200" s="58"/>
    </row>
    <row r="201" spans="2:14" ht="15.75" x14ac:dyDescent="0.25">
      <c r="B201" s="76" t="str">
        <f>IF(G201&lt;&gt;"",COUNTA($G$12:G201),"")</f>
        <v/>
      </c>
      <c r="C201" s="55"/>
      <c r="D201" s="55"/>
      <c r="E201" s="47"/>
      <c r="F201" s="67"/>
      <c r="G201" s="55"/>
      <c r="H201" s="45"/>
      <c r="I201" s="40"/>
      <c r="J201" s="40"/>
      <c r="K201" s="40"/>
      <c r="L201" s="41"/>
      <c r="M201" s="40"/>
      <c r="N201" s="58"/>
    </row>
    <row r="202" spans="2:14" ht="15.75" x14ac:dyDescent="0.25">
      <c r="B202" s="76" t="str">
        <f>IF(G202&lt;&gt;"",COUNTA($G$12:G202),"")</f>
        <v/>
      </c>
      <c r="C202" s="55"/>
      <c r="D202" s="55"/>
      <c r="E202" s="38" t="s">
        <v>162</v>
      </c>
      <c r="F202" s="67"/>
      <c r="G202" s="55"/>
      <c r="H202" s="45"/>
      <c r="I202" s="40"/>
      <c r="J202" s="40"/>
      <c r="K202" s="40"/>
      <c r="L202" s="41"/>
      <c r="M202" s="41"/>
      <c r="N202" s="58"/>
    </row>
    <row r="203" spans="2:14" ht="15.75" x14ac:dyDescent="0.25">
      <c r="B203" s="76">
        <f>IF(G203&lt;&gt;"",COUNTA($G$12:G203),"")</f>
        <v>139</v>
      </c>
      <c r="C203" s="82">
        <v>3</v>
      </c>
      <c r="D203" s="55"/>
      <c r="E203" s="60" t="s">
        <v>167</v>
      </c>
      <c r="F203" s="67">
        <v>1</v>
      </c>
      <c r="G203" s="55" t="s">
        <v>45</v>
      </c>
      <c r="H203" s="45">
        <v>125</v>
      </c>
      <c r="I203" s="40">
        <v>1200</v>
      </c>
      <c r="J203" s="40">
        <f t="shared" ref="J203:J204" si="164">H203*F203</f>
        <v>125</v>
      </c>
      <c r="K203" s="40">
        <f t="shared" ref="K203:K204" si="165">I203*F203</f>
        <v>1200</v>
      </c>
      <c r="L203" s="41">
        <f t="shared" ref="L203:L204" si="166">I203+H203</f>
        <v>1325</v>
      </c>
      <c r="M203" s="41">
        <f t="shared" ref="M203:M204" si="167">L203*F203</f>
        <v>1325</v>
      </c>
      <c r="N203" s="58"/>
    </row>
    <row r="204" spans="2:14" ht="15.75" x14ac:dyDescent="0.25">
      <c r="B204" s="76">
        <f>IF(G204&lt;&gt;"",COUNTA($G$12:G204),"")</f>
        <v>140</v>
      </c>
      <c r="C204" s="83"/>
      <c r="D204" s="55"/>
      <c r="E204" s="60" t="s">
        <v>168</v>
      </c>
      <c r="F204" s="67">
        <v>1</v>
      </c>
      <c r="G204" s="55" t="s">
        <v>45</v>
      </c>
      <c r="H204" s="45">
        <v>225</v>
      </c>
      <c r="I204" s="40">
        <v>600</v>
      </c>
      <c r="J204" s="40">
        <f t="shared" si="164"/>
        <v>225</v>
      </c>
      <c r="K204" s="40">
        <f t="shared" si="165"/>
        <v>600</v>
      </c>
      <c r="L204" s="41">
        <f t="shared" si="166"/>
        <v>825</v>
      </c>
      <c r="M204" s="41">
        <f t="shared" si="167"/>
        <v>825</v>
      </c>
      <c r="N204" s="58"/>
    </row>
    <row r="205" spans="2:14" ht="15.75" x14ac:dyDescent="0.25">
      <c r="B205" s="76" t="str">
        <f>IF(G205&lt;&gt;"",COUNTA($G$12:G205),"")</f>
        <v/>
      </c>
      <c r="C205" s="55"/>
      <c r="D205" s="55"/>
      <c r="E205" s="47" t="s">
        <v>2</v>
      </c>
      <c r="F205" s="67"/>
      <c r="G205" s="55"/>
      <c r="H205" s="45"/>
      <c r="I205" s="40"/>
      <c r="J205" s="40">
        <f>SUM(J203:J204)</f>
        <v>350</v>
      </c>
      <c r="K205" s="40">
        <f>SUM(K203:K204)</f>
        <v>1800</v>
      </c>
      <c r="L205" s="41"/>
      <c r="M205" s="40">
        <f>SUM(M203:M204)</f>
        <v>2150</v>
      </c>
      <c r="N205" s="58"/>
    </row>
    <row r="206" spans="2:14" ht="15.75" x14ac:dyDescent="0.25">
      <c r="B206" s="76" t="str">
        <f>IF(G206&lt;&gt;"",COUNTA($G$12:G206),"")</f>
        <v/>
      </c>
      <c r="C206" s="55"/>
      <c r="D206" s="55"/>
      <c r="E206" s="60"/>
      <c r="F206" s="67"/>
      <c r="G206" s="55"/>
      <c r="H206" s="45"/>
      <c r="I206" s="40"/>
      <c r="J206" s="40"/>
      <c r="K206" s="40"/>
      <c r="L206" s="41"/>
      <c r="M206" s="40"/>
      <c r="N206" s="58"/>
    </row>
    <row r="207" spans="2:14" ht="15.75" x14ac:dyDescent="0.25">
      <c r="B207" s="76" t="str">
        <f>IF(G207&lt;&gt;"",COUNTA($G$12:G207),"")</f>
        <v/>
      </c>
      <c r="C207" s="55"/>
      <c r="D207" s="55"/>
      <c r="E207" s="38" t="s">
        <v>131</v>
      </c>
      <c r="F207" s="67"/>
      <c r="G207" s="55"/>
      <c r="H207" s="45"/>
      <c r="I207" s="40"/>
      <c r="J207" s="40"/>
      <c r="K207" s="40"/>
      <c r="L207" s="41"/>
      <c r="M207" s="41"/>
      <c r="N207" s="58"/>
    </row>
    <row r="208" spans="2:14" ht="15.75" x14ac:dyDescent="0.25">
      <c r="B208" s="76">
        <f>IF(G208&lt;&gt;"",COUNTA($G$12:G208),"")</f>
        <v>141</v>
      </c>
      <c r="C208" s="82">
        <v>3</v>
      </c>
      <c r="D208" s="55"/>
      <c r="E208" s="60" t="s">
        <v>152</v>
      </c>
      <c r="F208" s="67">
        <v>3400</v>
      </c>
      <c r="G208" s="55" t="s">
        <v>53</v>
      </c>
      <c r="H208" s="45">
        <v>1.5</v>
      </c>
      <c r="I208" s="40">
        <v>3.5</v>
      </c>
      <c r="J208" s="40">
        <f t="shared" ref="J208:J216" si="168">H208*F208</f>
        <v>5100</v>
      </c>
      <c r="K208" s="40">
        <f t="shared" ref="K208:K216" si="169">I208*F208</f>
        <v>11900</v>
      </c>
      <c r="L208" s="41">
        <f t="shared" ref="L208:L216" si="170">I208+H208</f>
        <v>5</v>
      </c>
      <c r="M208" s="41">
        <f t="shared" ref="M208:M216" si="171">L208*F208</f>
        <v>17000</v>
      </c>
      <c r="N208" s="58"/>
    </row>
    <row r="209" spans="2:14" ht="15.75" x14ac:dyDescent="0.25">
      <c r="B209" s="76">
        <f>IF(G209&lt;&gt;"",COUNTA($G$12:G209),"")</f>
        <v>142</v>
      </c>
      <c r="C209" s="84"/>
      <c r="D209" s="55"/>
      <c r="E209" s="60" t="s">
        <v>164</v>
      </c>
      <c r="F209" s="67">
        <v>1</v>
      </c>
      <c r="G209" s="55" t="s">
        <v>45</v>
      </c>
      <c r="H209" s="45">
        <v>116</v>
      </c>
      <c r="I209" s="40">
        <v>1100</v>
      </c>
      <c r="J209" s="40">
        <f t="shared" si="168"/>
        <v>116</v>
      </c>
      <c r="K209" s="40">
        <f t="shared" si="169"/>
        <v>1100</v>
      </c>
      <c r="L209" s="41">
        <f t="shared" si="170"/>
        <v>1216</v>
      </c>
      <c r="M209" s="41">
        <f t="shared" si="171"/>
        <v>1216</v>
      </c>
      <c r="N209" s="58"/>
    </row>
    <row r="210" spans="2:14" ht="15.75" x14ac:dyDescent="0.25">
      <c r="B210" s="76">
        <f>IF(G210&lt;&gt;"",COUNTA($G$12:G210),"")</f>
        <v>143</v>
      </c>
      <c r="C210" s="84"/>
      <c r="D210" s="55"/>
      <c r="E210" s="60" t="s">
        <v>163</v>
      </c>
      <c r="F210" s="67">
        <v>1</v>
      </c>
      <c r="G210" s="55" t="s">
        <v>45</v>
      </c>
      <c r="H210" s="45">
        <v>116</v>
      </c>
      <c r="I210" s="40">
        <v>1100</v>
      </c>
      <c r="J210" s="40">
        <f t="shared" si="168"/>
        <v>116</v>
      </c>
      <c r="K210" s="40">
        <f t="shared" si="169"/>
        <v>1100</v>
      </c>
      <c r="L210" s="41">
        <f t="shared" si="170"/>
        <v>1216</v>
      </c>
      <c r="M210" s="41">
        <f t="shared" si="171"/>
        <v>1216</v>
      </c>
      <c r="N210" s="58"/>
    </row>
    <row r="211" spans="2:14" ht="15.75" x14ac:dyDescent="0.25">
      <c r="B211" s="76">
        <f>IF(G211&lt;&gt;"",COUNTA($G$12:G211),"")</f>
        <v>144</v>
      </c>
      <c r="C211" s="84"/>
      <c r="D211" s="55"/>
      <c r="E211" s="60" t="s">
        <v>165</v>
      </c>
      <c r="F211" s="67">
        <v>1</v>
      </c>
      <c r="G211" s="55" t="s">
        <v>45</v>
      </c>
      <c r="H211" s="45">
        <v>116</v>
      </c>
      <c r="I211" s="40">
        <v>1100</v>
      </c>
      <c r="J211" s="40">
        <f t="shared" ref="J211" si="172">H211*F211</f>
        <v>116</v>
      </c>
      <c r="K211" s="40">
        <f t="shared" ref="K211" si="173">I211*F211</f>
        <v>1100</v>
      </c>
      <c r="L211" s="41">
        <f t="shared" ref="L211" si="174">I211+H211</f>
        <v>1216</v>
      </c>
      <c r="M211" s="41">
        <f t="shared" ref="M211" si="175">L211*F211</f>
        <v>1216</v>
      </c>
      <c r="N211" s="58"/>
    </row>
    <row r="212" spans="2:14" ht="15.75" x14ac:dyDescent="0.25">
      <c r="B212" s="76">
        <f>IF(G212&lt;&gt;"",COUNTA($G$12:G212),"")</f>
        <v>145</v>
      </c>
      <c r="C212" s="84"/>
      <c r="D212" s="55"/>
      <c r="E212" s="60" t="s">
        <v>112</v>
      </c>
      <c r="F212" s="67">
        <v>1</v>
      </c>
      <c r="G212" s="55" t="s">
        <v>45</v>
      </c>
      <c r="H212" s="45">
        <v>145</v>
      </c>
      <c r="I212" s="40">
        <v>446</v>
      </c>
      <c r="J212" s="40">
        <f t="shared" si="168"/>
        <v>145</v>
      </c>
      <c r="K212" s="40">
        <f t="shared" si="169"/>
        <v>446</v>
      </c>
      <c r="L212" s="41">
        <f t="shared" si="170"/>
        <v>591</v>
      </c>
      <c r="M212" s="41">
        <f t="shared" si="171"/>
        <v>591</v>
      </c>
      <c r="N212" s="58"/>
    </row>
    <row r="213" spans="2:14" ht="15.75" x14ac:dyDescent="0.25">
      <c r="B213" s="76">
        <f>IF(G213&lt;&gt;"",COUNTA($G$12:G213),"")</f>
        <v>146</v>
      </c>
      <c r="C213" s="84"/>
      <c r="D213" s="55"/>
      <c r="E213" s="60" t="s">
        <v>113</v>
      </c>
      <c r="F213" s="67">
        <v>1</v>
      </c>
      <c r="G213" s="55" t="s">
        <v>45</v>
      </c>
      <c r="H213" s="45">
        <v>58</v>
      </c>
      <c r="I213" s="40">
        <v>157</v>
      </c>
      <c r="J213" s="40">
        <f t="shared" si="168"/>
        <v>58</v>
      </c>
      <c r="K213" s="40">
        <f t="shared" si="169"/>
        <v>157</v>
      </c>
      <c r="L213" s="41">
        <f t="shared" si="170"/>
        <v>215</v>
      </c>
      <c r="M213" s="41">
        <f t="shared" si="171"/>
        <v>215</v>
      </c>
      <c r="N213" s="58"/>
    </row>
    <row r="214" spans="2:14" ht="15.75" x14ac:dyDescent="0.25">
      <c r="B214" s="76">
        <f>IF(G214&lt;&gt;"",COUNTA($G$12:G214),"")</f>
        <v>147</v>
      </c>
      <c r="C214" s="84"/>
      <c r="D214" s="55"/>
      <c r="E214" s="60" t="s">
        <v>166</v>
      </c>
      <c r="F214" s="67">
        <v>1</v>
      </c>
      <c r="G214" s="55" t="s">
        <v>45</v>
      </c>
      <c r="H214" s="45">
        <v>100</v>
      </c>
      <c r="I214" s="40">
        <v>350</v>
      </c>
      <c r="J214" s="40">
        <f t="shared" si="168"/>
        <v>100</v>
      </c>
      <c r="K214" s="40">
        <f t="shared" si="169"/>
        <v>350</v>
      </c>
      <c r="L214" s="41">
        <f t="shared" si="170"/>
        <v>450</v>
      </c>
      <c r="M214" s="41">
        <f t="shared" si="171"/>
        <v>450</v>
      </c>
      <c r="N214" s="58"/>
    </row>
    <row r="215" spans="2:14" ht="15.75" x14ac:dyDescent="0.25">
      <c r="B215" s="76">
        <f>IF(G215&lt;&gt;"",COUNTA($G$12:G215),"")</f>
        <v>148</v>
      </c>
      <c r="C215" s="84"/>
      <c r="D215" s="55"/>
      <c r="E215" s="60" t="s">
        <v>175</v>
      </c>
      <c r="F215" s="67">
        <v>2</v>
      </c>
      <c r="G215" s="55" t="s">
        <v>45</v>
      </c>
      <c r="H215" s="45">
        <v>50</v>
      </c>
      <c r="I215" s="40">
        <v>60</v>
      </c>
      <c r="J215" s="40">
        <f t="shared" ref="J215" si="176">H215*F215</f>
        <v>100</v>
      </c>
      <c r="K215" s="40">
        <f t="shared" ref="K215" si="177">I215*F215</f>
        <v>120</v>
      </c>
      <c r="L215" s="41">
        <f t="shared" ref="L215" si="178">I215+H215</f>
        <v>110</v>
      </c>
      <c r="M215" s="41">
        <f t="shared" ref="M215" si="179">L215*F215</f>
        <v>220</v>
      </c>
      <c r="N215" s="58"/>
    </row>
    <row r="216" spans="2:14" ht="15.75" x14ac:dyDescent="0.25">
      <c r="B216" s="76">
        <f>IF(G216&lt;&gt;"",COUNTA($G$12:G216),"")</f>
        <v>149</v>
      </c>
      <c r="C216" s="83"/>
      <c r="D216" s="55"/>
      <c r="E216" s="60" t="s">
        <v>116</v>
      </c>
      <c r="F216" s="67">
        <v>6</v>
      </c>
      <c r="G216" s="55" t="s">
        <v>45</v>
      </c>
      <c r="H216" s="45">
        <v>50</v>
      </c>
      <c r="I216" s="40">
        <v>80</v>
      </c>
      <c r="J216" s="40">
        <f t="shared" si="168"/>
        <v>300</v>
      </c>
      <c r="K216" s="40">
        <f t="shared" si="169"/>
        <v>480</v>
      </c>
      <c r="L216" s="41">
        <f t="shared" si="170"/>
        <v>130</v>
      </c>
      <c r="M216" s="41">
        <f t="shared" si="171"/>
        <v>780</v>
      </c>
      <c r="N216" s="58"/>
    </row>
    <row r="217" spans="2:14" ht="15.75" x14ac:dyDescent="0.25">
      <c r="B217" s="76" t="str">
        <f>IF(G217&lt;&gt;"",COUNTA($G$12:G217),"")</f>
        <v/>
      </c>
      <c r="C217" s="55"/>
      <c r="D217" s="55"/>
      <c r="E217" s="47" t="s">
        <v>2</v>
      </c>
      <c r="F217" s="67"/>
      <c r="G217" s="39"/>
      <c r="H217" s="45"/>
      <c r="I217" s="40"/>
      <c r="J217" s="40">
        <f>SUM(J208:J216)</f>
        <v>6151</v>
      </c>
      <c r="K217" s="40">
        <f>SUM(K208:K216)</f>
        <v>16753</v>
      </c>
      <c r="L217" s="41"/>
      <c r="M217" s="40">
        <f>SUM(M208:M216)</f>
        <v>22904</v>
      </c>
      <c r="N217" s="58"/>
    </row>
    <row r="218" spans="2:14" ht="15.75" x14ac:dyDescent="0.25">
      <c r="B218" s="76" t="str">
        <f>IF(G218&lt;&gt;"",COUNTA($G$12:G218),"")</f>
        <v/>
      </c>
      <c r="C218" s="55"/>
      <c r="D218" s="55"/>
      <c r="E218" s="47"/>
      <c r="F218" s="67"/>
      <c r="G218" s="55"/>
      <c r="H218" s="45"/>
      <c r="I218" s="40"/>
      <c r="J218" s="40"/>
      <c r="K218" s="40"/>
      <c r="L218" s="41"/>
      <c r="M218" s="41"/>
      <c r="N218" s="58"/>
    </row>
    <row r="219" spans="2:14" ht="15.75" x14ac:dyDescent="0.25">
      <c r="B219" s="76" t="str">
        <f>IF(G219&lt;&gt;"",COUNTA($G$12:G219),"")</f>
        <v/>
      </c>
      <c r="C219" s="55"/>
      <c r="D219" s="55"/>
      <c r="E219" s="38" t="s">
        <v>153</v>
      </c>
      <c r="F219" s="67"/>
      <c r="G219" s="55"/>
      <c r="H219" s="45"/>
      <c r="I219" s="40"/>
      <c r="J219" s="40"/>
      <c r="K219" s="40"/>
      <c r="L219" s="41"/>
      <c r="M219" s="41"/>
      <c r="N219" s="58"/>
    </row>
    <row r="220" spans="2:14" ht="15.75" x14ac:dyDescent="0.25">
      <c r="B220" s="76">
        <f>IF(G220&lt;&gt;"",COUNTA($G$12:G220),"")</f>
        <v>150</v>
      </c>
      <c r="C220" s="82">
        <v>3</v>
      </c>
      <c r="D220" s="55"/>
      <c r="E220" s="60" t="s">
        <v>154</v>
      </c>
      <c r="F220" s="67">
        <v>1</v>
      </c>
      <c r="G220" s="55" t="s">
        <v>45</v>
      </c>
      <c r="H220" s="45">
        <v>210</v>
      </c>
      <c r="I220" s="40">
        <v>330</v>
      </c>
      <c r="J220" s="40">
        <f t="shared" ref="J220:J221" si="180">H220*F220</f>
        <v>210</v>
      </c>
      <c r="K220" s="40">
        <f t="shared" ref="K220:K221" si="181">I220*F220</f>
        <v>330</v>
      </c>
      <c r="L220" s="41">
        <f t="shared" ref="L220:L221" si="182">I220+H220</f>
        <v>540</v>
      </c>
      <c r="M220" s="41">
        <f t="shared" ref="M220:M221" si="183">L220*F220</f>
        <v>540</v>
      </c>
      <c r="N220" s="58"/>
    </row>
    <row r="221" spans="2:14" ht="15.75" x14ac:dyDescent="0.25">
      <c r="B221" s="76">
        <f>IF(G221&lt;&gt;"",COUNTA($G$12:G221),"")</f>
        <v>151</v>
      </c>
      <c r="C221" s="84"/>
      <c r="D221" s="55"/>
      <c r="E221" s="60" t="s">
        <v>255</v>
      </c>
      <c r="F221" s="67">
        <v>1</v>
      </c>
      <c r="G221" s="55" t="s">
        <v>45</v>
      </c>
      <c r="H221" s="45">
        <v>185</v>
      </c>
      <c r="I221" s="40">
        <v>1100</v>
      </c>
      <c r="J221" s="40">
        <f t="shared" si="180"/>
        <v>185</v>
      </c>
      <c r="K221" s="40">
        <f t="shared" si="181"/>
        <v>1100</v>
      </c>
      <c r="L221" s="41">
        <f t="shared" si="182"/>
        <v>1285</v>
      </c>
      <c r="M221" s="41">
        <f t="shared" si="183"/>
        <v>1285</v>
      </c>
      <c r="N221" s="58"/>
    </row>
    <row r="222" spans="2:14" ht="15.75" x14ac:dyDescent="0.25">
      <c r="B222" s="76">
        <f>IF(G222&lt;&gt;"",COUNTA($G$12:G222),"")</f>
        <v>152</v>
      </c>
      <c r="C222" s="83"/>
      <c r="D222" s="55"/>
      <c r="E222" s="60" t="s">
        <v>183</v>
      </c>
      <c r="F222" s="67">
        <v>3400</v>
      </c>
      <c r="G222" s="55" t="s">
        <v>53</v>
      </c>
      <c r="H222" s="45">
        <v>1.5</v>
      </c>
      <c r="I222" s="40">
        <v>3</v>
      </c>
      <c r="J222" s="40">
        <f t="shared" ref="J222" si="184">H222*F222</f>
        <v>5100</v>
      </c>
      <c r="K222" s="40">
        <f t="shared" ref="K222" si="185">I222*F222</f>
        <v>10200</v>
      </c>
      <c r="L222" s="41">
        <f t="shared" ref="L222" si="186">I222+H222</f>
        <v>4.5</v>
      </c>
      <c r="M222" s="41">
        <f t="shared" ref="M222" si="187">L222*F222</f>
        <v>15300</v>
      </c>
      <c r="N222" s="58"/>
    </row>
    <row r="223" spans="2:14" ht="15.75" x14ac:dyDescent="0.25">
      <c r="B223" s="76" t="str">
        <f>IF(G223&lt;&gt;"",COUNTA($G$12:G223),"")</f>
        <v/>
      </c>
      <c r="C223" s="55"/>
      <c r="D223" s="55"/>
      <c r="E223" s="47" t="s">
        <v>2</v>
      </c>
      <c r="F223" s="67"/>
      <c r="G223" s="39"/>
      <c r="H223" s="45"/>
      <c r="I223" s="40"/>
      <c r="J223" s="40">
        <f>SUM(J220:J222)</f>
        <v>5495</v>
      </c>
      <c r="K223" s="40">
        <f>SUM(K220:K222)</f>
        <v>11630</v>
      </c>
      <c r="L223" s="41"/>
      <c r="M223" s="40">
        <f>SUM(M220:M222)</f>
        <v>17125</v>
      </c>
      <c r="N223" s="58"/>
    </row>
    <row r="224" spans="2:14" ht="15.75" x14ac:dyDescent="0.25">
      <c r="B224" s="76" t="str">
        <f>IF(G224&lt;&gt;"",COUNTA($G$12:G224),"")</f>
        <v/>
      </c>
      <c r="C224" s="55"/>
      <c r="D224" s="55"/>
      <c r="E224" s="47"/>
      <c r="F224" s="69"/>
      <c r="G224" s="55"/>
      <c r="H224" s="45"/>
      <c r="I224" s="40"/>
      <c r="J224" s="40"/>
      <c r="K224" s="40"/>
      <c r="L224" s="41"/>
      <c r="M224" s="41"/>
      <c r="N224" s="58"/>
    </row>
    <row r="225" spans="2:14" ht="15.75" x14ac:dyDescent="0.25">
      <c r="B225" s="76" t="str">
        <f>IF(G225&lt;&gt;"",COUNTA($G$12:G225),"")</f>
        <v/>
      </c>
      <c r="C225" s="55"/>
      <c r="D225" s="55"/>
      <c r="E225" s="38" t="s">
        <v>130</v>
      </c>
      <c r="F225" s="67"/>
      <c r="G225" s="55"/>
      <c r="H225" s="45"/>
      <c r="I225" s="40"/>
      <c r="J225" s="40"/>
      <c r="K225" s="40"/>
      <c r="L225" s="41"/>
      <c r="M225" s="41"/>
      <c r="N225" s="58"/>
    </row>
    <row r="226" spans="2:14" ht="15.75" x14ac:dyDescent="0.25">
      <c r="B226" s="76">
        <f>IF(G226&lt;&gt;"",COUNTA($G$12:G226),"")</f>
        <v>153</v>
      </c>
      <c r="C226" s="81">
        <v>3</v>
      </c>
      <c r="D226" s="55"/>
      <c r="E226" s="60" t="s">
        <v>225</v>
      </c>
      <c r="F226" s="67">
        <v>24</v>
      </c>
      <c r="G226" s="55" t="s">
        <v>45</v>
      </c>
      <c r="H226" s="45">
        <v>60</v>
      </c>
      <c r="I226" s="40">
        <v>230</v>
      </c>
      <c r="J226" s="40">
        <f t="shared" ref="J226" si="188">H226*F226</f>
        <v>1440</v>
      </c>
      <c r="K226" s="40">
        <f t="shared" ref="K226" si="189">I226*F226</f>
        <v>5520</v>
      </c>
      <c r="L226" s="41">
        <f t="shared" ref="L226" si="190">I226+H226</f>
        <v>290</v>
      </c>
      <c r="M226" s="41">
        <f t="shared" si="142"/>
        <v>6960</v>
      </c>
      <c r="N226" s="58"/>
    </row>
    <row r="227" spans="2:14" ht="15.75" x14ac:dyDescent="0.25">
      <c r="B227" s="76">
        <f>IF(G227&lt;&gt;"",COUNTA($G$12:G227),"")</f>
        <v>154</v>
      </c>
      <c r="C227" s="81"/>
      <c r="D227" s="76"/>
      <c r="E227" s="60" t="s">
        <v>226</v>
      </c>
      <c r="F227" s="67">
        <v>12</v>
      </c>
      <c r="G227" s="76" t="s">
        <v>45</v>
      </c>
      <c r="H227" s="45">
        <v>60</v>
      </c>
      <c r="I227" s="40">
        <v>230</v>
      </c>
      <c r="J227" s="40">
        <f t="shared" ref="J227:J228" si="191">H227*F227</f>
        <v>720</v>
      </c>
      <c r="K227" s="40">
        <f t="shared" ref="K227:K228" si="192">I227*F227</f>
        <v>2760</v>
      </c>
      <c r="L227" s="41">
        <f t="shared" ref="L227:L228" si="193">I227+H227</f>
        <v>290</v>
      </c>
      <c r="M227" s="41">
        <f t="shared" ref="M227:M228" si="194">L227*F227</f>
        <v>3480</v>
      </c>
      <c r="N227" s="58"/>
    </row>
    <row r="228" spans="2:14" ht="15.75" x14ac:dyDescent="0.25">
      <c r="B228" s="76">
        <f>IF(G228&lt;&gt;"",COUNTA($G$12:G228),"")</f>
        <v>155</v>
      </c>
      <c r="C228" s="81"/>
      <c r="D228" s="76"/>
      <c r="E228" s="60" t="s">
        <v>227</v>
      </c>
      <c r="F228" s="67">
        <v>2</v>
      </c>
      <c r="G228" s="76" t="s">
        <v>45</v>
      </c>
      <c r="H228" s="45">
        <v>60</v>
      </c>
      <c r="I228" s="40">
        <v>400</v>
      </c>
      <c r="J228" s="40">
        <f t="shared" si="191"/>
        <v>120</v>
      </c>
      <c r="K228" s="40">
        <f t="shared" si="192"/>
        <v>800</v>
      </c>
      <c r="L228" s="41">
        <f t="shared" si="193"/>
        <v>460</v>
      </c>
      <c r="M228" s="41">
        <f t="shared" si="194"/>
        <v>920</v>
      </c>
      <c r="N228" s="58"/>
    </row>
    <row r="229" spans="2:14" ht="15.75" x14ac:dyDescent="0.25">
      <c r="B229" s="76">
        <f>IF(G229&lt;&gt;"",COUNTA($G$12:G229),"")</f>
        <v>156</v>
      </c>
      <c r="C229" s="81"/>
      <c r="D229" s="55"/>
      <c r="E229" s="60" t="s">
        <v>111</v>
      </c>
      <c r="F229" s="67">
        <v>2</v>
      </c>
      <c r="G229" s="55" t="s">
        <v>45</v>
      </c>
      <c r="H229" s="45">
        <v>35</v>
      </c>
      <c r="I229" s="40">
        <v>75</v>
      </c>
      <c r="J229" s="40">
        <f t="shared" ref="J229" si="195">H229*F229</f>
        <v>70</v>
      </c>
      <c r="K229" s="40">
        <f t="shared" ref="K229" si="196">I229*F229</f>
        <v>150</v>
      </c>
      <c r="L229" s="41">
        <f t="shared" ref="L229" si="197">I229+H229</f>
        <v>110</v>
      </c>
      <c r="M229" s="41">
        <f t="shared" si="142"/>
        <v>220</v>
      </c>
      <c r="N229" s="58"/>
    </row>
    <row r="230" spans="2:14" ht="15.75" x14ac:dyDescent="0.25">
      <c r="B230" s="76">
        <f>IF(G230&lt;&gt;"",COUNTA($G$12:G230),"")</f>
        <v>157</v>
      </c>
      <c r="C230" s="81"/>
      <c r="D230" s="55"/>
      <c r="E230" s="60" t="s">
        <v>160</v>
      </c>
      <c r="F230" s="67">
        <v>2</v>
      </c>
      <c r="G230" s="55" t="s">
        <v>45</v>
      </c>
      <c r="H230" s="45">
        <v>52</v>
      </c>
      <c r="I230" s="40">
        <v>500</v>
      </c>
      <c r="J230" s="40">
        <f t="shared" ref="J230:J234" si="198">H230*F230</f>
        <v>104</v>
      </c>
      <c r="K230" s="40">
        <f t="shared" ref="K230:K234" si="199">I230*F230</f>
        <v>1000</v>
      </c>
      <c r="L230" s="41">
        <f t="shared" ref="L230:L234" si="200">I230+H230</f>
        <v>552</v>
      </c>
      <c r="M230" s="41">
        <f t="shared" si="142"/>
        <v>1104</v>
      </c>
      <c r="N230" s="58"/>
    </row>
    <row r="231" spans="2:14" ht="15.75" x14ac:dyDescent="0.25">
      <c r="B231" s="76">
        <f>IF(G231&lt;&gt;"",COUNTA($G$12:G231),"")</f>
        <v>158</v>
      </c>
      <c r="C231" s="81"/>
      <c r="D231" s="55"/>
      <c r="E231" s="60" t="s">
        <v>161</v>
      </c>
      <c r="F231" s="67">
        <v>1</v>
      </c>
      <c r="G231" s="55" t="s">
        <v>45</v>
      </c>
      <c r="H231" s="45">
        <v>52</v>
      </c>
      <c r="I231" s="40">
        <v>400</v>
      </c>
      <c r="J231" s="40">
        <f t="shared" ref="J231:J232" si="201">H231*F231</f>
        <v>52</v>
      </c>
      <c r="K231" s="40">
        <f t="shared" ref="K231:K232" si="202">I231*F231</f>
        <v>400</v>
      </c>
      <c r="L231" s="41">
        <f t="shared" ref="L231:L232" si="203">I231+H231</f>
        <v>452</v>
      </c>
      <c r="M231" s="41">
        <f t="shared" ref="M231:M232" si="204">L231*F231</f>
        <v>452</v>
      </c>
      <c r="N231" s="58"/>
    </row>
    <row r="232" spans="2:14" ht="15.75" x14ac:dyDescent="0.25">
      <c r="B232" s="76">
        <f>IF(G232&lt;&gt;"",COUNTA($G$12:G232),"")</f>
        <v>159</v>
      </c>
      <c r="C232" s="81"/>
      <c r="D232" s="55"/>
      <c r="E232" s="60" t="s">
        <v>173</v>
      </c>
      <c r="F232" s="67">
        <v>1</v>
      </c>
      <c r="G232" s="55" t="s">
        <v>45</v>
      </c>
      <c r="H232" s="45">
        <v>200</v>
      </c>
      <c r="I232" s="40">
        <v>0</v>
      </c>
      <c r="J232" s="40">
        <f t="shared" si="201"/>
        <v>200</v>
      </c>
      <c r="K232" s="40">
        <f t="shared" si="202"/>
        <v>0</v>
      </c>
      <c r="L232" s="41">
        <f t="shared" si="203"/>
        <v>200</v>
      </c>
      <c r="M232" s="41">
        <f t="shared" si="204"/>
        <v>200</v>
      </c>
      <c r="N232" s="58"/>
    </row>
    <row r="233" spans="2:14" ht="15.75" x14ac:dyDescent="0.25">
      <c r="B233" s="76">
        <f>IF(G233&lt;&gt;"",COUNTA($G$12:G233),"")</f>
        <v>160</v>
      </c>
      <c r="C233" s="81"/>
      <c r="D233" s="55"/>
      <c r="E233" s="60" t="s">
        <v>172</v>
      </c>
      <c r="F233" s="67">
        <v>1</v>
      </c>
      <c r="G233" s="55" t="s">
        <v>45</v>
      </c>
      <c r="H233" s="45">
        <v>200</v>
      </c>
      <c r="I233" s="40">
        <v>1400</v>
      </c>
      <c r="J233" s="40">
        <f t="shared" si="198"/>
        <v>200</v>
      </c>
      <c r="K233" s="40">
        <f t="shared" si="199"/>
        <v>1400</v>
      </c>
      <c r="L233" s="41">
        <f t="shared" si="200"/>
        <v>1600</v>
      </c>
      <c r="M233" s="41">
        <f t="shared" si="142"/>
        <v>1600</v>
      </c>
      <c r="N233" s="58"/>
    </row>
    <row r="234" spans="2:14" ht="15.75" x14ac:dyDescent="0.25">
      <c r="B234" s="76">
        <f>IF(G234&lt;&gt;"",COUNTA($G$12:G234),"")</f>
        <v>161</v>
      </c>
      <c r="C234" s="81"/>
      <c r="D234" s="55"/>
      <c r="E234" s="60" t="s">
        <v>127</v>
      </c>
      <c r="F234" s="67">
        <v>3400</v>
      </c>
      <c r="G234" s="55" t="s">
        <v>53</v>
      </c>
      <c r="H234" s="45">
        <v>1.2</v>
      </c>
      <c r="I234" s="40">
        <v>2.8</v>
      </c>
      <c r="J234" s="40">
        <f t="shared" si="198"/>
        <v>4080</v>
      </c>
      <c r="K234" s="40">
        <f t="shared" si="199"/>
        <v>9520</v>
      </c>
      <c r="L234" s="41">
        <f t="shared" si="200"/>
        <v>4</v>
      </c>
      <c r="M234" s="41">
        <f t="shared" si="142"/>
        <v>13600</v>
      </c>
      <c r="N234" s="58"/>
    </row>
    <row r="235" spans="2:14" ht="15.75" x14ac:dyDescent="0.25">
      <c r="B235" s="76" t="str">
        <f>IF(G235&lt;&gt;"",COUNTA($G$12:G235),"")</f>
        <v/>
      </c>
      <c r="C235" s="55"/>
      <c r="D235" s="55"/>
      <c r="E235" s="47" t="s">
        <v>2</v>
      </c>
      <c r="F235" s="67"/>
      <c r="G235" s="39"/>
      <c r="H235" s="45"/>
      <c r="I235" s="40"/>
      <c r="J235" s="40">
        <f>SUM(J226:J234)</f>
        <v>6986</v>
      </c>
      <c r="K235" s="40">
        <f>SUM(K226:K234)</f>
        <v>21550</v>
      </c>
      <c r="L235" s="41"/>
      <c r="M235" s="40">
        <f>SUM(M226:M234)</f>
        <v>28536</v>
      </c>
      <c r="N235" s="58"/>
    </row>
    <row r="236" spans="2:14" ht="15.75" x14ac:dyDescent="0.25">
      <c r="B236" s="76" t="str">
        <f>IF(G236&lt;&gt;"",COUNTA($G$12:G236),"")</f>
        <v/>
      </c>
      <c r="C236" s="55"/>
      <c r="D236" s="55"/>
      <c r="E236" s="47"/>
      <c r="F236" s="67"/>
      <c r="G236" s="39"/>
      <c r="H236" s="45"/>
      <c r="I236" s="40"/>
      <c r="J236" s="40"/>
      <c r="K236" s="40"/>
      <c r="L236" s="41"/>
      <c r="M236" s="41"/>
      <c r="N236" s="58"/>
    </row>
    <row r="237" spans="2:14" ht="15.75" x14ac:dyDescent="0.25">
      <c r="B237" s="76" t="str">
        <f>IF(G237&lt;&gt;"",COUNTA($G$12:G237),"")</f>
        <v/>
      </c>
      <c r="C237" s="55"/>
      <c r="D237" s="55"/>
      <c r="E237" s="38" t="s">
        <v>132</v>
      </c>
      <c r="F237" s="67"/>
      <c r="G237" s="55"/>
      <c r="H237" s="45"/>
      <c r="I237" s="40"/>
      <c r="J237" s="40"/>
      <c r="K237" s="40"/>
      <c r="L237" s="41"/>
      <c r="M237" s="41"/>
      <c r="N237" s="58"/>
    </row>
    <row r="238" spans="2:14" ht="15.75" x14ac:dyDescent="0.25">
      <c r="B238" s="76">
        <f>IF(G238&lt;&gt;"",COUNTA($G$12:G238),"")</f>
        <v>162</v>
      </c>
      <c r="C238" s="82">
        <v>3</v>
      </c>
      <c r="D238" s="55"/>
      <c r="E238" s="60" t="s">
        <v>114</v>
      </c>
      <c r="F238" s="75">
        <f>29+(4976/27)</f>
        <v>213.2962962962963</v>
      </c>
      <c r="G238" s="55" t="s">
        <v>66</v>
      </c>
      <c r="H238" s="45">
        <v>30</v>
      </c>
      <c r="I238" s="40">
        <v>0</v>
      </c>
      <c r="J238" s="40">
        <f t="shared" ref="J238" si="205">H238*F238</f>
        <v>6398.8888888888887</v>
      </c>
      <c r="K238" s="40">
        <f t="shared" ref="K238" si="206">I238*F238</f>
        <v>0</v>
      </c>
      <c r="L238" s="41">
        <f t="shared" ref="L238" si="207">I238+H238</f>
        <v>30</v>
      </c>
      <c r="M238" s="41">
        <f t="shared" si="142"/>
        <v>6398.8888888888887</v>
      </c>
      <c r="N238" s="58"/>
    </row>
    <row r="239" spans="2:14" ht="15.75" x14ac:dyDescent="0.25">
      <c r="B239" s="76">
        <f>IF(G239&lt;&gt;"",COUNTA($G$12:G239),"")</f>
        <v>163</v>
      </c>
      <c r="C239" s="83"/>
      <c r="D239" s="55"/>
      <c r="E239" s="60" t="s">
        <v>199</v>
      </c>
      <c r="F239" s="67">
        <v>148</v>
      </c>
      <c r="G239" s="55" t="s">
        <v>66</v>
      </c>
      <c r="H239" s="45">
        <v>50</v>
      </c>
      <c r="I239" s="40">
        <v>30</v>
      </c>
      <c r="J239" s="40">
        <f t="shared" ref="J239" si="208">H239*F239</f>
        <v>7400</v>
      </c>
      <c r="K239" s="40">
        <f t="shared" ref="K239" si="209">I239*F239</f>
        <v>4440</v>
      </c>
      <c r="L239" s="41">
        <f t="shared" ref="L239" si="210">I239+H239</f>
        <v>80</v>
      </c>
      <c r="M239" s="41">
        <f t="shared" ref="M239" si="211">L239*F239</f>
        <v>11840</v>
      </c>
      <c r="N239" s="58"/>
    </row>
    <row r="240" spans="2:14" ht="15.75" x14ac:dyDescent="0.25">
      <c r="B240" s="76" t="str">
        <f>IF(G240&lt;&gt;"",COUNTA($G$12:G240),"")</f>
        <v/>
      </c>
      <c r="C240" s="55"/>
      <c r="D240" s="55"/>
      <c r="E240" s="47" t="s">
        <v>2</v>
      </c>
      <c r="F240" s="67"/>
      <c r="G240" s="39"/>
      <c r="H240" s="45"/>
      <c r="I240" s="40"/>
      <c r="J240" s="40">
        <f>SUM(J238:J239)</f>
        <v>13798.888888888889</v>
      </c>
      <c r="K240" s="40"/>
      <c r="L240" s="41"/>
      <c r="M240" s="40">
        <f>SUM(M238:M239)</f>
        <v>18238.888888888891</v>
      </c>
      <c r="N240" s="58"/>
    </row>
    <row r="241" spans="2:14" ht="15.75" x14ac:dyDescent="0.25">
      <c r="B241" s="76" t="str">
        <f>IF(G241&lt;&gt;"",COUNTA($G$12:G241),"")</f>
        <v/>
      </c>
      <c r="C241" s="55"/>
      <c r="D241" s="55"/>
      <c r="E241" s="47"/>
      <c r="F241" s="67"/>
      <c r="G241" s="39"/>
      <c r="H241" s="45"/>
      <c r="I241" s="40"/>
      <c r="J241" s="40"/>
      <c r="K241" s="40"/>
      <c r="L241" s="41"/>
      <c r="M241" s="41"/>
      <c r="N241" s="58"/>
    </row>
    <row r="242" spans="2:14" ht="15" x14ac:dyDescent="0.25">
      <c r="B242" s="76" t="str">
        <f>IF(G242&lt;&gt;"",COUNTA($G$12:G242),"")</f>
        <v/>
      </c>
      <c r="C242" s="55"/>
      <c r="D242" s="55"/>
      <c r="E242" s="47" t="s">
        <v>137</v>
      </c>
      <c r="F242" s="39"/>
      <c r="G242" s="39"/>
      <c r="H242" s="41"/>
      <c r="I242" s="41"/>
      <c r="J242" s="52">
        <f>SUM(J240+J235+J223+J217+J200+J193+J120+J106+J94+J76+J59+J55+J36+J19+J205)</f>
        <v>245775.97774031898</v>
      </c>
      <c r="K242" s="52">
        <f>SUM(K240+K235+K223+K217+K200+K193+K120+K106+K94+K76+K59+K55+K36+K19+K205)</f>
        <v>330650.24390659574</v>
      </c>
      <c r="L242" s="41"/>
      <c r="M242" s="52">
        <f>SUM(M240+M235+M223+M217+M200+M193+M120+M106+M94+M76+M59+M55+M36+M19+M205)</f>
        <v>580866.22164691472</v>
      </c>
      <c r="N242" s="58"/>
    </row>
    <row r="243" spans="2:14" ht="15" x14ac:dyDescent="0.25">
      <c r="B243" s="76" t="str">
        <f>IF(G243&lt;&gt;"",COUNTA($G$12:G243),"")</f>
        <v/>
      </c>
      <c r="C243" s="55"/>
      <c r="D243" s="55"/>
      <c r="E243" s="47" t="s">
        <v>138</v>
      </c>
      <c r="F243" s="53">
        <v>0.35</v>
      </c>
      <c r="G243" s="39"/>
      <c r="H243" s="39"/>
      <c r="I243" s="39"/>
      <c r="J243" s="39"/>
      <c r="K243" s="55"/>
      <c r="L243" s="39"/>
      <c r="M243" s="54">
        <f>M242*(F243)</f>
        <v>203303.17757642013</v>
      </c>
      <c r="N243" s="58"/>
    </row>
    <row r="244" spans="2:14" ht="15" x14ac:dyDescent="0.25">
      <c r="B244" s="76" t="str">
        <f>IF(G244&lt;&gt;"",COUNTA($G$12:G244),"")</f>
        <v/>
      </c>
      <c r="C244" s="55"/>
      <c r="D244" s="55"/>
      <c r="E244" s="47" t="s">
        <v>139</v>
      </c>
      <c r="F244" s="53"/>
      <c r="G244" s="39"/>
      <c r="H244" s="39"/>
      <c r="I244" s="39"/>
      <c r="J244" s="39"/>
      <c r="K244" s="55"/>
      <c r="L244" s="39"/>
      <c r="M244" s="54">
        <f>M243+M242</f>
        <v>784169.39922333485</v>
      </c>
      <c r="N244" s="58"/>
    </row>
    <row r="245" spans="2:14" ht="15" x14ac:dyDescent="0.25">
      <c r="B245" s="76" t="str">
        <f>IF(G245&lt;&gt;"",COUNTA($G$12:G245),"")</f>
        <v/>
      </c>
      <c r="C245" s="55"/>
      <c r="D245" s="55"/>
      <c r="E245" s="47"/>
      <c r="F245" s="53"/>
      <c r="G245" s="39"/>
      <c r="H245" s="39"/>
      <c r="I245" s="39"/>
      <c r="J245" s="39"/>
      <c r="K245" s="55"/>
      <c r="L245" s="39"/>
      <c r="M245" s="54"/>
      <c r="N245" s="58"/>
    </row>
    <row r="246" spans="2:14" ht="15" x14ac:dyDescent="0.25">
      <c r="B246" s="76" t="str">
        <f>IF(G246&lt;&gt;"",COUNTA($G$12:G246),"")</f>
        <v/>
      </c>
      <c r="C246" s="55"/>
      <c r="D246" s="55"/>
      <c r="E246" s="47"/>
      <c r="F246" s="53"/>
      <c r="G246" s="39"/>
      <c r="H246" s="39"/>
      <c r="I246" s="39"/>
      <c r="J246" s="39"/>
      <c r="K246" s="55"/>
      <c r="L246" s="39"/>
      <c r="M246" s="54"/>
      <c r="N246" s="58"/>
    </row>
    <row r="247" spans="2:14" ht="15" x14ac:dyDescent="0.25">
      <c r="B247" s="76" t="str">
        <f>IF(G247&lt;&gt;"",COUNTA($G$12:G247),"")</f>
        <v/>
      </c>
      <c r="C247" s="55"/>
      <c r="D247" s="55"/>
      <c r="E247" s="74"/>
      <c r="F247" s="53"/>
      <c r="G247" s="39"/>
      <c r="H247" s="39"/>
      <c r="I247" s="39"/>
      <c r="J247" s="39"/>
      <c r="K247" s="55"/>
      <c r="L247" s="39"/>
      <c r="M247" s="54"/>
      <c r="N247" s="58"/>
    </row>
    <row r="248" spans="2:14" ht="15.75" x14ac:dyDescent="0.25">
      <c r="B248" s="76">
        <f>IF(G248&lt;&gt;"",COUNTA($G$12:G248),"")</f>
        <v>164</v>
      </c>
      <c r="C248" s="55"/>
      <c r="D248" s="55"/>
      <c r="E248" s="60" t="s">
        <v>159</v>
      </c>
      <c r="F248" s="67">
        <v>1</v>
      </c>
      <c r="G248" s="55" t="s">
        <v>45</v>
      </c>
      <c r="H248" s="45">
        <v>145</v>
      </c>
      <c r="I248" s="40">
        <v>446</v>
      </c>
      <c r="J248" s="40">
        <f t="shared" ref="J248:J249" si="212">H248*F248</f>
        <v>145</v>
      </c>
      <c r="K248" s="40">
        <f t="shared" ref="K248:K249" si="213">I248*F248</f>
        <v>446</v>
      </c>
      <c r="L248" s="41">
        <f t="shared" ref="L248:L249" si="214">I248+H248</f>
        <v>591</v>
      </c>
      <c r="M248" s="41">
        <f t="shared" ref="M248:M249" si="215">L248*F248</f>
        <v>591</v>
      </c>
      <c r="N248" s="58"/>
    </row>
    <row r="249" spans="2:14" ht="47.25" x14ac:dyDescent="0.25">
      <c r="B249" s="76">
        <f>IF(G249&lt;&gt;"",COUNTA($G$12:G249),"")</f>
        <v>165</v>
      </c>
      <c r="C249" s="76"/>
      <c r="D249" s="76"/>
      <c r="E249" s="60" t="s">
        <v>189</v>
      </c>
      <c r="F249" s="78">
        <f>120/27</f>
        <v>4.4444444444444446</v>
      </c>
      <c r="G249" s="76" t="s">
        <v>66</v>
      </c>
      <c r="H249" s="45">
        <v>100</v>
      </c>
      <c r="I249" s="40">
        <v>300</v>
      </c>
      <c r="J249" s="40">
        <f t="shared" si="212"/>
        <v>444.44444444444446</v>
      </c>
      <c r="K249" s="40">
        <f t="shared" si="213"/>
        <v>1333.3333333333335</v>
      </c>
      <c r="L249" s="41">
        <f t="shared" si="214"/>
        <v>400</v>
      </c>
      <c r="M249" s="41">
        <f t="shared" si="215"/>
        <v>1777.7777777777778</v>
      </c>
      <c r="N249" s="58"/>
    </row>
    <row r="250" spans="2:14" ht="15.75" x14ac:dyDescent="0.25">
      <c r="B250" s="76">
        <f>IF(G250&lt;&gt;"",COUNTA($G$12:G250),"")</f>
        <v>166</v>
      </c>
      <c r="C250" s="76"/>
      <c r="D250" s="76"/>
      <c r="E250" s="60" t="s">
        <v>197</v>
      </c>
      <c r="F250" s="67">
        <v>320</v>
      </c>
      <c r="G250" s="76" t="s">
        <v>53</v>
      </c>
      <c r="H250" s="45">
        <v>1.5</v>
      </c>
      <c r="I250" s="40">
        <v>2</v>
      </c>
      <c r="J250" s="40">
        <f t="shared" ref="J250" si="216">H250*F250</f>
        <v>480</v>
      </c>
      <c r="K250" s="40">
        <f t="shared" ref="K250" si="217">I250*F250</f>
        <v>640</v>
      </c>
      <c r="L250" s="41">
        <f t="shared" ref="L250" si="218">I250+H250</f>
        <v>3.5</v>
      </c>
      <c r="M250" s="41">
        <f t="shared" ref="M250" si="219">L250*F250</f>
        <v>1120</v>
      </c>
      <c r="N250" s="58"/>
    </row>
    <row r="251" spans="2:14" ht="15.75" x14ac:dyDescent="0.25">
      <c r="B251" s="76">
        <f>IF(G251&lt;&gt;"",COUNTA($G$12:G251),"")</f>
        <v>167</v>
      </c>
      <c r="C251" s="76"/>
      <c r="D251" s="76"/>
      <c r="E251" s="60" t="s">
        <v>200</v>
      </c>
      <c r="F251" s="67">
        <v>315</v>
      </c>
      <c r="G251" s="76" t="s">
        <v>52</v>
      </c>
      <c r="H251" s="45">
        <v>1.5</v>
      </c>
      <c r="I251" s="40">
        <v>1.5</v>
      </c>
      <c r="J251" s="40">
        <f t="shared" ref="J251:J252" si="220">H251*F251</f>
        <v>472.5</v>
      </c>
      <c r="K251" s="40">
        <f t="shared" ref="K251:K252" si="221">I251*F251</f>
        <v>472.5</v>
      </c>
      <c r="L251" s="41">
        <f t="shared" ref="L251:L252" si="222">I251+H251</f>
        <v>3</v>
      </c>
      <c r="M251" s="41">
        <f t="shared" ref="M251:M252" si="223">L251*F251</f>
        <v>945</v>
      </c>
      <c r="N251" s="58"/>
    </row>
    <row r="252" spans="2:14" ht="15.75" x14ac:dyDescent="0.25">
      <c r="B252" s="76">
        <f>IF(G252&lt;&gt;"",COUNTA($G$12:G252),"")</f>
        <v>168</v>
      </c>
      <c r="C252" s="76"/>
      <c r="D252" s="76"/>
      <c r="E252" s="60" t="s">
        <v>201</v>
      </c>
      <c r="F252" s="67">
        <f>F251*2</f>
        <v>630</v>
      </c>
      <c r="G252" s="76" t="s">
        <v>53</v>
      </c>
      <c r="H252" s="45">
        <v>2</v>
      </c>
      <c r="I252" s="40">
        <v>3</v>
      </c>
      <c r="J252" s="40">
        <f t="shared" si="220"/>
        <v>1260</v>
      </c>
      <c r="K252" s="40">
        <f t="shared" si="221"/>
        <v>1890</v>
      </c>
      <c r="L252" s="41">
        <f t="shared" si="222"/>
        <v>5</v>
      </c>
      <c r="M252" s="41">
        <f t="shared" si="223"/>
        <v>3150</v>
      </c>
      <c r="N252" s="58"/>
    </row>
    <row r="253" spans="2:14" ht="15.75" x14ac:dyDescent="0.25">
      <c r="B253" s="76">
        <f>IF(G253&lt;&gt;"",COUNTA($G$12:G253),"")</f>
        <v>169</v>
      </c>
      <c r="C253" s="76"/>
      <c r="D253" s="76"/>
      <c r="E253" s="60" t="s">
        <v>205</v>
      </c>
      <c r="F253" s="67">
        <v>6</v>
      </c>
      <c r="G253" s="76" t="s">
        <v>45</v>
      </c>
      <c r="H253" s="45">
        <v>100</v>
      </c>
      <c r="I253" s="40">
        <v>130</v>
      </c>
      <c r="J253" s="40">
        <f t="shared" ref="J253:J255" si="224">H253*F253</f>
        <v>600</v>
      </c>
      <c r="K253" s="40">
        <f t="shared" ref="K253:K255" si="225">I253*F253</f>
        <v>780</v>
      </c>
      <c r="L253" s="41">
        <f t="shared" ref="L253:L255" si="226">I253+H253</f>
        <v>230</v>
      </c>
      <c r="M253" s="41">
        <f t="shared" ref="M253:M255" si="227">L253*F253</f>
        <v>1380</v>
      </c>
      <c r="N253" s="58"/>
    </row>
    <row r="254" spans="2:14" ht="15.75" x14ac:dyDescent="0.25">
      <c r="B254" s="76">
        <f>IF(G254&lt;&gt;"",COUNTA($G$12:G254),"")</f>
        <v>170</v>
      </c>
      <c r="C254" s="76"/>
      <c r="D254" s="76"/>
      <c r="E254" s="60" t="s">
        <v>206</v>
      </c>
      <c r="F254" s="67">
        <v>200</v>
      </c>
      <c r="G254" s="76" t="s">
        <v>52</v>
      </c>
      <c r="H254" s="45">
        <v>4</v>
      </c>
      <c r="I254" s="40">
        <v>12</v>
      </c>
      <c r="J254" s="40">
        <f t="shared" si="224"/>
        <v>800</v>
      </c>
      <c r="K254" s="40">
        <f t="shared" si="225"/>
        <v>2400</v>
      </c>
      <c r="L254" s="41">
        <f t="shared" si="226"/>
        <v>16</v>
      </c>
      <c r="M254" s="41">
        <f t="shared" si="227"/>
        <v>3200</v>
      </c>
      <c r="N254" s="58"/>
    </row>
    <row r="255" spans="2:14" ht="31.5" x14ac:dyDescent="0.25">
      <c r="B255" s="76">
        <f>IF(G255&lt;&gt;"",COUNTA($G$12:G255),"")</f>
        <v>171</v>
      </c>
      <c r="C255" s="76"/>
      <c r="D255" s="76"/>
      <c r="E255" s="60" t="s">
        <v>207</v>
      </c>
      <c r="F255" s="67">
        <v>1</v>
      </c>
      <c r="G255" s="92" t="s">
        <v>1</v>
      </c>
      <c r="H255" s="93">
        <v>500</v>
      </c>
      <c r="I255" s="94">
        <v>2000</v>
      </c>
      <c r="J255" s="94">
        <f t="shared" si="224"/>
        <v>500</v>
      </c>
      <c r="K255" s="94">
        <f t="shared" si="225"/>
        <v>2000</v>
      </c>
      <c r="L255" s="95">
        <f t="shared" si="226"/>
        <v>2500</v>
      </c>
      <c r="M255" s="95">
        <f t="shared" si="227"/>
        <v>2500</v>
      </c>
      <c r="N255" s="58"/>
    </row>
    <row r="256" spans="2:14" ht="15" x14ac:dyDescent="0.25">
      <c r="B256" s="76" t="str">
        <f>IF(G256&lt;&gt;"",COUNTA($G$12:G256),"")</f>
        <v/>
      </c>
      <c r="C256" s="55"/>
      <c r="D256" s="55"/>
      <c r="E256" s="72" t="s">
        <v>84</v>
      </c>
      <c r="F256" s="53"/>
      <c r="G256" s="39"/>
      <c r="H256" s="39"/>
      <c r="I256" s="39"/>
      <c r="J256" s="39"/>
      <c r="K256" s="55"/>
      <c r="L256" s="39"/>
      <c r="M256" s="54"/>
      <c r="N256" s="58"/>
    </row>
    <row r="257" spans="2:14" ht="15.75" x14ac:dyDescent="0.25">
      <c r="B257" s="76">
        <f>IF(G257&lt;&gt;"",COUNTA($G$12:G257),"")</f>
        <v>172</v>
      </c>
      <c r="C257" s="55"/>
      <c r="D257" s="55"/>
      <c r="E257" s="60" t="s">
        <v>179</v>
      </c>
      <c r="F257" s="73">
        <v>3600</v>
      </c>
      <c r="G257" s="39" t="s">
        <v>53</v>
      </c>
      <c r="H257" s="45">
        <v>0.5</v>
      </c>
      <c r="I257" s="45">
        <v>0.5</v>
      </c>
      <c r="J257" s="40">
        <f t="shared" ref="J257" si="228">H257*F257</f>
        <v>1800</v>
      </c>
      <c r="K257" s="40">
        <f t="shared" ref="K257" si="229">I257*F257</f>
        <v>1800</v>
      </c>
      <c r="L257" s="41">
        <f t="shared" ref="L257" si="230">I257+H257</f>
        <v>1</v>
      </c>
      <c r="M257" s="41">
        <f t="shared" ref="M257" si="231">L257*F257</f>
        <v>3600</v>
      </c>
      <c r="N257" s="58"/>
    </row>
    <row r="258" spans="2:14" ht="31.5" x14ac:dyDescent="0.25">
      <c r="B258" s="76">
        <f>IF(G258&lt;&gt;"",COUNTA($G$12:G258),"")</f>
        <v>173</v>
      </c>
      <c r="C258" s="55"/>
      <c r="D258" s="55"/>
      <c r="E258" s="60" t="s">
        <v>180</v>
      </c>
      <c r="F258" s="73">
        <v>3600</v>
      </c>
      <c r="G258" s="39" t="s">
        <v>53</v>
      </c>
      <c r="H258" s="45">
        <v>3.8</v>
      </c>
      <c r="I258" s="45">
        <v>10.5</v>
      </c>
      <c r="J258" s="40">
        <f t="shared" ref="J258:J259" si="232">H258*F258</f>
        <v>13680</v>
      </c>
      <c r="K258" s="40">
        <f t="shared" ref="K258:K259" si="233">I258*F258</f>
        <v>37800</v>
      </c>
      <c r="L258" s="41">
        <f t="shared" ref="L258:L259" si="234">I258+H258</f>
        <v>14.3</v>
      </c>
      <c r="M258" s="41">
        <f t="shared" ref="M258:M259" si="235">L258*F258</f>
        <v>51480</v>
      </c>
      <c r="N258" s="58"/>
    </row>
    <row r="259" spans="2:14" ht="15.75" x14ac:dyDescent="0.25">
      <c r="B259" s="76">
        <f>IF(G259&lt;&gt;"",COUNTA($G$12:G259),"")</f>
        <v>174</v>
      </c>
      <c r="C259" s="55"/>
      <c r="D259" s="55"/>
      <c r="E259" s="60" t="s">
        <v>181</v>
      </c>
      <c r="F259" s="70">
        <v>226.26</v>
      </c>
      <c r="G259" s="55" t="s">
        <v>52</v>
      </c>
      <c r="H259" s="45">
        <v>1</v>
      </c>
      <c r="I259" s="40">
        <v>3</v>
      </c>
      <c r="J259" s="40">
        <f t="shared" si="232"/>
        <v>226.26</v>
      </c>
      <c r="K259" s="40">
        <f t="shared" si="233"/>
        <v>678.78</v>
      </c>
      <c r="L259" s="41">
        <f t="shared" si="234"/>
        <v>4</v>
      </c>
      <c r="M259" s="41">
        <f t="shared" si="235"/>
        <v>905.04</v>
      </c>
      <c r="N259" s="58"/>
    </row>
    <row r="260" spans="2:14" ht="15" x14ac:dyDescent="0.25">
      <c r="B260" s="76" t="str">
        <f>IF(G260&lt;&gt;"",COUNTA($G$12:G260),"")</f>
        <v/>
      </c>
      <c r="C260" s="55"/>
      <c r="D260" s="55"/>
      <c r="E260" s="72" t="s">
        <v>182</v>
      </c>
      <c r="F260" s="53"/>
      <c r="G260" s="39"/>
      <c r="H260" s="39"/>
      <c r="I260" s="39"/>
      <c r="J260" s="39"/>
      <c r="K260" s="55"/>
      <c r="L260" s="39"/>
      <c r="M260" s="54"/>
      <c r="N260" s="58"/>
    </row>
    <row r="261" spans="2:14" ht="15.75" x14ac:dyDescent="0.25">
      <c r="B261" s="76">
        <f>IF(G261&lt;&gt;"",COUNTA($G$12:G261),"")</f>
        <v>175</v>
      </c>
      <c r="C261" s="55"/>
      <c r="D261" s="55"/>
      <c r="E261" s="60" t="s">
        <v>176</v>
      </c>
      <c r="F261" s="67">
        <v>3</v>
      </c>
      <c r="G261" s="55" t="s">
        <v>45</v>
      </c>
      <c r="H261" s="45">
        <v>100</v>
      </c>
      <c r="I261" s="40">
        <v>400</v>
      </c>
      <c r="J261" s="40">
        <f t="shared" ref="J261:J262" si="236">H261*F261</f>
        <v>300</v>
      </c>
      <c r="K261" s="40">
        <f t="shared" ref="K261:K262" si="237">I261*F261</f>
        <v>1200</v>
      </c>
      <c r="L261" s="41">
        <f t="shared" ref="L261:L262" si="238">I261+H261</f>
        <v>500</v>
      </c>
      <c r="M261" s="41">
        <f t="shared" ref="M261:M262" si="239">L261*F261</f>
        <v>1500</v>
      </c>
      <c r="N261" s="58"/>
    </row>
    <row r="262" spans="2:14" ht="15.75" x14ac:dyDescent="0.25">
      <c r="B262" s="76">
        <f>IF(G262&lt;&gt;"",COUNTA($G$12:G262),"")</f>
        <v>176</v>
      </c>
      <c r="C262" s="55"/>
      <c r="D262" s="55"/>
      <c r="E262" s="60" t="s">
        <v>177</v>
      </c>
      <c r="F262" s="67">
        <v>1</v>
      </c>
      <c r="G262" s="55" t="s">
        <v>45</v>
      </c>
      <c r="H262" s="45">
        <v>300</v>
      </c>
      <c r="I262" s="40">
        <v>2000</v>
      </c>
      <c r="J262" s="40">
        <f t="shared" si="236"/>
        <v>300</v>
      </c>
      <c r="K262" s="40">
        <f t="shared" si="237"/>
        <v>2000</v>
      </c>
      <c r="L262" s="41">
        <f t="shared" si="238"/>
        <v>2300</v>
      </c>
      <c r="M262" s="43">
        <f t="shared" si="239"/>
        <v>2300</v>
      </c>
      <c r="N262" s="58"/>
    </row>
    <row r="263" spans="2:14" ht="15.75" x14ac:dyDescent="0.25">
      <c r="B263" s="76">
        <f>IF(G263&lt;&gt;"",COUNTA($G$12:G263),"")</f>
        <v>177</v>
      </c>
      <c r="C263" s="55"/>
      <c r="D263" s="55"/>
      <c r="E263" s="60" t="s">
        <v>220</v>
      </c>
      <c r="F263" s="67">
        <v>1</v>
      </c>
      <c r="G263" s="55" t="s">
        <v>45</v>
      </c>
      <c r="H263" s="45">
        <v>3000</v>
      </c>
      <c r="I263" s="40">
        <v>7000</v>
      </c>
      <c r="J263" s="40">
        <f t="shared" ref="J263" si="240">H263*F263</f>
        <v>3000</v>
      </c>
      <c r="K263" s="40">
        <f t="shared" ref="K263" si="241">I263*F263</f>
        <v>7000</v>
      </c>
      <c r="L263" s="41">
        <f t="shared" ref="L263" si="242">I263+H263</f>
        <v>10000</v>
      </c>
      <c r="M263" s="43">
        <f t="shared" ref="M263" si="243">L263*F263</f>
        <v>10000</v>
      </c>
      <c r="N263" s="58"/>
    </row>
    <row r="264" spans="2:14" ht="15.75" x14ac:dyDescent="0.25">
      <c r="B264" s="76" t="str">
        <f>IF(G264&lt;&gt;"",COUNTA($G$12:G264),"")</f>
        <v/>
      </c>
      <c r="C264" s="76"/>
      <c r="D264" s="76"/>
      <c r="E264" s="72" t="s">
        <v>188</v>
      </c>
      <c r="F264" s="67"/>
      <c r="G264" s="76"/>
      <c r="H264" s="45"/>
      <c r="I264" s="40"/>
      <c r="J264" s="40"/>
      <c r="K264" s="40"/>
      <c r="L264" s="41"/>
      <c r="M264" s="41"/>
      <c r="N264" s="58"/>
    </row>
    <row r="265" spans="2:14" ht="15.75" x14ac:dyDescent="0.25">
      <c r="B265" s="76">
        <f>IF(G265&lt;&gt;"",COUNTA($G$12:G265),"")</f>
        <v>178</v>
      </c>
      <c r="C265" s="76"/>
      <c r="D265" s="76"/>
      <c r="E265" s="60" t="s">
        <v>174</v>
      </c>
      <c r="F265" s="67">
        <v>1</v>
      </c>
      <c r="G265" s="92" t="s">
        <v>1</v>
      </c>
      <c r="H265" s="93">
        <v>300</v>
      </c>
      <c r="I265" s="94">
        <v>100</v>
      </c>
      <c r="J265" s="94">
        <f t="shared" ref="J265:J267" si="244">H265*F265</f>
        <v>300</v>
      </c>
      <c r="K265" s="94">
        <f t="shared" ref="K265:K267" si="245">I265*F265</f>
        <v>100</v>
      </c>
      <c r="L265" s="95">
        <f t="shared" ref="L265:L267" si="246">I265+H265</f>
        <v>400</v>
      </c>
      <c r="M265" s="95">
        <f t="shared" ref="M265:M267" si="247">L265*F265</f>
        <v>400</v>
      </c>
      <c r="N265" s="58"/>
    </row>
    <row r="266" spans="2:14" ht="15.75" x14ac:dyDescent="0.25">
      <c r="B266" s="76">
        <f>IF(G266&lt;&gt;"",COUNTA($G$12:G266),"")</f>
        <v>179</v>
      </c>
      <c r="C266" s="76"/>
      <c r="D266" s="76"/>
      <c r="E266" s="60" t="s">
        <v>228</v>
      </c>
      <c r="F266" s="67">
        <v>1</v>
      </c>
      <c r="G266" s="92" t="s">
        <v>45</v>
      </c>
      <c r="H266" s="93">
        <v>100</v>
      </c>
      <c r="I266" s="94">
        <v>300</v>
      </c>
      <c r="J266" s="94">
        <f t="shared" si="244"/>
        <v>100</v>
      </c>
      <c r="K266" s="94">
        <f t="shared" si="245"/>
        <v>300</v>
      </c>
      <c r="L266" s="95">
        <f t="shared" si="246"/>
        <v>400</v>
      </c>
      <c r="M266" s="95">
        <f t="shared" si="247"/>
        <v>400</v>
      </c>
      <c r="N266" s="58"/>
    </row>
    <row r="267" spans="2:14" ht="15.75" x14ac:dyDescent="0.25">
      <c r="B267" s="76">
        <f>IF(G267&lt;&gt;"",COUNTA($G$12:G267),"")</f>
        <v>180</v>
      </c>
      <c r="C267" s="76"/>
      <c r="D267" s="76"/>
      <c r="E267" s="60" t="s">
        <v>229</v>
      </c>
      <c r="F267" s="67">
        <v>3</v>
      </c>
      <c r="G267" s="76" t="s">
        <v>45</v>
      </c>
      <c r="H267" s="45">
        <v>60</v>
      </c>
      <c r="I267" s="40">
        <v>320</v>
      </c>
      <c r="J267" s="40">
        <f t="shared" si="244"/>
        <v>180</v>
      </c>
      <c r="K267" s="40">
        <f t="shared" si="245"/>
        <v>960</v>
      </c>
      <c r="L267" s="41">
        <f t="shared" si="246"/>
        <v>380</v>
      </c>
      <c r="M267" s="41">
        <f t="shared" si="247"/>
        <v>1140</v>
      </c>
      <c r="N267" s="58"/>
    </row>
    <row r="268" spans="2:14" ht="15.75" x14ac:dyDescent="0.25">
      <c r="B268" s="76">
        <f>IF(G268&lt;&gt;"",COUNTA($G$12:G268),"")</f>
        <v>181</v>
      </c>
      <c r="C268" s="76"/>
      <c r="D268" s="76"/>
      <c r="E268" s="60" t="s">
        <v>230</v>
      </c>
      <c r="F268" s="67">
        <v>10</v>
      </c>
      <c r="G268" s="76" t="s">
        <v>45</v>
      </c>
      <c r="H268" s="45">
        <v>60</v>
      </c>
      <c r="I268" s="40">
        <v>320</v>
      </c>
      <c r="J268" s="40">
        <f t="shared" ref="J268:J271" si="248">H268*F268</f>
        <v>600</v>
      </c>
      <c r="K268" s="40">
        <f t="shared" ref="K268:K271" si="249">I268*F268</f>
        <v>3200</v>
      </c>
      <c r="L268" s="41">
        <f t="shared" ref="L268:L271" si="250">I268+H268</f>
        <v>380</v>
      </c>
      <c r="M268" s="41">
        <f t="shared" ref="M268:M271" si="251">L268*F268</f>
        <v>3800</v>
      </c>
      <c r="N268" s="58"/>
    </row>
    <row r="269" spans="2:14" ht="15.75" x14ac:dyDescent="0.25">
      <c r="B269" s="76">
        <f>IF(G269&lt;&gt;"",COUNTA($G$12:G269),"")</f>
        <v>182</v>
      </c>
      <c r="C269" s="76"/>
      <c r="D269" s="76"/>
      <c r="E269" s="60" t="s">
        <v>231</v>
      </c>
      <c r="F269" s="67">
        <v>5</v>
      </c>
      <c r="G269" s="76" t="s">
        <v>45</v>
      </c>
      <c r="H269" s="45">
        <v>60</v>
      </c>
      <c r="I269" s="40">
        <v>130</v>
      </c>
      <c r="J269" s="40">
        <f t="shared" si="248"/>
        <v>300</v>
      </c>
      <c r="K269" s="40">
        <f t="shared" si="249"/>
        <v>650</v>
      </c>
      <c r="L269" s="41">
        <f t="shared" si="250"/>
        <v>190</v>
      </c>
      <c r="M269" s="41">
        <f t="shared" si="251"/>
        <v>950</v>
      </c>
      <c r="N269" s="58"/>
    </row>
    <row r="270" spans="2:14" ht="15.75" x14ac:dyDescent="0.25">
      <c r="B270" s="76">
        <f>IF(G270&lt;&gt;"",COUNTA($G$12:G270),"")</f>
        <v>183</v>
      </c>
      <c r="C270" s="76"/>
      <c r="D270" s="76"/>
      <c r="E270" s="60" t="s">
        <v>232</v>
      </c>
      <c r="F270" s="67">
        <v>25</v>
      </c>
      <c r="G270" s="76" t="s">
        <v>45</v>
      </c>
      <c r="H270" s="45">
        <v>50</v>
      </c>
      <c r="I270" s="40">
        <v>80</v>
      </c>
      <c r="J270" s="40">
        <f t="shared" si="248"/>
        <v>1250</v>
      </c>
      <c r="K270" s="40">
        <f t="shared" si="249"/>
        <v>2000</v>
      </c>
      <c r="L270" s="41">
        <f t="shared" si="250"/>
        <v>130</v>
      </c>
      <c r="M270" s="41">
        <f t="shared" si="251"/>
        <v>3250</v>
      </c>
      <c r="N270" s="58"/>
    </row>
    <row r="271" spans="2:14" ht="15.75" x14ac:dyDescent="0.25">
      <c r="B271" s="76">
        <f>IF(G271&lt;&gt;"",COUNTA($G$12:G271),"")</f>
        <v>184</v>
      </c>
      <c r="C271" s="76"/>
      <c r="D271" s="76"/>
      <c r="E271" s="60" t="s">
        <v>233</v>
      </c>
      <c r="F271" s="67">
        <v>1</v>
      </c>
      <c r="G271" s="92" t="s">
        <v>1</v>
      </c>
      <c r="H271" s="93">
        <v>400</v>
      </c>
      <c r="I271" s="94">
        <v>800</v>
      </c>
      <c r="J271" s="94">
        <f t="shared" si="248"/>
        <v>400</v>
      </c>
      <c r="K271" s="94">
        <f t="shared" si="249"/>
        <v>800</v>
      </c>
      <c r="L271" s="95">
        <f t="shared" si="250"/>
        <v>1200</v>
      </c>
      <c r="M271" s="95">
        <f t="shared" si="251"/>
        <v>1200</v>
      </c>
      <c r="N271" s="58"/>
    </row>
    <row r="272" spans="2:14" ht="15.75" x14ac:dyDescent="0.25">
      <c r="B272" s="76" t="str">
        <f>IF(G272&lt;&gt;"",COUNTA($G$12:G272),"")</f>
        <v/>
      </c>
      <c r="C272" s="76"/>
      <c r="D272" s="76"/>
      <c r="E272" s="72" t="s">
        <v>221</v>
      </c>
      <c r="F272" s="67"/>
      <c r="G272" s="76"/>
      <c r="H272" s="45"/>
      <c r="I272" s="40"/>
      <c r="J272" s="40"/>
      <c r="K272" s="40"/>
      <c r="L272" s="41"/>
      <c r="M272" s="41"/>
      <c r="N272" s="58"/>
    </row>
    <row r="273" spans="2:14" ht="31.5" x14ac:dyDescent="0.25">
      <c r="B273" s="76">
        <f>IF(G273&lt;&gt;"",COUNTA($G$12:G273),"")</f>
        <v>185</v>
      </c>
      <c r="C273" s="76"/>
      <c r="D273" s="76"/>
      <c r="E273" s="60" t="s">
        <v>222</v>
      </c>
      <c r="F273" s="67">
        <f>82/27</f>
        <v>3.0370370370370372</v>
      </c>
      <c r="G273" s="76" t="s">
        <v>52</v>
      </c>
      <c r="H273" s="45">
        <v>50</v>
      </c>
      <c r="I273" s="40">
        <v>30</v>
      </c>
      <c r="J273" s="40">
        <f t="shared" ref="J273" si="252">H273*F273</f>
        <v>151.85185185185185</v>
      </c>
      <c r="K273" s="40">
        <f t="shared" ref="K273" si="253">I273*F273</f>
        <v>91.111111111111114</v>
      </c>
      <c r="L273" s="41">
        <f t="shared" ref="L273" si="254">I273+H273</f>
        <v>80</v>
      </c>
      <c r="M273" s="41">
        <f t="shared" ref="M273" si="255">L273*F273</f>
        <v>242.96296296296299</v>
      </c>
      <c r="N273" s="58"/>
    </row>
    <row r="274" spans="2:14" ht="15.75" x14ac:dyDescent="0.25">
      <c r="B274" s="76">
        <f>IF(G274&lt;&gt;"",COUNTA($G$12:G274),"")</f>
        <v>186</v>
      </c>
      <c r="C274" s="76"/>
      <c r="D274" s="76"/>
      <c r="E274" s="60" t="s">
        <v>223</v>
      </c>
      <c r="F274" s="67">
        <v>82</v>
      </c>
      <c r="G274" s="76" t="s">
        <v>52</v>
      </c>
      <c r="H274" s="45">
        <v>8</v>
      </c>
      <c r="I274" s="40">
        <v>12</v>
      </c>
      <c r="J274" s="40">
        <f t="shared" ref="J274:J275" si="256">H274*F274</f>
        <v>656</v>
      </c>
      <c r="K274" s="40">
        <f t="shared" ref="K274:K275" si="257">I274*F274</f>
        <v>984</v>
      </c>
      <c r="L274" s="41">
        <f t="shared" ref="L274:L275" si="258">I274+H274</f>
        <v>20</v>
      </c>
      <c r="M274" s="41">
        <f t="shared" ref="M274:M275" si="259">L274*F274</f>
        <v>1640</v>
      </c>
      <c r="N274" s="58"/>
    </row>
    <row r="275" spans="2:14" ht="15.75" x14ac:dyDescent="0.25">
      <c r="B275" s="76">
        <f>IF(G275&lt;&gt;"",COUNTA($G$12:G275),"")</f>
        <v>187</v>
      </c>
      <c r="C275" s="76"/>
      <c r="D275" s="76"/>
      <c r="E275" s="60" t="s">
        <v>224</v>
      </c>
      <c r="F275" s="67">
        <v>82</v>
      </c>
      <c r="G275" s="76" t="s">
        <v>52</v>
      </c>
      <c r="H275" s="45">
        <v>6</v>
      </c>
      <c r="I275" s="40">
        <v>9</v>
      </c>
      <c r="J275" s="40">
        <f t="shared" si="256"/>
        <v>492</v>
      </c>
      <c r="K275" s="40">
        <f t="shared" si="257"/>
        <v>738</v>
      </c>
      <c r="L275" s="41">
        <f t="shared" si="258"/>
        <v>15</v>
      </c>
      <c r="M275" s="41">
        <f t="shared" si="259"/>
        <v>1230</v>
      </c>
      <c r="N275" s="58"/>
    </row>
    <row r="276" spans="2:14" ht="15.75" x14ac:dyDescent="0.25">
      <c r="B276" s="76">
        <f>IF(G276&lt;&gt;"",COUNTA($G$12:G276),"")</f>
        <v>188</v>
      </c>
      <c r="C276" s="76"/>
      <c r="D276" s="76"/>
      <c r="E276" s="60" t="s">
        <v>175</v>
      </c>
      <c r="F276" s="67">
        <v>2</v>
      </c>
      <c r="G276" s="76" t="s">
        <v>45</v>
      </c>
      <c r="H276" s="45">
        <v>50</v>
      </c>
      <c r="I276" s="40">
        <v>100</v>
      </c>
      <c r="J276" s="40">
        <f t="shared" ref="J276" si="260">H276*F276</f>
        <v>100</v>
      </c>
      <c r="K276" s="40">
        <f t="shared" ref="K276" si="261">I276*F276</f>
        <v>200</v>
      </c>
      <c r="L276" s="41">
        <f t="shared" ref="L276" si="262">I276+H276</f>
        <v>150</v>
      </c>
      <c r="M276" s="41">
        <f t="shared" ref="M276" si="263">L276*F276</f>
        <v>300</v>
      </c>
      <c r="N276" s="58"/>
    </row>
    <row r="277" spans="2:14" ht="15.75" x14ac:dyDescent="0.25">
      <c r="B277" s="76" t="str">
        <f>IF(G277&lt;&gt;"",COUNTA($G$12:G277),"")</f>
        <v/>
      </c>
      <c r="C277" s="76"/>
      <c r="D277" s="76"/>
      <c r="E277" s="72" t="s">
        <v>240</v>
      </c>
      <c r="F277" s="67"/>
      <c r="G277" s="76"/>
      <c r="H277" s="45"/>
      <c r="I277" s="40"/>
      <c r="J277" s="40"/>
      <c r="K277" s="40"/>
      <c r="L277" s="41"/>
      <c r="M277" s="41"/>
      <c r="N277" s="58"/>
    </row>
    <row r="278" spans="2:14" ht="15.75" x14ac:dyDescent="0.25">
      <c r="B278" s="76">
        <f>IF(G278&lt;&gt;"",COUNTA($G$12:G278),"")</f>
        <v>189</v>
      </c>
      <c r="C278" s="76"/>
      <c r="D278" s="76"/>
      <c r="E278" s="60" t="s">
        <v>241</v>
      </c>
      <c r="F278" s="67">
        <v>21</v>
      </c>
      <c r="G278" s="76" t="s">
        <v>242</v>
      </c>
      <c r="H278" s="45">
        <v>65</v>
      </c>
      <c r="I278" s="40">
        <v>425</v>
      </c>
      <c r="J278" s="40">
        <f t="shared" ref="J278" si="264">H278*F278</f>
        <v>1365</v>
      </c>
      <c r="K278" s="40">
        <f t="shared" ref="K278" si="265">I278*F278</f>
        <v>8925</v>
      </c>
      <c r="L278" s="41">
        <f t="shared" ref="L278" si="266">I278+H278</f>
        <v>490</v>
      </c>
      <c r="M278" s="41">
        <f t="shared" ref="M278" si="267">L278*F278</f>
        <v>10290</v>
      </c>
      <c r="N278" s="58"/>
    </row>
    <row r="279" spans="2:14" ht="15" x14ac:dyDescent="0.25">
      <c r="B279" s="76" t="str">
        <f>IF(G279&lt;&gt;"",COUNTA($G$12:G279),"")</f>
        <v/>
      </c>
      <c r="C279" s="55"/>
      <c r="D279" s="55"/>
      <c r="E279" s="72" t="s">
        <v>93</v>
      </c>
      <c r="F279" s="53"/>
      <c r="G279" s="39"/>
      <c r="H279" s="39"/>
      <c r="I279" s="39"/>
      <c r="J279" s="39"/>
      <c r="K279" s="55"/>
      <c r="L279" s="39"/>
      <c r="M279" s="54"/>
      <c r="N279" s="58"/>
    </row>
    <row r="280" spans="2:14" ht="31.5" x14ac:dyDescent="0.25">
      <c r="B280" s="76">
        <f>IF(G280&lt;&gt;"",COUNTA($G$12:G280),"")</f>
        <v>190</v>
      </c>
      <c r="C280" s="55"/>
      <c r="D280" s="55"/>
      <c r="E280" s="60" t="s">
        <v>184</v>
      </c>
      <c r="F280" s="67">
        <v>1</v>
      </c>
      <c r="G280" s="92" t="s">
        <v>1</v>
      </c>
      <c r="H280" s="96">
        <v>0</v>
      </c>
      <c r="I280" s="96">
        <v>0</v>
      </c>
      <c r="J280" s="96">
        <v>0</v>
      </c>
      <c r="K280" s="92">
        <v>0</v>
      </c>
      <c r="L280" s="96">
        <v>0</v>
      </c>
      <c r="M280" s="95">
        <v>39870</v>
      </c>
      <c r="N280" s="58"/>
    </row>
    <row r="281" spans="2:14" ht="15.75" x14ac:dyDescent="0.25">
      <c r="B281" s="76" t="str">
        <f>IF(G281&lt;&gt;"",COUNTA($G$12:G281),"")</f>
        <v/>
      </c>
      <c r="C281" s="55"/>
      <c r="D281" s="55"/>
      <c r="E281" s="60"/>
      <c r="F281" s="97"/>
      <c r="G281" s="96"/>
      <c r="H281" s="96"/>
      <c r="I281" s="96"/>
      <c r="J281" s="96"/>
      <c r="K281" s="92"/>
      <c r="L281" s="96"/>
      <c r="M281" s="98"/>
      <c r="N281" s="58"/>
    </row>
    <row r="282" spans="2:14" ht="15.75" x14ac:dyDescent="0.25">
      <c r="B282" s="76">
        <f>IF(G282&lt;&gt;"",COUNTA($G$12:G282),"")</f>
        <v>191</v>
      </c>
      <c r="C282" s="76"/>
      <c r="D282" s="76"/>
      <c r="E282" s="60" t="s">
        <v>239</v>
      </c>
      <c r="F282" s="67">
        <v>1</v>
      </c>
      <c r="G282" s="96" t="s">
        <v>1</v>
      </c>
      <c r="H282" s="93">
        <v>3000</v>
      </c>
      <c r="I282" s="93">
        <v>5000</v>
      </c>
      <c r="J282" s="94">
        <f t="shared" ref="J282" si="268">H282*F282</f>
        <v>3000</v>
      </c>
      <c r="K282" s="94">
        <f t="shared" ref="K282" si="269">I282*F282</f>
        <v>5000</v>
      </c>
      <c r="L282" s="95">
        <f t="shared" ref="L282" si="270">I282+H282</f>
        <v>8000</v>
      </c>
      <c r="M282" s="95">
        <f t="shared" ref="M282" si="271">L282*F282</f>
        <v>8000</v>
      </c>
      <c r="N282" s="58"/>
    </row>
    <row r="283" spans="2:14" ht="15.75" x14ac:dyDescent="0.25">
      <c r="B283" s="76">
        <f>IF(G283&lt;&gt;"",COUNTA($G$12:G283),"")</f>
        <v>192</v>
      </c>
      <c r="C283" s="76"/>
      <c r="D283" s="76"/>
      <c r="E283" s="60" t="s">
        <v>214</v>
      </c>
      <c r="F283" s="53">
        <v>0.52</v>
      </c>
      <c r="G283" s="39" t="s">
        <v>45</v>
      </c>
      <c r="H283" s="39">
        <v>0</v>
      </c>
      <c r="I283" s="39">
        <v>0</v>
      </c>
      <c r="J283" s="39">
        <v>0</v>
      </c>
      <c r="K283" s="76">
        <v>0</v>
      </c>
      <c r="L283" s="39">
        <v>0</v>
      </c>
      <c r="M283" s="41">
        <v>0</v>
      </c>
      <c r="N283" s="58"/>
    </row>
    <row r="284" spans="2:14" ht="15.75" x14ac:dyDescent="0.25">
      <c r="B284" s="76" t="str">
        <f>IF(G284&lt;&gt;"",COUNTA($G$12:G284),"")</f>
        <v/>
      </c>
      <c r="C284" s="76"/>
      <c r="D284" s="76"/>
      <c r="E284" s="60"/>
      <c r="F284" s="53"/>
      <c r="G284" s="39"/>
      <c r="H284" s="39"/>
      <c r="I284" s="39"/>
      <c r="J284" s="39"/>
      <c r="K284" s="76"/>
      <c r="L284" s="39"/>
      <c r="M284" s="54"/>
      <c r="N284" s="58"/>
    </row>
    <row r="285" spans="2:14" ht="15.75" x14ac:dyDescent="0.25">
      <c r="B285" s="76"/>
      <c r="C285" s="76"/>
      <c r="D285" s="76"/>
      <c r="E285" s="60"/>
      <c r="F285" s="53"/>
      <c r="G285" s="39"/>
      <c r="H285" s="39"/>
      <c r="I285" s="39"/>
      <c r="J285" s="39"/>
      <c r="K285" s="76"/>
      <c r="L285" s="39"/>
      <c r="M285" s="54"/>
      <c r="N285" s="58"/>
    </row>
    <row r="286" spans="2:14" ht="15" x14ac:dyDescent="0.25">
      <c r="B286" s="55" t="str">
        <f>IF(G286&lt;&gt;"",COUNTA($G$12:G286),"")</f>
        <v/>
      </c>
      <c r="C286" s="55"/>
      <c r="D286" s="55"/>
      <c r="E286" s="47" t="s">
        <v>137</v>
      </c>
      <c r="F286" s="53"/>
      <c r="G286" s="39"/>
      <c r="H286" s="39"/>
      <c r="I286" s="39"/>
      <c r="J286" s="52">
        <f>SUM(J248:J282)</f>
        <v>32903.056296296294</v>
      </c>
      <c r="K286" s="52">
        <f>SUM(K248:K282)</f>
        <v>84388.724444444451</v>
      </c>
      <c r="L286" s="39"/>
      <c r="M286" s="52">
        <f>SUM(M248:M282)</f>
        <v>157161.78074074074</v>
      </c>
      <c r="N286" s="58"/>
    </row>
    <row r="287" spans="2:14" ht="15" x14ac:dyDescent="0.25">
      <c r="B287" s="55"/>
      <c r="C287" s="55"/>
      <c r="D287" s="55"/>
      <c r="E287" s="47"/>
      <c r="F287" s="53"/>
      <c r="G287" s="39"/>
      <c r="H287" s="39"/>
      <c r="I287" s="39"/>
      <c r="J287" s="39"/>
      <c r="K287" s="55"/>
      <c r="L287" s="39"/>
      <c r="M287" s="54"/>
      <c r="N287" s="58"/>
    </row>
    <row r="288" spans="2:14" x14ac:dyDescent="0.25">
      <c r="B288" s="55" t="str">
        <f>IF(K288&lt;&gt;"",COUNTA($K$12:K288),"")</f>
        <v/>
      </c>
      <c r="C288" s="55"/>
      <c r="D288" s="55"/>
      <c r="E288" s="42"/>
      <c r="F288" s="39"/>
      <c r="G288" s="39"/>
      <c r="H288" s="39"/>
      <c r="I288" s="39"/>
      <c r="J288" s="39"/>
      <c r="K288" s="55"/>
      <c r="L288" s="39"/>
      <c r="M288" s="48"/>
      <c r="N288" s="58"/>
    </row>
    <row r="289" spans="2:14" ht="67.5" customHeight="1" x14ac:dyDescent="0.25">
      <c r="B289" s="80" t="s">
        <v>35</v>
      </c>
      <c r="C289" s="80"/>
      <c r="D289" s="80"/>
      <c r="E289" s="80"/>
      <c r="F289" s="80"/>
      <c r="G289" s="80"/>
      <c r="H289" s="80"/>
      <c r="I289" s="80"/>
      <c r="J289" s="80"/>
      <c r="K289" s="80"/>
      <c r="L289" s="80"/>
      <c r="M289" s="80"/>
      <c r="N289" s="58"/>
    </row>
    <row r="290" spans="2:14" ht="15" x14ac:dyDescent="0.25">
      <c r="B290" s="32" t="s">
        <v>33</v>
      </c>
      <c r="C290" s="8"/>
      <c r="D290" s="33"/>
      <c r="E290" s="2" t="s">
        <v>34</v>
      </c>
      <c r="F290" s="8"/>
      <c r="G290" s="8"/>
      <c r="H290" s="8"/>
      <c r="I290" s="8"/>
      <c r="J290" s="8"/>
      <c r="K290" s="8"/>
      <c r="L290" s="8"/>
      <c r="M290" s="64"/>
    </row>
    <row r="291" spans="2:14" x14ac:dyDescent="0.25">
      <c r="C291" s="8"/>
      <c r="D291" s="8"/>
      <c r="E291" s="2"/>
      <c r="F291" s="8"/>
      <c r="G291" s="8"/>
      <c r="H291" s="8"/>
      <c r="I291" s="8"/>
      <c r="J291" s="8"/>
      <c r="K291" s="8"/>
      <c r="L291" s="8"/>
      <c r="M291" s="64"/>
    </row>
    <row r="292" spans="2:14" x14ac:dyDescent="0.25">
      <c r="C292" s="3"/>
      <c r="D292" s="3"/>
      <c r="E292" s="1"/>
      <c r="G292" s="3"/>
      <c r="H292" s="3"/>
      <c r="I292" s="3"/>
      <c r="J292" s="3"/>
      <c r="K292" s="3"/>
      <c r="L292" s="3"/>
      <c r="M292" s="10"/>
    </row>
    <row r="293" spans="2:14" x14ac:dyDescent="0.25">
      <c r="C293" s="3"/>
      <c r="D293" s="3"/>
      <c r="E293" s="1"/>
      <c r="F293" s="3"/>
      <c r="G293" s="3"/>
      <c r="H293" s="3"/>
      <c r="I293" s="3"/>
      <c r="J293" s="3"/>
      <c r="K293" s="3"/>
      <c r="L293" s="3"/>
      <c r="M293" s="10"/>
    </row>
    <row r="294" spans="2:14" x14ac:dyDescent="0.25">
      <c r="C294" s="3"/>
      <c r="D294" s="3"/>
      <c r="E294" s="1"/>
      <c r="F294" s="3"/>
      <c r="G294" s="3"/>
      <c r="H294" s="3"/>
      <c r="I294" s="3"/>
      <c r="J294" s="3"/>
      <c r="K294" s="3"/>
      <c r="L294" s="3"/>
      <c r="M294" s="10"/>
    </row>
    <row r="295" spans="2:14" ht="18" x14ac:dyDescent="0.25">
      <c r="C295" s="5"/>
      <c r="D295" s="5"/>
      <c r="E295" s="1"/>
      <c r="F295" s="3"/>
      <c r="G295" s="3"/>
      <c r="H295" s="3"/>
      <c r="I295" s="3"/>
      <c r="J295" s="3"/>
      <c r="K295" s="3"/>
      <c r="L295" s="3"/>
      <c r="M295" s="10"/>
    </row>
    <row r="296" spans="2:14" x14ac:dyDescent="0.25">
      <c r="C296" s="3"/>
      <c r="D296" s="3"/>
      <c r="E296" s="1"/>
      <c r="F296" s="3"/>
      <c r="G296" s="3"/>
      <c r="H296" s="3"/>
      <c r="I296" s="3"/>
      <c r="J296" s="3"/>
      <c r="K296" s="3"/>
      <c r="L296" s="3"/>
      <c r="M296" s="10"/>
    </row>
    <row r="297" spans="2:14" x14ac:dyDescent="0.25">
      <c r="C297" s="3"/>
      <c r="D297" s="3"/>
      <c r="E297" s="1"/>
      <c r="F297" s="3"/>
      <c r="G297" s="3"/>
      <c r="H297" s="3"/>
      <c r="I297" s="3"/>
      <c r="J297" s="3"/>
      <c r="K297" s="3"/>
      <c r="L297" s="3"/>
      <c r="M297" s="10"/>
    </row>
    <row r="298" spans="2:14" x14ac:dyDescent="0.25">
      <c r="C298" s="3"/>
      <c r="D298" s="3"/>
      <c r="E298" s="1"/>
      <c r="F298" s="3"/>
      <c r="G298" s="3"/>
      <c r="H298" s="3"/>
      <c r="I298" s="3"/>
      <c r="J298" s="3"/>
      <c r="K298" s="3"/>
      <c r="L298" s="3"/>
      <c r="M298" s="10"/>
    </row>
    <row r="299" spans="2:14" x14ac:dyDescent="0.25">
      <c r="C299" s="3"/>
      <c r="D299" s="3"/>
      <c r="E299" s="1"/>
      <c r="F299" s="3"/>
      <c r="G299" s="3"/>
      <c r="H299" s="3"/>
      <c r="I299" s="3"/>
      <c r="J299" s="3"/>
      <c r="K299" s="3"/>
      <c r="L299" s="3"/>
      <c r="M299" s="10"/>
    </row>
    <row r="300" spans="2:14" ht="18" x14ac:dyDescent="0.25">
      <c r="C300" s="3"/>
      <c r="D300" s="6"/>
      <c r="E300" s="1"/>
      <c r="F300" s="3"/>
      <c r="G300" s="3"/>
      <c r="H300" s="3"/>
      <c r="I300" s="3"/>
      <c r="J300" s="3"/>
      <c r="K300" s="3"/>
      <c r="L300" s="3"/>
      <c r="M300" s="10"/>
    </row>
    <row r="301" spans="2:14" x14ac:dyDescent="0.25">
      <c r="C301" s="3"/>
      <c r="D301" s="3"/>
      <c r="E301" s="1"/>
      <c r="F301" s="3"/>
      <c r="G301" s="3"/>
      <c r="H301" s="3"/>
      <c r="I301" s="3"/>
      <c r="J301" s="3"/>
      <c r="K301" s="3"/>
      <c r="L301" s="3"/>
      <c r="M301" s="10"/>
    </row>
    <row r="302" spans="2:14" x14ac:dyDescent="0.25">
      <c r="C302" s="3"/>
      <c r="D302" s="3"/>
      <c r="E302" s="1"/>
      <c r="F302" s="3"/>
      <c r="G302" s="3"/>
      <c r="H302" s="3"/>
      <c r="I302" s="3"/>
      <c r="J302" s="3"/>
      <c r="K302" s="3"/>
      <c r="L302" s="3"/>
      <c r="M302" s="10"/>
    </row>
    <row r="308" spans="3:4" x14ac:dyDescent="0.25">
      <c r="C308" s="7"/>
      <c r="D308" s="7"/>
    </row>
  </sheetData>
  <sheetProtection formatCells="0" formatColumns="0" formatRows="0" insertColumns="0" insertRows="0" selectLockedCells="1" sort="0" autoFilter="0"/>
  <mergeCells count="20">
    <mergeCell ref="D2:K4"/>
    <mergeCell ref="L7:M7"/>
    <mergeCell ref="L5:M5"/>
    <mergeCell ref="L6:M6"/>
    <mergeCell ref="C22:C35"/>
    <mergeCell ref="D7:E7"/>
    <mergeCell ref="E9:J9"/>
    <mergeCell ref="B289:M289"/>
    <mergeCell ref="C39:C53"/>
    <mergeCell ref="C58:C75"/>
    <mergeCell ref="C97:C105"/>
    <mergeCell ref="C109:C119"/>
    <mergeCell ref="C226:C234"/>
    <mergeCell ref="C238:C239"/>
    <mergeCell ref="C208:C216"/>
    <mergeCell ref="C220:C222"/>
    <mergeCell ref="C203:C204"/>
    <mergeCell ref="C196:C199"/>
    <mergeCell ref="C124:C192"/>
    <mergeCell ref="C80:C93"/>
  </mergeCells>
  <hyperlinks>
    <hyperlink ref="L6" r:id="rId1" xr:uid="{00000000-0004-0000-0000-000000000000}"/>
    <hyperlink ref="L5" r:id="rId2" xr:uid="{00000000-0004-0000-0000-000001000000}"/>
  </hyperlinks>
  <printOptions horizontalCentered="1"/>
  <pageMargins left="0.19685039370078741" right="0.23622047244094491" top="0.23622047244094491" bottom="0.23622047244094491" header="0" footer="0"/>
  <pageSetup scale="53" fitToHeight="0" orientation="portrait" horizontalDpi="1200" verticalDpi="1200" r:id="rId3"/>
  <headerFooter>
    <oddHeader>&amp;C</oddHeader>
    <oddFooter>&amp;R&amp;P</oddFooter>
    <firstHeader>&amp;C</firstHeader>
  </headerFooter>
  <rowBreaks count="1" manualBreakCount="1">
    <brk id="296" min="1" max="10" man="1"/>
  </rowBreak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vt:lpstr>
      <vt:lpstr>Sheet!Print_Area</vt:lpstr>
      <vt:lpstr>Sheet!Print_Titles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AhmadMustafa</dc:creator>
  <cp:lastModifiedBy>Ahmad</cp:lastModifiedBy>
  <cp:lastPrinted>2017-03-18T05:08:09Z</cp:lastPrinted>
  <dcterms:created xsi:type="dcterms:W3CDTF">2013-09-18T14:51:37Z</dcterms:created>
  <dcterms:modified xsi:type="dcterms:W3CDTF">2021-01-03T16:14:34Z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9Connected">
    <vt:bool>true</vt:bool>
  </property>
</Properties>
</file>