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losPC\Desktop\fakultet_sve\semestri\8_semestar\korporativne_finansije\projekat\gotovo\"/>
    </mc:Choice>
  </mc:AlternateContent>
  <xr:revisionPtr revIDLastSave="0" documentId="13_ncr:1_{01B45BE0-963F-42E0-9B55-A5FA9D712C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lans stanja i uspeha i cash f" sheetId="1" r:id="rId1"/>
    <sheet name="anci" sheetId="2" r:id="rId2"/>
    <sheet name="milos" sheetId="3" r:id="rId3"/>
  </sheets>
  <calcPr calcId="181029"/>
</workbook>
</file>

<file path=xl/calcChain.xml><?xml version="1.0" encoding="utf-8"?>
<calcChain xmlns="http://schemas.openxmlformats.org/spreadsheetml/2006/main">
  <c r="D109" i="3" l="1"/>
  <c r="D108" i="3"/>
  <c r="F99" i="3"/>
  <c r="H98" i="3"/>
  <c r="F98" i="3"/>
  <c r="H97" i="3"/>
  <c r="F97" i="3"/>
  <c r="D97" i="3"/>
  <c r="L96" i="3"/>
  <c r="I94" i="3"/>
  <c r="I93" i="3"/>
  <c r="B91" i="3"/>
  <c r="B90" i="3"/>
  <c r="B93" i="3" s="1"/>
  <c r="B88" i="3"/>
  <c r="B86" i="3"/>
  <c r="C85" i="3"/>
  <c r="B85" i="3"/>
  <c r="B83" i="3"/>
  <c r="E56" i="3"/>
  <c r="I56" i="3" s="1"/>
  <c r="J56" i="3" s="1"/>
  <c r="K56" i="3" s="1"/>
  <c r="L56" i="3" s="1"/>
  <c r="D56" i="3"/>
  <c r="C56" i="3"/>
  <c r="I49" i="3"/>
  <c r="J49" i="3" s="1"/>
  <c r="K49" i="3" s="1"/>
  <c r="L49" i="3" s="1"/>
  <c r="J48" i="3"/>
  <c r="K48" i="3" s="1"/>
  <c r="L48" i="3" s="1"/>
  <c r="I48" i="3"/>
  <c r="E39" i="3"/>
  <c r="D39" i="3"/>
  <c r="C39" i="3"/>
  <c r="B39" i="3"/>
  <c r="L39" i="3" s="1"/>
  <c r="L38" i="3"/>
  <c r="J38" i="3"/>
  <c r="E38" i="3"/>
  <c r="D38" i="3"/>
  <c r="C38" i="3"/>
  <c r="B38" i="3"/>
  <c r="K38" i="3" s="1"/>
  <c r="J27" i="3"/>
  <c r="J5" i="3"/>
  <c r="K5" i="3" s="1"/>
  <c r="I5" i="3"/>
  <c r="K27" i="3" l="1"/>
  <c r="L5" i="3"/>
  <c r="L27" i="3" s="1"/>
  <c r="L73" i="3" s="1"/>
  <c r="I39" i="3"/>
  <c r="J39" i="3"/>
  <c r="J73" i="3" s="1"/>
  <c r="K39" i="3"/>
  <c r="I38" i="3"/>
  <c r="I27" i="3" s="1"/>
  <c r="I73" i="3" s="1"/>
  <c r="J87" i="3" l="1"/>
  <c r="J75" i="3"/>
  <c r="O92" i="3"/>
  <c r="I87" i="3"/>
  <c r="I75" i="3"/>
  <c r="L74" i="3"/>
  <c r="L88" i="3" s="1"/>
  <c r="L75" i="3"/>
  <c r="L87" i="3"/>
  <c r="K73" i="3"/>
  <c r="O91" i="3" l="1"/>
  <c r="N93" i="3" s="1"/>
  <c r="K87" i="3"/>
  <c r="K75" i="3"/>
</calcChain>
</file>

<file path=xl/sharedStrings.xml><?xml version="1.0" encoding="utf-8"?>
<sst xmlns="http://schemas.openxmlformats.org/spreadsheetml/2006/main" count="408" uniqueCount="244">
  <si>
    <t>U HILJADAMA JE SVE OVO, SVUDA KAO TREBA GLEDATI DA IMA JOŠ *1000</t>
  </si>
  <si>
    <t>Income Statement(Bilans uspeha)</t>
  </si>
  <si>
    <t>Quarterly Total Revenue(Millions of US $)</t>
  </si>
  <si>
    <t>Breakdown</t>
  </si>
  <si>
    <t>Total Revenue</t>
  </si>
  <si>
    <t>9,917,000</t>
  </si>
  <si>
    <t>8,399,000</t>
  </si>
  <si>
    <t>5,992,000</t>
  </si>
  <si>
    <t>3,378,199</t>
  </si>
  <si>
    <t>Operating Revenue(uz total revenue)</t>
  </si>
  <si>
    <t>Q1</t>
  </si>
  <si>
    <t>Cost of Revenue</t>
  </si>
  <si>
    <t>1,703,000</t>
  </si>
  <si>
    <t>1,499,000</t>
  </si>
  <si>
    <t>1,156,000</t>
  </si>
  <si>
    <t>Q4</t>
  </si>
  <si>
    <t>Gross Profit</t>
  </si>
  <si>
    <t>8,214,000</t>
  </si>
  <si>
    <t>6,900,000</t>
  </si>
  <si>
    <t>4,836,000</t>
  </si>
  <si>
    <t>2,502,157</t>
  </si>
  <si>
    <t>Q3</t>
  </si>
  <si>
    <t>Q2</t>
  </si>
  <si>
    <t>Operating Expense</t>
  </si>
  <si>
    <t>6,696,000</t>
  </si>
  <si>
    <t>5,009,000</t>
  </si>
  <si>
    <t>4,294,000</t>
  </si>
  <si>
    <t>5,940,949</t>
  </si>
  <si>
    <t>Operating Income</t>
  </si>
  <si>
    <t>1,518,000</t>
  </si>
  <si>
    <t>1,891,000</t>
  </si>
  <si>
    <t>-3,438,792</t>
  </si>
  <si>
    <t>Net Non Operating Interest Income Expense</t>
  </si>
  <si>
    <t>Other Income Expense</t>
  </si>
  <si>
    <t>-1,098,575</t>
  </si>
  <si>
    <t>Pretax Income</t>
  </si>
  <si>
    <t>2,102,000</t>
  </si>
  <si>
    <t>1,989,000</t>
  </si>
  <si>
    <t>-4,681,938</t>
  </si>
  <si>
    <t>Tax Provision</t>
  </si>
  <si>
    <t>-2,690,000</t>
  </si>
  <si>
    <t>Net Income Common Stockholders</t>
  </si>
  <si>
    <t>4,792,000</t>
  </si>
  <si>
    <t>1,893,000</t>
  </si>
  <si>
    <t>-4,584,716</t>
  </si>
  <si>
    <t>Diluted NI Available to Com Stockholders</t>
  </si>
  <si>
    <t>Basic EPS</t>
  </si>
  <si>
    <t>7.52</t>
  </si>
  <si>
    <t>2.97</t>
  </si>
  <si>
    <t>-0.57</t>
  </si>
  <si>
    <t>-16.12</t>
  </si>
  <si>
    <t>Diluted EPS</t>
  </si>
  <si>
    <t>7.24</t>
  </si>
  <si>
    <t>2.79</t>
  </si>
  <si>
    <t>Basic Average Shares</t>
  </si>
  <si>
    <t>Diluted Average Shares</t>
  </si>
  <si>
    <t>Total Operating Income as Reported</t>
  </si>
  <si>
    <t>1,802,000</t>
  </si>
  <si>
    <t>-3,590,147</t>
  </si>
  <si>
    <t>Total Expenses</t>
  </si>
  <si>
    <t>6,508,000</t>
  </si>
  <si>
    <t>5,450,000</t>
  </si>
  <si>
    <t>6,816,991</t>
  </si>
  <si>
    <t>Net Income from Continuing &amp; Discontinued Operation</t>
  </si>
  <si>
    <t>Normalized Income</t>
  </si>
  <si>
    <t>1,977,728</t>
  </si>
  <si>
    <t>-4,436,539.46</t>
  </si>
  <si>
    <t>Interest Income</t>
  </si>
  <si>
    <t>Interest Expense</t>
  </si>
  <si>
    <t>Net Interest Income</t>
  </si>
  <si>
    <t>EBIT</t>
  </si>
  <si>
    <t>2,185,000</t>
  </si>
  <si>
    <t>2,013,000</t>
  </si>
  <si>
    <t>-4,510,250</t>
  </si>
  <si>
    <t>EBITDA</t>
  </si>
  <si>
    <t>2,229,000</t>
  </si>
  <si>
    <t>2,094,000</t>
  </si>
  <si>
    <t>-4,384,374</t>
  </si>
  <si>
    <t>Reconciled Cost of Revenue</t>
  </si>
  <si>
    <t>Reconciled Depreciation</t>
  </si>
  <si>
    <t>Net Income from Continuing Operation Net Minority Interest</t>
  </si>
  <si>
    <t>Total Unusual Items Excluding Goodwill</t>
  </si>
  <si>
    <t>--</t>
  </si>
  <si>
    <t>Total Unusual Items</t>
  </si>
  <si>
    <t>Normalized EBITDA</t>
  </si>
  <si>
    <t>2,183,000</t>
  </si>
  <si>
    <t>-4,233,019</t>
  </si>
  <si>
    <t>Tax Rate for Calcs</t>
  </si>
  <si>
    <t>Tax Effect of Unusual Items</t>
  </si>
  <si>
    <t>-3,178.46</t>
  </si>
  <si>
    <t>Balance sheet(Bilans stanja)</t>
  </si>
  <si>
    <t>Total Assets</t>
  </si>
  <si>
    <t>20,645,000</t>
  </si>
  <si>
    <t>16,038,000</t>
  </si>
  <si>
    <t>13,708,000</t>
  </si>
  <si>
    <t>10,491,499</t>
  </si>
  <si>
    <t>Total Liabilities Net Minority Interest</t>
  </si>
  <si>
    <t>12,480,000</t>
  </si>
  <si>
    <t>10,478,000</t>
  </si>
  <si>
    <t>8,933,000</t>
  </si>
  <si>
    <t>7,589,716</t>
  </si>
  <si>
    <t>Total Equity Gross Minority Interest</t>
  </si>
  <si>
    <t>8,165,000</t>
  </si>
  <si>
    <t>5,560,000</t>
  </si>
  <si>
    <t>4,775,000</t>
  </si>
  <si>
    <t>2,901,783</t>
  </si>
  <si>
    <t>Total Capitalization</t>
  </si>
  <si>
    <t>10,156,000</t>
  </si>
  <si>
    <t>7,547,000</t>
  </si>
  <si>
    <t>6,758,000</t>
  </si>
  <si>
    <t>4,717,345</t>
  </si>
  <si>
    <t>Common Stock Equity</t>
  </si>
  <si>
    <t>Capital Lease Obligations</t>
  </si>
  <si>
    <t>Net Tangible Assets</t>
  </si>
  <si>
    <t>7,373,000</t>
  </si>
  <si>
    <t>4,876,000</t>
  </si>
  <si>
    <t>4,070,000</t>
  </si>
  <si>
    <t>2,170,096</t>
  </si>
  <si>
    <t>Working Capital</t>
  </si>
  <si>
    <t>6,559,000</t>
  </si>
  <si>
    <t>6,883,000</t>
  </si>
  <si>
    <t>6,027,000</t>
  </si>
  <si>
    <t>3,776,607</t>
  </si>
  <si>
    <t>Invested Capital</t>
  </si>
  <si>
    <t>4,744,100</t>
  </si>
  <si>
    <t>Tangible Book Value</t>
  </si>
  <si>
    <t>Total Debt</t>
  </si>
  <si>
    <t>2,304,000</t>
  </si>
  <si>
    <t>2,341,000</t>
  </si>
  <si>
    <t>2,418,000</t>
  </si>
  <si>
    <t>2,329,808</t>
  </si>
  <si>
    <t>Share Issued</t>
  </si>
  <si>
    <t>Ordinary Shares Number</t>
  </si>
  <si>
    <t>Treasury Shares Number</t>
  </si>
  <si>
    <t>Cash Flow(Novčani tokovi)</t>
  </si>
  <si>
    <t>Operating Cash Flow</t>
  </si>
  <si>
    <t>3,884,000</t>
  </si>
  <si>
    <t>3,430,000</t>
  </si>
  <si>
    <t>2,313,000</t>
  </si>
  <si>
    <t>Investing Cash Flow</t>
  </si>
  <si>
    <t>-1,042,000</t>
  </si>
  <si>
    <t>-1,352,000</t>
  </si>
  <si>
    <t>Financing Cash Flow</t>
  </si>
  <si>
    <t>-2,430,000</t>
  </si>
  <si>
    <t>1,308,000</t>
  </si>
  <si>
    <t>2,940,814</t>
  </si>
  <si>
    <t>End Cash Position</t>
  </si>
  <si>
    <t>12,667,000</t>
  </si>
  <si>
    <t>12,103,000</t>
  </si>
  <si>
    <t>9,727,000</t>
  </si>
  <si>
    <t>7,668,252</t>
  </si>
  <si>
    <t>Income Tax Paid Supplemental Data</t>
  </si>
  <si>
    <t>Interest Paid Supplemental Data</t>
  </si>
  <si>
    <t>Capital Expenditure</t>
  </si>
  <si>
    <t>Issuance of Capital Stock</t>
  </si>
  <si>
    <t>3,650,870</t>
  </si>
  <si>
    <t>Issuance of Debt</t>
  </si>
  <si>
    <t>1,979,000</t>
  </si>
  <si>
    <t>1,928,880</t>
  </si>
  <si>
    <t>Repayment of Debt</t>
  </si>
  <si>
    <t>-2,208,000</t>
  </si>
  <si>
    <t>Repurchase of Capital Stock</t>
  </si>
  <si>
    <t>-2,252,000</t>
  </si>
  <si>
    <t>-1,500,000</t>
  </si>
  <si>
    <t>Free Cash Flow</t>
  </si>
  <si>
    <t>Selling and Marketing Expenses(in thousands of $)</t>
  </si>
  <si>
    <t>Year</t>
  </si>
  <si>
    <t>Spent</t>
  </si>
  <si>
    <t>Active Users(in millions)</t>
  </si>
  <si>
    <t>1,175,325</t>
  </si>
  <si>
    <t>1,186,000</t>
  </si>
  <si>
    <t>1,516,000</t>
  </si>
  <si>
    <t>1,763,000</t>
  </si>
  <si>
    <t>Total Dept (in thousands of $)</t>
  </si>
  <si>
    <t>Projekcije</t>
  </si>
  <si>
    <t>9.92</t>
  </si>
  <si>
    <t>29.83%</t>
  </si>
  <si>
    <t>30% sam uzeo</t>
  </si>
  <si>
    <t>5.99</t>
  </si>
  <si>
    <t>3.38</t>
  </si>
  <si>
    <t>4.81</t>
  </si>
  <si>
    <t>3.65</t>
  </si>
  <si>
    <t>2.56</t>
  </si>
  <si>
    <t>depresijacija</t>
  </si>
  <si>
    <t>sa sajta</t>
  </si>
  <si>
    <t>Ebit margine</t>
  </si>
  <si>
    <t>Income tax</t>
  </si>
  <si>
    <t>ovo je PP&amp;E</t>
  </si>
  <si>
    <t>CAPEX</t>
  </si>
  <si>
    <t>FCFF</t>
  </si>
  <si>
    <t>beta indeks</t>
  </si>
  <si>
    <t>TV</t>
  </si>
  <si>
    <t>g = 3,4%, toliki je bio rast BDP u Americi 2023 godine</t>
  </si>
  <si>
    <t>country risk free rate</t>
  </si>
  <si>
    <t>NPV</t>
  </si>
  <si>
    <t>još + 1% tako kao da bude jer je globalna korporacija</t>
  </si>
  <si>
    <t>equity risk free (erp)</t>
  </si>
  <si>
    <t>EBIT * (1-INCOME TAX) + DEPRESIJACIJA - CAPEX - working capital</t>
  </si>
  <si>
    <t>g = 4,4%</t>
  </si>
  <si>
    <t>country risk premium</t>
  </si>
  <si>
    <t>sovereign cds spread (scr)</t>
  </si>
  <si>
    <t>Interest expense</t>
  </si>
  <si>
    <t>Debt</t>
  </si>
  <si>
    <t>Cena duga (cost of debt)</t>
  </si>
  <si>
    <t>ovaj sam koristio za FCFF</t>
  </si>
  <si>
    <t>FCFF = EBIT(1 – Tax rate) + Dep – FCInv – WCInv.</t>
  </si>
  <si>
    <t>RE</t>
  </si>
  <si>
    <t>Retained earnings - Zadržana zarada</t>
  </si>
  <si>
    <t>RD</t>
  </si>
  <si>
    <t>corporate tax rate (crp)</t>
  </si>
  <si>
    <t>FCFF diskontovano</t>
  </si>
  <si>
    <t>number of shares</t>
  </si>
  <si>
    <t>TV diskontovano</t>
  </si>
  <si>
    <t>price share</t>
  </si>
  <si>
    <t>E</t>
  </si>
  <si>
    <t>V</t>
  </si>
  <si>
    <t>Ukupna sadašnja vrednost</t>
  </si>
  <si>
    <t>Ukupna NPV</t>
  </si>
  <si>
    <t>wacc</t>
  </si>
  <si>
    <t>Vrednost kapitala</t>
  </si>
  <si>
    <t>Vrednost akcija</t>
  </si>
  <si>
    <t>136.14</t>
  </si>
  <si>
    <t>Ovo je za vrednost akcije</t>
  </si>
  <si>
    <t>Analiziraj šta znači svaki od ovih koeficijenata</t>
  </si>
  <si>
    <t>ovde je procena vrednosti akcije 12130,00$</t>
  </si>
  <si>
    <t>procena vrednosti akcije</t>
  </si>
  <si>
    <t>Da li je dobra ili losa njihova vrednost, imas u teoriji to</t>
  </si>
  <si>
    <t>cena akcije je 158,05$ procenjena da treba biti</t>
  </si>
  <si>
    <t>PEG racio</t>
  </si>
  <si>
    <t>ROA</t>
  </si>
  <si>
    <t>EPS</t>
  </si>
  <si>
    <t>146,20 cena akcije u trenutku kada se radila analiza</t>
  </si>
  <si>
    <t>ovde je korištena ova formula</t>
  </si>
  <si>
    <t>ROE</t>
  </si>
  <si>
    <t>PE</t>
  </si>
  <si>
    <t>ovo 0,13164 to je cena akcije, ali zbog hiljada je ovako zapisana</t>
  </si>
  <si>
    <t>ROI</t>
  </si>
  <si>
    <t>cena akcije 7.6.2024.</t>
  </si>
  <si>
    <t>Free cash flow measures cash generated by the existing business operations after accounting for capital expenditures needed to maintain the asset base.</t>
  </si>
  <si>
    <t>NPV analysis focuses on estimating future cash flows from a new project or investment and determining if the returns exceed the hurdle rate.</t>
  </si>
  <si>
    <t>Terminal value is a financial concept used in discounted cash flow (DCF) analysis and depreciation to account for the value of an asset at the end of its useful life or of a business past some projection period. Net present value (NPV) measures the profitability of an investment or project.</t>
  </si>
  <si>
    <t>Ovo je za procenu kapitala</t>
  </si>
  <si>
    <t>price/cash flow</t>
  </si>
  <si>
    <t>price/book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</si>
</sst>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#,##0.00;\(#,##0.00\)"/>
    <numFmt numFmtId="166" formatCode="d\.m"/>
    <numFmt numFmtId="167" formatCode="d\.m\.yyyy\."/>
  </numFmts>
  <fonts count="1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7"/>
      <color rgb="FFFFFFFF"/>
      <name val="Arial"/>
      <scheme val="minor"/>
    </font>
    <font>
      <b/>
      <sz val="12"/>
      <color theme="1"/>
      <name val="Arial"/>
      <scheme val="minor"/>
    </font>
    <font>
      <sz val="12"/>
      <color rgb="FFFFFFFF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</font>
    <font>
      <sz val="16"/>
      <color rgb="FFFFFFFF"/>
      <name val="Arial"/>
      <scheme val="minor"/>
    </font>
    <font>
      <sz val="12"/>
      <color rgb="FF434343"/>
      <name val="Arial"/>
      <scheme val="minor"/>
    </font>
    <font>
      <sz val="16"/>
      <color rgb="FFF3F3F3"/>
      <name val="Arial"/>
      <scheme val="minor"/>
    </font>
    <font>
      <sz val="12"/>
      <color rgb="FF000000"/>
      <name val="Arial"/>
      <scheme val="minor"/>
    </font>
    <font>
      <sz val="18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1F1F1F"/>
      <name val="Arial"/>
      <scheme val="minor"/>
    </font>
    <font>
      <sz val="14"/>
      <color rgb="FF231F20"/>
      <name val="Lato"/>
    </font>
    <font>
      <u/>
      <sz val="10"/>
      <color rgb="FF0000FF"/>
      <name val="Arial"/>
    </font>
    <font>
      <sz val="14"/>
      <color rgb="FF3D3D3D"/>
      <name val="Manrope"/>
    </font>
  </fonts>
  <fills count="14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5F5F5"/>
        <bgColor rgb="FFF5F5F5"/>
      </patternFill>
    </fill>
  </fills>
  <borders count="4">
    <border>
      <left/>
      <right/>
      <top/>
      <bottom/>
      <diagonal/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  <diagonal/>
    </border>
    <border>
      <left/>
      <right/>
      <top/>
      <bottom style="thin">
        <color rgb="FF000000"/>
      </bottom>
      <diagonal/>
    </border>
    <border>
      <left style="thin">
        <color rgb="FFC9DAF8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wrapText="1"/>
    </xf>
    <xf numFmtId="0" fontId="4" fillId="3" borderId="0" xfId="0" applyFont="1" applyFill="1"/>
    <xf numFmtId="164" fontId="4" fillId="3" borderId="0" xfId="0" applyNumberFormat="1" applyFont="1" applyFill="1" applyAlignment="1">
      <alignment horizontal="left"/>
    </xf>
    <xf numFmtId="164" fontId="4" fillId="0" borderId="0" xfId="0" applyNumberFormat="1" applyFont="1" applyAlignment="1">
      <alignment horizontal="left"/>
    </xf>
    <xf numFmtId="164" fontId="1" fillId="0" borderId="0" xfId="0" applyNumberFormat="1" applyFont="1"/>
    <xf numFmtId="4" fontId="5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164" fontId="6" fillId="0" borderId="0" xfId="0" applyNumberFormat="1" applyFont="1"/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4" borderId="0" xfId="0" applyFont="1" applyFill="1"/>
    <xf numFmtId="0" fontId="8" fillId="5" borderId="0" xfId="0" applyFont="1" applyFill="1"/>
    <xf numFmtId="164" fontId="5" fillId="5" borderId="0" xfId="0" applyNumberFormat="1" applyFont="1" applyFill="1" applyAlignment="1">
      <alignment horizontal="left"/>
    </xf>
    <xf numFmtId="0" fontId="9" fillId="6" borderId="0" xfId="0" applyFont="1" applyFill="1"/>
    <xf numFmtId="0" fontId="5" fillId="7" borderId="0" xfId="0" applyFont="1" applyFill="1"/>
    <xf numFmtId="164" fontId="5" fillId="7" borderId="0" xfId="0" applyNumberFormat="1" applyFont="1" applyFill="1" applyAlignment="1">
      <alignment horizontal="left"/>
    </xf>
    <xf numFmtId="0" fontId="10" fillId="3" borderId="0" xfId="0" applyFont="1" applyFill="1" applyAlignment="1">
      <alignment wrapText="1"/>
    </xf>
    <xf numFmtId="0" fontId="11" fillId="0" borderId="0" xfId="0" applyFont="1"/>
    <xf numFmtId="0" fontId="1" fillId="8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/>
    <xf numFmtId="0" fontId="12" fillId="10" borderId="0" xfId="0" applyFont="1" applyFill="1"/>
    <xf numFmtId="0" fontId="1" fillId="0" borderId="0" xfId="0" applyFont="1" applyAlignment="1">
      <alignment horizontal="left"/>
    </xf>
    <xf numFmtId="0" fontId="1" fillId="0" borderId="3" xfId="0" applyFont="1" applyBorder="1"/>
    <xf numFmtId="0" fontId="13" fillId="11" borderId="0" xfId="0" applyFont="1" applyFill="1"/>
    <xf numFmtId="9" fontId="1" fillId="0" borderId="0" xfId="0" applyNumberFormat="1" applyFont="1"/>
    <xf numFmtId="165" fontId="5" fillId="0" borderId="0" xfId="0" applyNumberFormat="1" applyFont="1" applyAlignment="1">
      <alignment horizontal="left"/>
    </xf>
    <xf numFmtId="165" fontId="1" fillId="0" borderId="0" xfId="0" applyNumberFormat="1" applyFont="1"/>
    <xf numFmtId="166" fontId="1" fillId="0" borderId="0" xfId="0" applyNumberFormat="1" applyFont="1"/>
    <xf numFmtId="165" fontId="1" fillId="12" borderId="0" xfId="0" applyNumberFormat="1" applyFont="1" applyFill="1"/>
    <xf numFmtId="0" fontId="1" fillId="12" borderId="0" xfId="0" applyFont="1" applyFill="1"/>
    <xf numFmtId="10" fontId="1" fillId="0" borderId="0" xfId="0" applyNumberFormat="1" applyFont="1"/>
    <xf numFmtId="0" fontId="14" fillId="13" borderId="0" xfId="0" applyFont="1" applyFill="1" applyAlignment="1">
      <alignment horizontal="left"/>
    </xf>
    <xf numFmtId="0" fontId="15" fillId="0" borderId="0" xfId="0" applyFont="1"/>
    <xf numFmtId="167" fontId="1" fillId="0" borderId="0" xfId="0" applyNumberFormat="1" applyFont="1"/>
    <xf numFmtId="10" fontId="1" fillId="12" borderId="0" xfId="0" applyNumberFormat="1" applyFont="1" applyFill="1"/>
    <xf numFmtId="0" fontId="16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Quarterly Total Revenue 2023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'Bilans stanja i uspeha i cash f'!$O$8:$O$11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'Bilans stanja i uspeha i cash f'!$P$8:$P$11</c:f>
              <c:numCache>
                <c:formatCode>General</c:formatCode>
                <c:ptCount val="4"/>
                <c:pt idx="0">
                  <c:v>1818</c:v>
                </c:pt>
                <c:pt idx="1">
                  <c:v>2484</c:v>
                </c:pt>
                <c:pt idx="2">
                  <c:v>3397</c:v>
                </c:pt>
                <c:pt idx="3">
                  <c:v>2218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237-4FDA-BF05-2CA5791D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193693"/>
        <c:axId val="131721772"/>
      </c:barChart>
      <c:catAx>
        <c:axId val="838193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721772"/>
        <c:crosses val="autoZero"/>
        <c:auto val="1"/>
        <c:lblAlgn val="ctr"/>
        <c:lblOffset val="100"/>
        <c:noMultiLvlLbl val="1"/>
      </c:catAx>
      <c:valAx>
        <c:axId val="131721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Millions of US$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81936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Quarterly Total Revenue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'Bilans stanja i uspeha i cash f'!$O$13:$O$16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'Bilans stanja i uspeha i cash f'!$P$13:$P$16</c:f>
              <c:numCache>
                <c:formatCode>General</c:formatCode>
                <c:ptCount val="4"/>
                <c:pt idx="0">
                  <c:v>1509</c:v>
                </c:pt>
                <c:pt idx="1">
                  <c:v>2104</c:v>
                </c:pt>
                <c:pt idx="2">
                  <c:v>2884</c:v>
                </c:pt>
                <c:pt idx="3">
                  <c:v>1902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17-494D-B658-0C4D2EF6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053857"/>
        <c:axId val="1448402170"/>
      </c:barChart>
      <c:catAx>
        <c:axId val="543053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8402170"/>
        <c:crosses val="autoZero"/>
        <c:auto val="1"/>
        <c:lblAlgn val="ctr"/>
        <c:lblOffset val="100"/>
        <c:noMultiLvlLbl val="1"/>
      </c:catAx>
      <c:valAx>
        <c:axId val="1448402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Millions of US$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30538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Quarterly Total Revenue 2021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'Bilans stanja i uspeha i cash f'!$O$18:$O$21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'Bilans stanja i uspeha i cash f'!$P$18:$P$21</c:f>
              <c:numCache>
                <c:formatCode>General</c:formatCode>
                <c:ptCount val="4"/>
                <c:pt idx="0">
                  <c:v>887</c:v>
                </c:pt>
                <c:pt idx="1">
                  <c:v>1335</c:v>
                </c:pt>
                <c:pt idx="2">
                  <c:v>2237</c:v>
                </c:pt>
                <c:pt idx="3">
                  <c:v>1532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D15-4E72-8B5D-A05C7938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501595"/>
        <c:axId val="1552009148"/>
      </c:barChart>
      <c:catAx>
        <c:axId val="1859501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2009148"/>
        <c:crosses val="autoZero"/>
        <c:auto val="1"/>
        <c:lblAlgn val="ctr"/>
        <c:lblOffset val="100"/>
        <c:noMultiLvlLbl val="1"/>
      </c:catAx>
      <c:valAx>
        <c:axId val="1552009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Millions of US$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95015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Quarterly Total Revenue 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'Bilans stanja i uspeha i cash f'!$O$23:$O$26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'Bilans stanja i uspeha i cash f'!$P$23:$P$26</c:f>
              <c:numCache>
                <c:formatCode>General</c:formatCode>
                <c:ptCount val="4"/>
                <c:pt idx="0">
                  <c:v>842</c:v>
                </c:pt>
                <c:pt idx="1">
                  <c:v>335</c:v>
                </c:pt>
                <c:pt idx="2">
                  <c:v>1342</c:v>
                </c:pt>
                <c:pt idx="3">
                  <c:v>859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99-4C9E-A0DC-E60AE093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200907"/>
        <c:axId val="1888596188"/>
      </c:barChart>
      <c:catAx>
        <c:axId val="1943200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8596188"/>
        <c:crosses val="autoZero"/>
        <c:auto val="1"/>
        <c:lblAlgn val="ctr"/>
        <c:lblOffset val="100"/>
        <c:noMultiLvlLbl val="1"/>
      </c:catAx>
      <c:valAx>
        <c:axId val="1888596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Millions of US$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32009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552450</xdr:colOff>
      <xdr:row>2</xdr:row>
      <xdr:rowOff>542925</xdr:rowOff>
    </xdr:from>
    <xdr:ext cx="5715000" cy="3533775"/>
    <xdr:graphicFrame macro="">
      <xdr:nvGraphicFramePr>
        <xdr:cNvPr id="2" name="Chart 1" title="Графикон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552450</xdr:colOff>
      <xdr:row>18</xdr:row>
      <xdr:rowOff>219075</xdr:rowOff>
    </xdr:from>
    <xdr:ext cx="5715000" cy="3533775"/>
    <xdr:graphicFrame macro="">
      <xdr:nvGraphicFramePr>
        <xdr:cNvPr id="3" name="Chart 2" title="Графикон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552450</xdr:colOff>
      <xdr:row>34</xdr:row>
      <xdr:rowOff>123825</xdr:rowOff>
    </xdr:from>
    <xdr:ext cx="5715000" cy="3533775"/>
    <xdr:graphicFrame macro="">
      <xdr:nvGraphicFramePr>
        <xdr:cNvPr id="4" name="Chart 3" title="Графикон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552450</xdr:colOff>
      <xdr:row>50</xdr:row>
      <xdr:rowOff>104775</xdr:rowOff>
    </xdr:from>
    <xdr:ext cx="5715000" cy="3533775"/>
    <xdr:graphicFrame macro="">
      <xdr:nvGraphicFramePr>
        <xdr:cNvPr id="5" name="Chart 4" title="Графикон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847725</xdr:colOff>
      <xdr:row>88</xdr:row>
      <xdr:rowOff>57150</xdr:rowOff>
    </xdr:from>
    <xdr:ext cx="3057525" cy="2143125"/>
    <xdr:pic>
      <xdr:nvPicPr>
        <xdr:cNvPr id="2" name="image1.png" title="Слика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95"/>
  <sheetViews>
    <sheetView tabSelected="1" workbookViewId="0"/>
  </sheetViews>
  <sheetFormatPr defaultColWidth="12.5703125" defaultRowHeight="15.75" customHeight="1"/>
  <cols>
    <col min="1" max="1" width="51" customWidth="1"/>
    <col min="2" max="2" width="18.85546875" customWidth="1"/>
    <col min="6" max="6" width="15.42578125" customWidth="1"/>
    <col min="9" max="9" width="17.5703125" customWidth="1"/>
    <col min="10" max="10" width="25.28515625" customWidth="1"/>
    <col min="11" max="11" width="18.85546875" customWidth="1"/>
  </cols>
  <sheetData>
    <row r="2" spans="1:16">
      <c r="B2" s="1" t="s">
        <v>0</v>
      </c>
    </row>
    <row r="3" spans="1:16" ht="15.75" customHeight="1">
      <c r="A3" s="2" t="s">
        <v>1</v>
      </c>
      <c r="K3" s="3" t="s">
        <v>2</v>
      </c>
    </row>
    <row r="4" spans="1:16">
      <c r="A4" s="4" t="s">
        <v>3</v>
      </c>
      <c r="B4" s="5">
        <v>45291</v>
      </c>
      <c r="C4" s="5">
        <v>44926</v>
      </c>
      <c r="D4" s="5">
        <v>44561</v>
      </c>
      <c r="E4" s="5">
        <v>44196</v>
      </c>
      <c r="F4" s="6"/>
      <c r="K4" s="7"/>
      <c r="L4" s="7"/>
      <c r="M4" s="7"/>
      <c r="N4" s="7"/>
    </row>
    <row r="5" spans="1:16">
      <c r="A5" s="4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/>
      <c r="K5" s="7"/>
      <c r="L5" s="9"/>
    </row>
    <row r="6" spans="1:16">
      <c r="A6" s="4" t="s">
        <v>9</v>
      </c>
      <c r="B6" s="8" t="s">
        <v>5</v>
      </c>
      <c r="C6" s="8" t="s">
        <v>6</v>
      </c>
      <c r="D6" s="8" t="s">
        <v>7</v>
      </c>
      <c r="E6" s="8" t="s">
        <v>8</v>
      </c>
      <c r="F6" s="8"/>
      <c r="K6" s="10" t="s">
        <v>10</v>
      </c>
      <c r="L6" s="11">
        <v>45382</v>
      </c>
      <c r="M6" s="9">
        <v>2142</v>
      </c>
    </row>
    <row r="7" spans="1:16">
      <c r="A7" s="4"/>
      <c r="B7" s="8"/>
      <c r="C7" s="8"/>
      <c r="D7" s="8"/>
      <c r="E7" s="8"/>
      <c r="F7" s="8"/>
      <c r="K7" s="10"/>
      <c r="L7" s="11"/>
      <c r="M7" s="9"/>
    </row>
    <row r="8" spans="1:16">
      <c r="A8" s="4" t="s">
        <v>11</v>
      </c>
      <c r="B8" s="8" t="s">
        <v>12</v>
      </c>
      <c r="C8" s="8" t="s">
        <v>13</v>
      </c>
      <c r="D8" s="8" t="s">
        <v>14</v>
      </c>
      <c r="E8" s="8">
        <v>876042</v>
      </c>
      <c r="F8" s="8"/>
      <c r="K8" s="10" t="s">
        <v>15</v>
      </c>
      <c r="L8" s="11">
        <v>45291</v>
      </c>
      <c r="M8" s="9">
        <v>2218</v>
      </c>
      <c r="O8" s="1" t="s">
        <v>10</v>
      </c>
      <c r="P8" s="9">
        <v>1818</v>
      </c>
    </row>
    <row r="9" spans="1:16">
      <c r="A9" s="4" t="s">
        <v>16</v>
      </c>
      <c r="B9" s="8" t="s">
        <v>17</v>
      </c>
      <c r="C9" s="8" t="s">
        <v>18</v>
      </c>
      <c r="D9" s="8" t="s">
        <v>19</v>
      </c>
      <c r="E9" s="8" t="s">
        <v>20</v>
      </c>
      <c r="F9" s="8"/>
      <c r="K9" s="10" t="s">
        <v>21</v>
      </c>
      <c r="L9" s="11">
        <v>45199</v>
      </c>
      <c r="M9" s="9">
        <v>3397</v>
      </c>
      <c r="O9" s="1" t="s">
        <v>22</v>
      </c>
      <c r="P9" s="9">
        <v>2484</v>
      </c>
    </row>
    <row r="10" spans="1:16">
      <c r="A10" s="4" t="s">
        <v>23</v>
      </c>
      <c r="B10" s="8" t="s">
        <v>24</v>
      </c>
      <c r="C10" s="8" t="s">
        <v>25</v>
      </c>
      <c r="D10" s="8" t="s">
        <v>26</v>
      </c>
      <c r="E10" s="8" t="s">
        <v>27</v>
      </c>
      <c r="F10" s="8"/>
      <c r="K10" s="10" t="s">
        <v>22</v>
      </c>
      <c r="L10" s="11">
        <v>45107</v>
      </c>
      <c r="M10" s="9">
        <v>2484</v>
      </c>
      <c r="O10" s="1" t="s">
        <v>21</v>
      </c>
      <c r="P10" s="9">
        <v>3397</v>
      </c>
    </row>
    <row r="11" spans="1:16">
      <c r="A11" s="4" t="s">
        <v>28</v>
      </c>
      <c r="B11" s="8" t="s">
        <v>29</v>
      </c>
      <c r="C11" s="8" t="s">
        <v>30</v>
      </c>
      <c r="D11" s="8">
        <v>542000</v>
      </c>
      <c r="E11" s="8" t="s">
        <v>31</v>
      </c>
      <c r="F11" s="8"/>
      <c r="K11" s="10" t="s">
        <v>10</v>
      </c>
      <c r="L11" s="11">
        <v>45016</v>
      </c>
      <c r="M11" s="9">
        <v>1818</v>
      </c>
      <c r="O11" s="1" t="s">
        <v>15</v>
      </c>
      <c r="P11" s="9">
        <v>2218</v>
      </c>
    </row>
    <row r="12" spans="1:16">
      <c r="A12" s="4"/>
      <c r="B12" s="8"/>
      <c r="C12" s="8"/>
      <c r="D12" s="8"/>
      <c r="E12" s="8"/>
      <c r="F12" s="8"/>
      <c r="K12" s="10"/>
      <c r="L12" s="11"/>
      <c r="M12" s="9"/>
    </row>
    <row r="13" spans="1:16">
      <c r="A13" s="4" t="s">
        <v>32</v>
      </c>
      <c r="B13" s="8">
        <v>638000</v>
      </c>
      <c r="C13" s="8">
        <v>162000</v>
      </c>
      <c r="D13" s="8">
        <v>-425000</v>
      </c>
      <c r="E13" s="8">
        <v>-144571</v>
      </c>
      <c r="F13" s="8"/>
      <c r="K13" s="10" t="s">
        <v>15</v>
      </c>
      <c r="L13" s="11">
        <v>44926</v>
      </c>
      <c r="M13" s="9">
        <v>1902</v>
      </c>
      <c r="O13" s="1" t="s">
        <v>10</v>
      </c>
      <c r="P13" s="9">
        <v>1509</v>
      </c>
    </row>
    <row r="14" spans="1:16">
      <c r="A14" s="4" t="s">
        <v>33</v>
      </c>
      <c r="B14" s="12">
        <v>-54000</v>
      </c>
      <c r="C14" s="12">
        <v>-64000</v>
      </c>
      <c r="D14" s="12">
        <v>-417000</v>
      </c>
      <c r="E14" s="12" t="s">
        <v>34</v>
      </c>
      <c r="F14" s="12"/>
      <c r="K14" s="10" t="s">
        <v>21</v>
      </c>
      <c r="L14" s="11">
        <v>44834</v>
      </c>
      <c r="M14" s="9">
        <v>2884</v>
      </c>
      <c r="O14" s="1" t="s">
        <v>22</v>
      </c>
      <c r="P14" s="9">
        <v>2104</v>
      </c>
    </row>
    <row r="15" spans="1:16">
      <c r="A15" s="4" t="s">
        <v>35</v>
      </c>
      <c r="B15" s="12" t="s">
        <v>36</v>
      </c>
      <c r="C15" s="12" t="s">
        <v>37</v>
      </c>
      <c r="D15" s="12">
        <v>-300000</v>
      </c>
      <c r="E15" s="12" t="s">
        <v>38</v>
      </c>
      <c r="F15" s="12"/>
      <c r="K15" s="10" t="s">
        <v>22</v>
      </c>
      <c r="L15" s="11">
        <v>44742</v>
      </c>
      <c r="M15" s="9">
        <v>2104</v>
      </c>
      <c r="O15" s="1" t="s">
        <v>21</v>
      </c>
      <c r="P15" s="9">
        <v>2884</v>
      </c>
    </row>
    <row r="16" spans="1:16">
      <c r="A16" s="4" t="s">
        <v>39</v>
      </c>
      <c r="B16" s="12" t="s">
        <v>40</v>
      </c>
      <c r="C16" s="12">
        <v>96000</v>
      </c>
      <c r="D16" s="12">
        <v>52000</v>
      </c>
      <c r="E16" s="12">
        <v>-97.221999999999994</v>
      </c>
      <c r="F16" s="12"/>
      <c r="K16" s="10" t="s">
        <v>10</v>
      </c>
      <c r="L16" s="11">
        <v>44651</v>
      </c>
      <c r="M16" s="9">
        <v>1509</v>
      </c>
      <c r="O16" s="1" t="s">
        <v>15</v>
      </c>
      <c r="P16" s="9">
        <v>1902</v>
      </c>
    </row>
    <row r="17" spans="1:16">
      <c r="A17" s="4"/>
      <c r="B17" s="12"/>
      <c r="C17" s="12"/>
      <c r="D17" s="12"/>
      <c r="E17" s="12"/>
      <c r="F17" s="12"/>
      <c r="K17" s="10"/>
      <c r="L17" s="11"/>
      <c r="M17" s="9"/>
    </row>
    <row r="18" spans="1:16">
      <c r="A18" s="4" t="s">
        <v>41</v>
      </c>
      <c r="B18" s="12" t="s">
        <v>42</v>
      </c>
      <c r="C18" s="12" t="s">
        <v>43</v>
      </c>
      <c r="D18" s="12">
        <v>-352000</v>
      </c>
      <c r="E18" s="12" t="s">
        <v>44</v>
      </c>
      <c r="F18" s="12"/>
      <c r="K18" s="10" t="s">
        <v>15</v>
      </c>
      <c r="L18" s="11">
        <v>44561</v>
      </c>
      <c r="M18" s="9">
        <v>1532</v>
      </c>
      <c r="O18" s="1" t="s">
        <v>10</v>
      </c>
      <c r="P18" s="9">
        <v>887</v>
      </c>
    </row>
    <row r="19" spans="1:16">
      <c r="A19" s="4" t="s">
        <v>45</v>
      </c>
      <c r="B19" s="12" t="s">
        <v>42</v>
      </c>
      <c r="C19" s="12" t="s">
        <v>43</v>
      </c>
      <c r="D19" s="12">
        <v>-352000</v>
      </c>
      <c r="E19" s="12" t="s">
        <v>44</v>
      </c>
      <c r="F19" s="12"/>
      <c r="K19" s="10" t="s">
        <v>21</v>
      </c>
      <c r="L19" s="11">
        <v>44469</v>
      </c>
      <c r="M19" s="9">
        <v>2237</v>
      </c>
      <c r="O19" s="1" t="s">
        <v>22</v>
      </c>
      <c r="P19" s="9">
        <v>1335</v>
      </c>
    </row>
    <row r="20" spans="1:16">
      <c r="A20" s="4" t="s">
        <v>46</v>
      </c>
      <c r="B20" s="12" t="s">
        <v>47</v>
      </c>
      <c r="C20" s="12" t="s">
        <v>48</v>
      </c>
      <c r="D20" s="12" t="s">
        <v>49</v>
      </c>
      <c r="E20" s="12" t="s">
        <v>50</v>
      </c>
      <c r="F20" s="12"/>
      <c r="K20" s="10" t="s">
        <v>22</v>
      </c>
      <c r="L20" s="11">
        <v>44377</v>
      </c>
      <c r="M20" s="9">
        <v>1335</v>
      </c>
      <c r="O20" s="1" t="s">
        <v>21</v>
      </c>
      <c r="P20" s="9">
        <v>2237</v>
      </c>
    </row>
    <row r="21" spans="1:16">
      <c r="A21" s="4" t="s">
        <v>51</v>
      </c>
      <c r="B21" s="12" t="s">
        <v>52</v>
      </c>
      <c r="C21" s="12" t="s">
        <v>53</v>
      </c>
      <c r="D21" s="12" t="s">
        <v>49</v>
      </c>
      <c r="E21" s="12" t="s">
        <v>50</v>
      </c>
      <c r="F21" s="12"/>
      <c r="K21" s="10" t="s">
        <v>10</v>
      </c>
      <c r="L21" s="11">
        <v>44286</v>
      </c>
      <c r="M21" s="9">
        <v>887</v>
      </c>
      <c r="O21" s="1" t="s">
        <v>15</v>
      </c>
      <c r="P21" s="9">
        <v>1532</v>
      </c>
    </row>
    <row r="22" spans="1:16">
      <c r="A22" s="4"/>
      <c r="B22" s="12"/>
      <c r="C22" s="12"/>
      <c r="D22" s="12"/>
      <c r="E22" s="12"/>
      <c r="F22" s="12"/>
      <c r="K22" s="10"/>
      <c r="L22" s="11"/>
      <c r="M22" s="9"/>
    </row>
    <row r="23" spans="1:16">
      <c r="A23" s="4" t="s">
        <v>54</v>
      </c>
      <c r="B23" s="12">
        <v>637000</v>
      </c>
      <c r="C23" s="12">
        <v>637000</v>
      </c>
      <c r="D23" s="12">
        <v>616000</v>
      </c>
      <c r="E23" s="12">
        <v>284.363</v>
      </c>
      <c r="F23" s="12"/>
      <c r="K23" s="10" t="s">
        <v>15</v>
      </c>
      <c r="L23" s="11">
        <v>44196</v>
      </c>
      <c r="M23" s="9">
        <v>859</v>
      </c>
      <c r="O23" s="1" t="s">
        <v>10</v>
      </c>
      <c r="P23" s="9">
        <v>842</v>
      </c>
    </row>
    <row r="24" spans="1:16">
      <c r="A24" s="4" t="s">
        <v>55</v>
      </c>
      <c r="B24" s="12">
        <v>662000</v>
      </c>
      <c r="C24" s="12">
        <v>680000</v>
      </c>
      <c r="D24" s="12">
        <v>616000</v>
      </c>
      <c r="E24" s="12">
        <v>284.363</v>
      </c>
      <c r="F24" s="12"/>
      <c r="K24" s="10" t="s">
        <v>21</v>
      </c>
      <c r="L24" s="11">
        <v>44104</v>
      </c>
      <c r="M24" s="9">
        <v>1342</v>
      </c>
      <c r="O24" s="1" t="s">
        <v>22</v>
      </c>
      <c r="P24" s="9">
        <v>335</v>
      </c>
    </row>
    <row r="25" spans="1:16">
      <c r="A25" s="4" t="s">
        <v>56</v>
      </c>
      <c r="B25" s="12" t="s">
        <v>29</v>
      </c>
      <c r="C25" s="12" t="s">
        <v>57</v>
      </c>
      <c r="D25" s="12">
        <v>429000</v>
      </c>
      <c r="E25" s="12" t="s">
        <v>58</v>
      </c>
      <c r="F25" s="12"/>
      <c r="K25" s="10" t="s">
        <v>22</v>
      </c>
      <c r="L25" s="11">
        <v>44012</v>
      </c>
      <c r="M25" s="9">
        <v>335</v>
      </c>
      <c r="O25" s="1" t="s">
        <v>21</v>
      </c>
      <c r="P25" s="9">
        <v>1342</v>
      </c>
    </row>
    <row r="26" spans="1:16">
      <c r="A26" s="4" t="s">
        <v>59</v>
      </c>
      <c r="B26" s="12" t="s">
        <v>6</v>
      </c>
      <c r="C26" s="12" t="s">
        <v>60</v>
      </c>
      <c r="D26" s="12" t="s">
        <v>61</v>
      </c>
      <c r="E26" s="12" t="s">
        <v>62</v>
      </c>
      <c r="F26" s="12"/>
      <c r="K26" s="13" t="s">
        <v>10</v>
      </c>
      <c r="L26" s="11">
        <v>43921</v>
      </c>
      <c r="M26" s="9">
        <v>842</v>
      </c>
      <c r="O26" s="1" t="s">
        <v>15</v>
      </c>
      <c r="P26" s="9">
        <v>859</v>
      </c>
    </row>
    <row r="27" spans="1:16">
      <c r="A27" s="4" t="s">
        <v>63</v>
      </c>
      <c r="B27" s="12" t="s">
        <v>42</v>
      </c>
      <c r="C27" s="12" t="s">
        <v>43</v>
      </c>
      <c r="D27" s="12">
        <v>-352000</v>
      </c>
      <c r="E27" s="12" t="s">
        <v>44</v>
      </c>
      <c r="F27" s="12"/>
    </row>
    <row r="28" spans="1:16">
      <c r="A28" s="4" t="s">
        <v>64</v>
      </c>
      <c r="B28" s="12" t="s">
        <v>42</v>
      </c>
      <c r="C28" s="12" t="s">
        <v>65</v>
      </c>
      <c r="D28" s="12">
        <v>-269510</v>
      </c>
      <c r="E28" s="12" t="s">
        <v>66</v>
      </c>
      <c r="F28" s="12"/>
    </row>
    <row r="29" spans="1:16">
      <c r="A29" s="4" t="s">
        <v>67</v>
      </c>
      <c r="B29" s="12">
        <v>721000</v>
      </c>
      <c r="C29" s="12">
        <v>186000</v>
      </c>
      <c r="D29" s="12">
        <v>13000</v>
      </c>
      <c r="E29" s="12">
        <v>27.117000000000001</v>
      </c>
      <c r="F29" s="12"/>
    </row>
    <row r="30" spans="1:16">
      <c r="A30" s="4" t="s">
        <v>68</v>
      </c>
      <c r="B30" s="12">
        <v>83000</v>
      </c>
      <c r="C30" s="12">
        <v>24000</v>
      </c>
      <c r="D30" s="12">
        <v>438000</v>
      </c>
      <c r="E30" s="12">
        <v>171.68799999999999</v>
      </c>
      <c r="F30" s="12"/>
    </row>
    <row r="31" spans="1:16">
      <c r="A31" s="4" t="s">
        <v>69</v>
      </c>
      <c r="B31" s="12">
        <v>638000</v>
      </c>
      <c r="C31" s="12">
        <v>162000</v>
      </c>
      <c r="D31" s="12">
        <v>-425000</v>
      </c>
      <c r="E31" s="12">
        <v>-144.571</v>
      </c>
      <c r="F31" s="12"/>
    </row>
    <row r="32" spans="1:16">
      <c r="A32" s="4" t="s">
        <v>70</v>
      </c>
      <c r="B32" s="12" t="s">
        <v>71</v>
      </c>
      <c r="C32" s="12" t="s">
        <v>72</v>
      </c>
      <c r="D32" s="12">
        <v>138000</v>
      </c>
      <c r="E32" s="12" t="s">
        <v>73</v>
      </c>
      <c r="F32" s="12"/>
    </row>
    <row r="33" spans="1:6">
      <c r="A33" s="4" t="s">
        <v>74</v>
      </c>
      <c r="B33" s="12" t="s">
        <v>75</v>
      </c>
      <c r="C33" s="12" t="s">
        <v>76</v>
      </c>
      <c r="D33" s="12">
        <v>276000</v>
      </c>
      <c r="E33" s="12" t="s">
        <v>77</v>
      </c>
      <c r="F33" s="12"/>
    </row>
    <row r="34" spans="1:6">
      <c r="A34" s="4" t="s">
        <v>78</v>
      </c>
      <c r="B34" s="12" t="s">
        <v>12</v>
      </c>
      <c r="C34" s="12" t="s">
        <v>13</v>
      </c>
      <c r="D34" s="12" t="s">
        <v>14</v>
      </c>
      <c r="E34" s="12">
        <v>876.04200000000003</v>
      </c>
      <c r="F34" s="12"/>
    </row>
    <row r="35" spans="1:6">
      <c r="A35" s="4" t="s">
        <v>79</v>
      </c>
      <c r="B35" s="12">
        <v>44000</v>
      </c>
      <c r="C35" s="12">
        <v>81000</v>
      </c>
      <c r="D35" s="12">
        <v>138000</v>
      </c>
      <c r="E35" s="12">
        <v>125.876</v>
      </c>
      <c r="F35" s="12"/>
    </row>
    <row r="36" spans="1:6">
      <c r="A36" s="4" t="s">
        <v>80</v>
      </c>
      <c r="B36" s="12" t="s">
        <v>42</v>
      </c>
      <c r="C36" s="12" t="s">
        <v>43</v>
      </c>
      <c r="D36" s="12">
        <v>-352000</v>
      </c>
      <c r="E36" s="12" t="s">
        <v>44</v>
      </c>
      <c r="F36" s="12"/>
    </row>
    <row r="37" spans="1:6">
      <c r="A37" s="4" t="s">
        <v>81</v>
      </c>
      <c r="B37" s="12" t="s">
        <v>82</v>
      </c>
      <c r="C37" s="12">
        <v>-89000</v>
      </c>
      <c r="D37" s="12">
        <v>-113000</v>
      </c>
      <c r="E37" s="12">
        <v>-151.35499999999999</v>
      </c>
      <c r="F37" s="12"/>
    </row>
    <row r="38" spans="1:6" ht="15">
      <c r="A38" s="4" t="s">
        <v>83</v>
      </c>
      <c r="B38" s="12" t="s">
        <v>82</v>
      </c>
      <c r="C38" s="12">
        <v>-89000</v>
      </c>
      <c r="D38" s="12">
        <v>-113000</v>
      </c>
      <c r="E38" s="12">
        <v>-151.35499999999999</v>
      </c>
      <c r="F38" s="12"/>
    </row>
    <row r="39" spans="1:6" ht="15">
      <c r="A39" s="4" t="s">
        <v>84</v>
      </c>
      <c r="B39" s="12" t="s">
        <v>75</v>
      </c>
      <c r="C39" s="12" t="s">
        <v>85</v>
      </c>
      <c r="D39" s="12">
        <v>389000</v>
      </c>
      <c r="E39" s="12" t="s">
        <v>86</v>
      </c>
      <c r="F39" s="12"/>
    </row>
    <row r="40" spans="1:6" ht="15">
      <c r="A40" s="4" t="s">
        <v>87</v>
      </c>
      <c r="B40" s="12">
        <v>0</v>
      </c>
      <c r="C40" s="12">
        <v>0</v>
      </c>
      <c r="D40" s="12">
        <v>0</v>
      </c>
      <c r="E40" s="12">
        <v>0</v>
      </c>
      <c r="F40" s="12"/>
    </row>
    <row r="41" spans="1:6" ht="15">
      <c r="A41" s="4" t="s">
        <v>88</v>
      </c>
      <c r="B41" s="12" t="s">
        <v>82</v>
      </c>
      <c r="C41" s="12">
        <v>-4.2720000000000002</v>
      </c>
      <c r="D41" s="12">
        <v>-30510</v>
      </c>
      <c r="E41" s="12" t="s">
        <v>89</v>
      </c>
      <c r="F41" s="12"/>
    </row>
    <row r="44" spans="1:6" ht="20.25">
      <c r="A44" s="14" t="s">
        <v>90</v>
      </c>
    </row>
    <row r="45" spans="1:6" ht="15">
      <c r="A45" s="15" t="s">
        <v>3</v>
      </c>
      <c r="B45" s="16">
        <v>45291</v>
      </c>
      <c r="C45" s="16">
        <v>44926</v>
      </c>
      <c r="D45" s="16">
        <v>44561</v>
      </c>
      <c r="E45" s="16">
        <v>44196</v>
      </c>
      <c r="F45" s="7"/>
    </row>
    <row r="46" spans="1:6" ht="15">
      <c r="A46" s="15" t="s">
        <v>91</v>
      </c>
      <c r="B46" s="12" t="s">
        <v>92</v>
      </c>
      <c r="C46" s="12" t="s">
        <v>93</v>
      </c>
      <c r="D46" s="12" t="s">
        <v>94</v>
      </c>
      <c r="E46" s="12" t="s">
        <v>95</v>
      </c>
    </row>
    <row r="47" spans="1:6" ht="15">
      <c r="A47" s="15" t="s">
        <v>96</v>
      </c>
      <c r="B47" s="12" t="s">
        <v>97</v>
      </c>
      <c r="C47" s="12" t="s">
        <v>98</v>
      </c>
      <c r="D47" s="12" t="s">
        <v>99</v>
      </c>
      <c r="E47" s="12" t="s">
        <v>100</v>
      </c>
    </row>
    <row r="48" spans="1:6" ht="15">
      <c r="A48" s="15" t="s">
        <v>101</v>
      </c>
      <c r="B48" s="12" t="s">
        <v>102</v>
      </c>
      <c r="C48" s="12" t="s">
        <v>103</v>
      </c>
      <c r="D48" s="12" t="s">
        <v>104</v>
      </c>
      <c r="E48" s="12" t="s">
        <v>105</v>
      </c>
    </row>
    <row r="49" spans="1:6" ht="15">
      <c r="A49" s="15" t="s">
        <v>106</v>
      </c>
      <c r="B49" s="12" t="s">
        <v>107</v>
      </c>
      <c r="C49" s="12" t="s">
        <v>108</v>
      </c>
      <c r="D49" s="12" t="s">
        <v>109</v>
      </c>
      <c r="E49" s="12" t="s">
        <v>110</v>
      </c>
    </row>
    <row r="50" spans="1:6" ht="15">
      <c r="A50" s="15" t="s">
        <v>111</v>
      </c>
      <c r="B50" s="12" t="s">
        <v>102</v>
      </c>
      <c r="C50" s="12" t="s">
        <v>103</v>
      </c>
      <c r="D50" s="12" t="s">
        <v>104</v>
      </c>
      <c r="E50" s="12" t="s">
        <v>105</v>
      </c>
    </row>
    <row r="51" spans="1:6" ht="15">
      <c r="A51" s="15" t="s">
        <v>112</v>
      </c>
      <c r="B51" s="12">
        <v>313000</v>
      </c>
      <c r="C51" s="12">
        <v>354000</v>
      </c>
      <c r="D51" s="12">
        <v>435000</v>
      </c>
      <c r="E51" s="12">
        <v>487.49099999999999</v>
      </c>
    </row>
    <row r="52" spans="1:6" ht="15">
      <c r="A52" s="15" t="s">
        <v>113</v>
      </c>
      <c r="B52" s="12" t="s">
        <v>114</v>
      </c>
      <c r="C52" s="12" t="s">
        <v>115</v>
      </c>
      <c r="D52" s="12" t="s">
        <v>116</v>
      </c>
      <c r="E52" s="12" t="s">
        <v>117</v>
      </c>
    </row>
    <row r="53" spans="1:6" ht="15">
      <c r="A53" s="15" t="s">
        <v>118</v>
      </c>
      <c r="B53" s="12" t="s">
        <v>119</v>
      </c>
      <c r="C53" s="12" t="s">
        <v>120</v>
      </c>
      <c r="D53" s="12" t="s">
        <v>121</v>
      </c>
      <c r="E53" s="12" t="s">
        <v>122</v>
      </c>
    </row>
    <row r="54" spans="1:6" ht="15">
      <c r="A54" s="15" t="s">
        <v>123</v>
      </c>
      <c r="B54" s="12" t="s">
        <v>107</v>
      </c>
      <c r="C54" s="12" t="s">
        <v>108</v>
      </c>
      <c r="D54" s="12" t="s">
        <v>109</v>
      </c>
      <c r="E54" s="12" t="s">
        <v>124</v>
      </c>
    </row>
    <row r="55" spans="1:6" ht="15">
      <c r="A55" s="15" t="s">
        <v>125</v>
      </c>
      <c r="B55" s="12" t="s">
        <v>114</v>
      </c>
      <c r="C55" s="12" t="s">
        <v>115</v>
      </c>
      <c r="D55" s="12" t="s">
        <v>116</v>
      </c>
      <c r="E55" s="12" t="s">
        <v>117</v>
      </c>
    </row>
    <row r="56" spans="1:6" ht="15">
      <c r="A56" s="15" t="s">
        <v>126</v>
      </c>
      <c r="B56" s="12" t="s">
        <v>127</v>
      </c>
      <c r="C56" s="12" t="s">
        <v>128</v>
      </c>
      <c r="D56" s="12" t="s">
        <v>129</v>
      </c>
      <c r="E56" s="12" t="s">
        <v>130</v>
      </c>
    </row>
    <row r="57" spans="1:6" ht="15">
      <c r="A57" s="15" t="s">
        <v>131</v>
      </c>
      <c r="B57" s="12">
        <v>638000</v>
      </c>
      <c r="C57" s="12">
        <v>640000</v>
      </c>
      <c r="D57" s="12">
        <v>642.72400000000005</v>
      </c>
      <c r="E57" s="12">
        <v>608.39700000000005</v>
      </c>
    </row>
    <row r="58" spans="1:6" ht="15">
      <c r="A58" s="15" t="s">
        <v>132</v>
      </c>
      <c r="B58" s="12">
        <v>638000</v>
      </c>
      <c r="C58" s="12">
        <v>631000</v>
      </c>
      <c r="D58" s="12">
        <v>633.524</v>
      </c>
      <c r="E58" s="12">
        <v>599.197</v>
      </c>
    </row>
    <row r="59" spans="1:6" ht="15">
      <c r="A59" s="15" t="s">
        <v>133</v>
      </c>
      <c r="B59" s="12">
        <v>9200</v>
      </c>
      <c r="C59" s="12">
        <v>9000</v>
      </c>
      <c r="D59" s="12">
        <v>9200</v>
      </c>
      <c r="E59" s="12">
        <v>9200</v>
      </c>
    </row>
    <row r="62" spans="1:6" ht="20.25">
      <c r="A62" s="17" t="s">
        <v>134</v>
      </c>
    </row>
    <row r="63" spans="1:6" ht="15">
      <c r="A63" s="18" t="s">
        <v>3</v>
      </c>
      <c r="B63" s="19">
        <v>45291</v>
      </c>
      <c r="C63" s="19">
        <v>44926</v>
      </c>
      <c r="D63" s="19">
        <v>44561</v>
      </c>
      <c r="E63" s="19">
        <v>44196</v>
      </c>
      <c r="F63" s="19"/>
    </row>
    <row r="64" spans="1:6" ht="15">
      <c r="A64" s="18" t="s">
        <v>135</v>
      </c>
      <c r="B64" s="12" t="s">
        <v>136</v>
      </c>
      <c r="C64" s="12" t="s">
        <v>137</v>
      </c>
      <c r="D64" s="12" t="s">
        <v>138</v>
      </c>
      <c r="E64" s="12">
        <v>-629.73199999999997</v>
      </c>
      <c r="F64" s="12"/>
    </row>
    <row r="65" spans="1:6" ht="15">
      <c r="A65" s="18" t="s">
        <v>139</v>
      </c>
      <c r="B65" s="12" t="s">
        <v>140</v>
      </c>
      <c r="C65" s="12">
        <v>-28000</v>
      </c>
      <c r="D65" s="12" t="s">
        <v>141</v>
      </c>
      <c r="E65" s="12">
        <v>79590</v>
      </c>
      <c r="F65" s="12"/>
    </row>
    <row r="66" spans="1:6" ht="15">
      <c r="A66" s="18" t="s">
        <v>142</v>
      </c>
      <c r="B66" s="12" t="s">
        <v>143</v>
      </c>
      <c r="C66" s="12">
        <v>-689000</v>
      </c>
      <c r="D66" s="12" t="s">
        <v>144</v>
      </c>
      <c r="E66" s="12" t="s">
        <v>145</v>
      </c>
      <c r="F66" s="12"/>
    </row>
    <row r="67" spans="1:6" ht="15">
      <c r="A67" s="18" t="s">
        <v>146</v>
      </c>
      <c r="B67" s="12" t="s">
        <v>147</v>
      </c>
      <c r="C67" s="12" t="s">
        <v>148</v>
      </c>
      <c r="D67" s="12" t="s">
        <v>149</v>
      </c>
      <c r="E67" s="12" t="s">
        <v>150</v>
      </c>
      <c r="F67" s="12"/>
    </row>
    <row r="68" spans="1:6" ht="15">
      <c r="A68" s="18" t="s">
        <v>151</v>
      </c>
      <c r="B68" s="12">
        <v>132000</v>
      </c>
      <c r="C68" s="12">
        <v>68000</v>
      </c>
      <c r="D68" s="12">
        <v>17000</v>
      </c>
      <c r="E68" s="12">
        <v>15103</v>
      </c>
      <c r="F68" s="12"/>
    </row>
    <row r="69" spans="1:6" ht="15">
      <c r="A69" s="18" t="s">
        <v>152</v>
      </c>
      <c r="B69" s="12">
        <v>55000</v>
      </c>
      <c r="C69" s="12">
        <v>8000</v>
      </c>
      <c r="D69" s="12">
        <v>50000</v>
      </c>
      <c r="E69" s="12">
        <v>129.798</v>
      </c>
      <c r="F69" s="12"/>
    </row>
    <row r="70" spans="1:6" ht="15">
      <c r="A70" s="18" t="s">
        <v>153</v>
      </c>
      <c r="B70" s="12" t="s">
        <v>82</v>
      </c>
      <c r="C70" s="12">
        <v>25000</v>
      </c>
      <c r="D70" s="12">
        <v>-25.321999999999999</v>
      </c>
      <c r="E70" s="12">
        <v>-37.371000000000002</v>
      </c>
      <c r="F70" s="12"/>
    </row>
    <row r="71" spans="1:6" ht="15">
      <c r="A71" s="18" t="s">
        <v>154</v>
      </c>
      <c r="B71" s="12" t="s">
        <v>82</v>
      </c>
      <c r="C71" s="12" t="s">
        <v>82</v>
      </c>
      <c r="D71" s="12" t="s">
        <v>82</v>
      </c>
      <c r="E71" s="12" t="s">
        <v>155</v>
      </c>
      <c r="F71" s="12"/>
    </row>
    <row r="72" spans="1:6" ht="15">
      <c r="A72" s="18" t="s">
        <v>156</v>
      </c>
      <c r="B72" s="12" t="s">
        <v>82</v>
      </c>
      <c r="C72" s="12" t="s">
        <v>82</v>
      </c>
      <c r="D72" s="12" t="s">
        <v>157</v>
      </c>
      <c r="E72" s="12" t="s">
        <v>158</v>
      </c>
      <c r="F72" s="12"/>
    </row>
    <row r="73" spans="1:6" ht="15">
      <c r="A73" s="18" t="s">
        <v>159</v>
      </c>
      <c r="B73" s="12" t="s">
        <v>82</v>
      </c>
      <c r="C73" s="12" t="s">
        <v>82</v>
      </c>
      <c r="D73" s="12" t="s">
        <v>160</v>
      </c>
      <c r="E73" s="12">
        <v>-5000</v>
      </c>
      <c r="F73" s="12"/>
    </row>
    <row r="74" spans="1:6" ht="15">
      <c r="A74" s="18" t="s">
        <v>161</v>
      </c>
      <c r="B74" s="12" t="s">
        <v>162</v>
      </c>
      <c r="C74" s="12" t="s">
        <v>163</v>
      </c>
      <c r="D74" s="12" t="s">
        <v>82</v>
      </c>
      <c r="E74" s="12" t="s">
        <v>82</v>
      </c>
      <c r="F74" s="12"/>
    </row>
    <row r="75" spans="1:6" ht="15">
      <c r="A75" s="18" t="s">
        <v>164</v>
      </c>
      <c r="B75" s="12" t="s">
        <v>136</v>
      </c>
      <c r="C75" s="12" t="s">
        <v>137</v>
      </c>
      <c r="D75" s="12" t="s">
        <v>138</v>
      </c>
      <c r="E75" s="12">
        <v>-667.10299999999995</v>
      </c>
      <c r="F75" s="12"/>
    </row>
    <row r="82" spans="9:14" ht="62.25">
      <c r="I82" s="20" t="s">
        <v>165</v>
      </c>
      <c r="K82" s="21"/>
    </row>
    <row r="83" spans="9:14" ht="12.75">
      <c r="I83" s="22" t="s">
        <v>166</v>
      </c>
      <c r="J83" s="23" t="s">
        <v>167</v>
      </c>
      <c r="K83" s="23" t="s">
        <v>168</v>
      </c>
    </row>
    <row r="84" spans="9:14" ht="12.75">
      <c r="I84" s="24">
        <v>2020</v>
      </c>
      <c r="J84" s="25" t="s">
        <v>169</v>
      </c>
      <c r="K84" s="24">
        <v>200</v>
      </c>
    </row>
    <row r="85" spans="9:14" ht="12.75">
      <c r="I85" s="24">
        <v>2021</v>
      </c>
      <c r="J85" s="25" t="s">
        <v>170</v>
      </c>
      <c r="K85" s="25">
        <v>215</v>
      </c>
    </row>
    <row r="86" spans="9:14" ht="12.75">
      <c r="I86" s="24">
        <v>2022</v>
      </c>
      <c r="J86" s="25" t="s">
        <v>171</v>
      </c>
      <c r="K86" s="24">
        <v>230</v>
      </c>
    </row>
    <row r="87" spans="9:14" ht="12.75">
      <c r="I87" s="24">
        <v>2023</v>
      </c>
      <c r="J87" s="25" t="s">
        <v>172</v>
      </c>
      <c r="K87" s="25">
        <v>265</v>
      </c>
      <c r="N87" s="26"/>
    </row>
    <row r="89" spans="9:14">
      <c r="I89" s="3"/>
    </row>
    <row r="90" spans="9:14" ht="12.75">
      <c r="I90" s="27" t="s">
        <v>166</v>
      </c>
      <c r="J90" s="27" t="s">
        <v>173</v>
      </c>
    </row>
    <row r="91" spans="9:14" ht="12.75">
      <c r="I91" s="28">
        <v>2020</v>
      </c>
      <c r="J91" s="1" t="s">
        <v>130</v>
      </c>
    </row>
    <row r="92" spans="9:14" ht="12.75">
      <c r="I92" s="28">
        <v>2021</v>
      </c>
      <c r="J92" s="1" t="s">
        <v>129</v>
      </c>
    </row>
    <row r="93" spans="9:14" ht="12.75">
      <c r="I93" s="28">
        <v>2022</v>
      </c>
      <c r="J93" s="1" t="s">
        <v>128</v>
      </c>
    </row>
    <row r="94" spans="9:14" ht="12.75">
      <c r="I94" s="28">
        <v>2023</v>
      </c>
      <c r="J94" s="1" t="s">
        <v>127</v>
      </c>
    </row>
    <row r="95" spans="9:14" ht="12.75">
      <c r="K95" s="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P109"/>
  <sheetViews>
    <sheetView workbookViewId="0">
      <selection activeCell="F91" sqref="F91"/>
    </sheetView>
  </sheetViews>
  <sheetFormatPr defaultColWidth="12.5703125" defaultRowHeight="15.75" customHeight="1"/>
  <cols>
    <col min="1" max="1" width="51" customWidth="1"/>
    <col min="2" max="2" width="18.85546875" customWidth="1"/>
    <col min="6" max="6" width="15.42578125" customWidth="1"/>
  </cols>
  <sheetData>
    <row r="2" spans="1:16">
      <c r="B2" s="30" t="s">
        <v>0</v>
      </c>
    </row>
    <row r="3" spans="1:16" ht="15.75" customHeight="1">
      <c r="A3" s="2" t="s">
        <v>1</v>
      </c>
    </row>
    <row r="4" spans="1:16">
      <c r="A4" s="4" t="s">
        <v>3</v>
      </c>
      <c r="B4" s="5">
        <v>44196</v>
      </c>
      <c r="C4" s="5">
        <v>44561</v>
      </c>
      <c r="D4" s="5">
        <v>44926</v>
      </c>
      <c r="E4" s="5">
        <v>45291</v>
      </c>
      <c r="H4" s="1" t="s">
        <v>174</v>
      </c>
      <c r="I4" s="1">
        <v>2024</v>
      </c>
      <c r="J4" s="1">
        <v>2025</v>
      </c>
      <c r="K4" s="1">
        <v>2026</v>
      </c>
      <c r="L4" s="1">
        <v>2027</v>
      </c>
      <c r="N4" s="1" t="s">
        <v>175</v>
      </c>
      <c r="O4" s="31">
        <v>0.18</v>
      </c>
      <c r="P4" s="1" t="s">
        <v>176</v>
      </c>
    </row>
    <row r="5" spans="1:16">
      <c r="A5" s="4" t="s">
        <v>4</v>
      </c>
      <c r="B5" s="32">
        <v>3378199</v>
      </c>
      <c r="C5" s="32">
        <v>5992000</v>
      </c>
      <c r="D5" s="32">
        <v>8399000</v>
      </c>
      <c r="E5" s="32">
        <v>9917000</v>
      </c>
      <c r="H5" s="33"/>
      <c r="I5" s="33">
        <f>E5 * 1.3</f>
        <v>12892100</v>
      </c>
      <c r="J5" s="33">
        <f t="shared" ref="J5:L5" si="0">I5*1.3</f>
        <v>16759730</v>
      </c>
      <c r="K5" s="33">
        <f t="shared" si="0"/>
        <v>21787649</v>
      </c>
      <c r="L5" s="33">
        <f t="shared" si="0"/>
        <v>28323943.699999999</v>
      </c>
      <c r="N5" s="34">
        <v>45390</v>
      </c>
      <c r="O5" s="31">
        <v>0.4</v>
      </c>
      <c r="P5" s="1" t="s">
        <v>177</v>
      </c>
    </row>
    <row r="6" spans="1:16">
      <c r="A6" s="4" t="s">
        <v>11</v>
      </c>
      <c r="B6" s="32">
        <v>876042</v>
      </c>
      <c r="C6" s="32">
        <v>1156000</v>
      </c>
      <c r="D6" s="32">
        <v>1499000</v>
      </c>
      <c r="E6" s="32">
        <v>1703000</v>
      </c>
      <c r="H6" s="33"/>
      <c r="I6" s="33"/>
      <c r="J6" s="33"/>
      <c r="K6" s="33"/>
      <c r="L6" s="33"/>
      <c r="N6" s="1" t="s">
        <v>178</v>
      </c>
      <c r="O6" s="31">
        <v>0.77</v>
      </c>
    </row>
    <row r="7" spans="1:16">
      <c r="A7" s="4" t="s">
        <v>16</v>
      </c>
      <c r="B7" s="32">
        <v>2502157</v>
      </c>
      <c r="C7" s="32">
        <v>4836000</v>
      </c>
      <c r="D7" s="32">
        <v>6900000</v>
      </c>
      <c r="E7" s="32">
        <v>8214000</v>
      </c>
      <c r="H7" s="33"/>
      <c r="I7" s="33"/>
      <c r="J7" s="33"/>
      <c r="K7" s="33"/>
      <c r="L7" s="33"/>
      <c r="N7" s="1" t="s">
        <v>179</v>
      </c>
      <c r="O7" s="31">
        <v>-0.3</v>
      </c>
    </row>
    <row r="8" spans="1:16">
      <c r="A8" s="4" t="s">
        <v>23</v>
      </c>
      <c r="B8" s="32">
        <v>5940949</v>
      </c>
      <c r="C8" s="32">
        <v>4294000</v>
      </c>
      <c r="D8" s="32">
        <v>5009000</v>
      </c>
      <c r="E8" s="32">
        <v>6696000</v>
      </c>
      <c r="H8" s="33"/>
      <c r="I8" s="33"/>
      <c r="J8" s="33"/>
      <c r="K8" s="33"/>
      <c r="L8" s="33"/>
      <c r="N8" s="1" t="s">
        <v>180</v>
      </c>
      <c r="O8" s="31">
        <v>0.32</v>
      </c>
    </row>
    <row r="9" spans="1:16">
      <c r="A9" s="4" t="s">
        <v>28</v>
      </c>
      <c r="B9" s="32">
        <v>-3438792</v>
      </c>
      <c r="C9" s="32">
        <v>542000</v>
      </c>
      <c r="D9" s="32">
        <v>1891000</v>
      </c>
      <c r="E9" s="32">
        <v>1518000</v>
      </c>
      <c r="H9" s="33"/>
      <c r="I9" s="33"/>
      <c r="J9" s="33"/>
      <c r="K9" s="33"/>
      <c r="L9" s="33"/>
      <c r="N9" s="1" t="s">
        <v>181</v>
      </c>
      <c r="O9" s="31">
        <v>0.42</v>
      </c>
    </row>
    <row r="10" spans="1:16">
      <c r="A10" s="4" t="s">
        <v>32</v>
      </c>
      <c r="B10" s="32">
        <v>-144571</v>
      </c>
      <c r="C10" s="32">
        <v>-425000</v>
      </c>
      <c r="D10" s="32">
        <v>162000</v>
      </c>
      <c r="E10" s="32">
        <v>638000</v>
      </c>
      <c r="H10" s="33"/>
      <c r="I10" s="33"/>
      <c r="J10" s="33"/>
      <c r="K10" s="33"/>
      <c r="L10" s="33"/>
      <c r="N10" s="1" t="s">
        <v>182</v>
      </c>
    </row>
    <row r="11" spans="1:16">
      <c r="A11" s="4" t="s">
        <v>33</v>
      </c>
      <c r="B11" s="32">
        <v>-1098575</v>
      </c>
      <c r="C11" s="32">
        <v>-417000</v>
      </c>
      <c r="D11" s="32">
        <v>-64000</v>
      </c>
      <c r="E11" s="32">
        <v>-54000</v>
      </c>
      <c r="H11" s="33"/>
      <c r="I11" s="33"/>
      <c r="J11" s="33"/>
      <c r="K11" s="33"/>
      <c r="L11" s="33"/>
    </row>
    <row r="12" spans="1:16">
      <c r="A12" s="4" t="s">
        <v>35</v>
      </c>
      <c r="B12" s="32">
        <v>-4681938</v>
      </c>
      <c r="C12" s="32">
        <v>-300000</v>
      </c>
      <c r="D12" s="32">
        <v>1989000</v>
      </c>
      <c r="E12" s="32">
        <v>2102000</v>
      </c>
      <c r="H12" s="33"/>
      <c r="I12" s="33"/>
      <c r="J12" s="33"/>
      <c r="K12" s="33"/>
      <c r="L12" s="33"/>
    </row>
    <row r="13" spans="1:16">
      <c r="A13" s="4" t="s">
        <v>39</v>
      </c>
      <c r="B13" s="32">
        <v>-97.221999999999994</v>
      </c>
      <c r="C13" s="32">
        <v>52000</v>
      </c>
      <c r="D13" s="32">
        <v>96000</v>
      </c>
      <c r="E13" s="32">
        <v>-2690000</v>
      </c>
      <c r="H13" s="33"/>
      <c r="I13" s="33"/>
      <c r="J13" s="33"/>
      <c r="K13" s="33"/>
      <c r="L13" s="33"/>
    </row>
    <row r="14" spans="1:16">
      <c r="A14" s="4" t="s">
        <v>41</v>
      </c>
      <c r="B14" s="32">
        <v>-4584716</v>
      </c>
      <c r="C14" s="32">
        <v>-352000</v>
      </c>
      <c r="D14" s="32">
        <v>1893000</v>
      </c>
      <c r="E14" s="32">
        <v>4792000</v>
      </c>
      <c r="H14" s="33"/>
      <c r="I14" s="33"/>
      <c r="J14" s="33"/>
      <c r="K14" s="33"/>
      <c r="L14" s="33"/>
    </row>
    <row r="15" spans="1:16">
      <c r="A15" s="4" t="s">
        <v>45</v>
      </c>
      <c r="B15" s="32">
        <v>-4584716</v>
      </c>
      <c r="C15" s="32">
        <v>-352000</v>
      </c>
      <c r="D15" s="32">
        <v>1893000</v>
      </c>
      <c r="E15" s="32">
        <v>4792000</v>
      </c>
      <c r="H15" s="33"/>
      <c r="I15" s="33"/>
      <c r="J15" s="33"/>
      <c r="K15" s="33"/>
      <c r="L15" s="33"/>
    </row>
    <row r="16" spans="1:16">
      <c r="A16" s="4" t="s">
        <v>46</v>
      </c>
      <c r="B16" s="32">
        <v>-16.12</v>
      </c>
      <c r="C16" s="32">
        <v>-0.56999999999999995</v>
      </c>
      <c r="D16" s="32">
        <v>2.97</v>
      </c>
      <c r="E16" s="32">
        <v>7.52</v>
      </c>
      <c r="H16" s="33"/>
      <c r="I16" s="33"/>
      <c r="J16" s="33"/>
      <c r="K16" s="33"/>
      <c r="L16" s="33"/>
    </row>
    <row r="17" spans="1:12">
      <c r="A17" s="4" t="s">
        <v>51</v>
      </c>
      <c r="B17" s="32">
        <v>-16.12</v>
      </c>
      <c r="C17" s="32">
        <v>-0.56999999999999995</v>
      </c>
      <c r="D17" s="32">
        <v>2.79</v>
      </c>
      <c r="E17" s="32">
        <v>7.24</v>
      </c>
      <c r="H17" s="33"/>
      <c r="I17" s="33"/>
      <c r="J17" s="33"/>
      <c r="K17" s="33"/>
      <c r="L17" s="33"/>
    </row>
    <row r="18" spans="1:12">
      <c r="A18" s="4" t="s">
        <v>54</v>
      </c>
      <c r="B18" s="32">
        <v>284363</v>
      </c>
      <c r="C18" s="32">
        <v>616000</v>
      </c>
      <c r="D18" s="32">
        <v>637000</v>
      </c>
      <c r="E18" s="32">
        <v>637000</v>
      </c>
      <c r="H18" s="33"/>
      <c r="I18" s="33"/>
      <c r="J18" s="33"/>
      <c r="K18" s="33"/>
      <c r="L18" s="33"/>
    </row>
    <row r="19" spans="1:12">
      <c r="A19" s="4" t="s">
        <v>55</v>
      </c>
      <c r="B19" s="32">
        <v>284363</v>
      </c>
      <c r="C19" s="32">
        <v>616000</v>
      </c>
      <c r="D19" s="32">
        <v>680000</v>
      </c>
      <c r="E19" s="32">
        <v>662000</v>
      </c>
      <c r="H19" s="33"/>
      <c r="I19" s="33"/>
      <c r="J19" s="33"/>
      <c r="K19" s="33"/>
      <c r="L19" s="33"/>
    </row>
    <row r="20" spans="1:12">
      <c r="A20" s="4" t="s">
        <v>56</v>
      </c>
      <c r="B20" s="32">
        <v>-3590147</v>
      </c>
      <c r="C20" s="32">
        <v>429000</v>
      </c>
      <c r="D20" s="32">
        <v>1802000</v>
      </c>
      <c r="E20" s="32">
        <v>1518000</v>
      </c>
      <c r="H20" s="33"/>
      <c r="I20" s="33"/>
      <c r="J20" s="33"/>
      <c r="K20" s="33"/>
      <c r="L20" s="33"/>
    </row>
    <row r="21" spans="1:12">
      <c r="A21" s="4" t="s">
        <v>59</v>
      </c>
      <c r="B21" s="32">
        <v>6816991</v>
      </c>
      <c r="C21" s="32">
        <v>5450000</v>
      </c>
      <c r="D21" s="32">
        <v>6508000</v>
      </c>
      <c r="E21" s="32">
        <v>8399000</v>
      </c>
      <c r="H21" s="33"/>
      <c r="I21" s="33"/>
      <c r="J21" s="33"/>
      <c r="K21" s="33"/>
      <c r="L21" s="33"/>
    </row>
    <row r="22" spans="1:12">
      <c r="A22" s="4" t="s">
        <v>63</v>
      </c>
      <c r="B22" s="32">
        <v>-4584716</v>
      </c>
      <c r="C22" s="32">
        <v>-352000</v>
      </c>
      <c r="D22" s="32">
        <v>1893000</v>
      </c>
      <c r="E22" s="32">
        <v>4792000</v>
      </c>
      <c r="H22" s="33"/>
      <c r="I22" s="33"/>
      <c r="J22" s="33"/>
      <c r="K22" s="33"/>
      <c r="L22" s="33"/>
    </row>
    <row r="23" spans="1:12">
      <c r="A23" s="4" t="s">
        <v>64</v>
      </c>
      <c r="B23" s="32">
        <v>-4436539.46</v>
      </c>
      <c r="C23" s="32">
        <v>-269510</v>
      </c>
      <c r="D23" s="32">
        <v>1977728</v>
      </c>
      <c r="E23" s="32">
        <v>4792000</v>
      </c>
      <c r="H23" s="33"/>
      <c r="I23" s="33"/>
      <c r="J23" s="33"/>
      <c r="K23" s="33"/>
      <c r="L23" s="33"/>
    </row>
    <row r="24" spans="1:12">
      <c r="A24" s="4" t="s">
        <v>67</v>
      </c>
      <c r="B24" s="32">
        <v>27117</v>
      </c>
      <c r="C24" s="32">
        <v>13000</v>
      </c>
      <c r="D24" s="32">
        <v>186000</v>
      </c>
      <c r="E24" s="32">
        <v>721000</v>
      </c>
      <c r="H24" s="33"/>
      <c r="I24" s="33"/>
      <c r="J24" s="33"/>
      <c r="K24" s="33"/>
      <c r="L24" s="33"/>
    </row>
    <row r="25" spans="1:12">
      <c r="A25" s="4" t="s">
        <v>68</v>
      </c>
      <c r="B25" s="32">
        <v>171688</v>
      </c>
      <c r="C25" s="32">
        <v>438000</v>
      </c>
      <c r="D25" s="32">
        <v>24000</v>
      </c>
      <c r="E25" s="32">
        <v>83000</v>
      </c>
      <c r="H25" s="33"/>
      <c r="I25" s="33"/>
      <c r="J25" s="33"/>
      <c r="K25" s="33"/>
      <c r="L25" s="33"/>
    </row>
    <row r="26" spans="1:12">
      <c r="A26" s="4" t="s">
        <v>69</v>
      </c>
      <c r="B26" s="32">
        <v>-144.571</v>
      </c>
      <c r="C26" s="32">
        <v>-425000</v>
      </c>
      <c r="D26" s="32">
        <v>162000</v>
      </c>
      <c r="E26" s="32">
        <v>638000</v>
      </c>
      <c r="H26" s="33"/>
      <c r="I26" s="33"/>
      <c r="J26" s="33"/>
      <c r="K26" s="33"/>
      <c r="L26" s="33"/>
    </row>
    <row r="27" spans="1:12">
      <c r="A27" s="4" t="s">
        <v>70</v>
      </c>
      <c r="B27" s="32">
        <v>-4510250</v>
      </c>
      <c r="C27" s="32">
        <v>138000</v>
      </c>
      <c r="D27" s="32">
        <v>2013000</v>
      </c>
      <c r="E27" s="32">
        <v>2185000</v>
      </c>
      <c r="H27" s="33"/>
      <c r="I27" s="33">
        <f t="shared" ref="I27:L27" si="1">I5*I38</f>
        <v>-1770298.7137490038</v>
      </c>
      <c r="J27" s="33">
        <f t="shared" si="1"/>
        <v>-2301388.327873705</v>
      </c>
      <c r="K27" s="33">
        <f t="shared" si="1"/>
        <v>-2991804.8262358168</v>
      </c>
      <c r="L27" s="33">
        <f t="shared" si="1"/>
        <v>-3889346.2741065617</v>
      </c>
    </row>
    <row r="28" spans="1:12">
      <c r="A28" s="4" t="s">
        <v>74</v>
      </c>
      <c r="B28" s="32">
        <v>-4384374</v>
      </c>
      <c r="C28" s="32">
        <v>276000</v>
      </c>
      <c r="D28" s="32">
        <v>2094000</v>
      </c>
      <c r="E28" s="32">
        <v>2229000</v>
      </c>
      <c r="H28" s="33"/>
      <c r="I28" s="33"/>
      <c r="J28" s="33"/>
      <c r="K28" s="33"/>
      <c r="L28" s="33"/>
    </row>
    <row r="29" spans="1:12">
      <c r="A29" s="4" t="s">
        <v>78</v>
      </c>
      <c r="B29" s="32">
        <v>876042</v>
      </c>
      <c r="C29" s="32">
        <v>1156000</v>
      </c>
      <c r="D29" s="32">
        <v>1499000</v>
      </c>
      <c r="E29" s="32">
        <v>1703000</v>
      </c>
      <c r="H29" s="33"/>
      <c r="I29" s="33"/>
      <c r="J29" s="33"/>
      <c r="K29" s="33"/>
      <c r="L29" s="33"/>
    </row>
    <row r="30" spans="1:12">
      <c r="A30" s="4" t="s">
        <v>79</v>
      </c>
      <c r="B30" s="32">
        <v>125876</v>
      </c>
      <c r="C30" s="32">
        <v>138000</v>
      </c>
      <c r="D30" s="32">
        <v>81000</v>
      </c>
      <c r="E30" s="32">
        <v>44000</v>
      </c>
      <c r="F30" s="1" t="s">
        <v>183</v>
      </c>
      <c r="G30" s="1" t="s">
        <v>184</v>
      </c>
      <c r="H30" s="33"/>
      <c r="I30" s="33">
        <v>246170352</v>
      </c>
      <c r="J30" s="33">
        <v>311355560</v>
      </c>
      <c r="K30" s="33">
        <v>393801608</v>
      </c>
      <c r="L30" s="33">
        <v>498079131</v>
      </c>
    </row>
    <row r="31" spans="1:12">
      <c r="A31" s="4" t="s">
        <v>80</v>
      </c>
      <c r="B31" s="32">
        <v>-4584716</v>
      </c>
      <c r="C31" s="32">
        <v>-352000</v>
      </c>
      <c r="D31" s="32">
        <v>1893000</v>
      </c>
      <c r="E31" s="32">
        <v>4792000</v>
      </c>
      <c r="H31" s="33"/>
      <c r="I31" s="33"/>
      <c r="J31" s="33"/>
      <c r="K31" s="33"/>
      <c r="L31" s="33"/>
    </row>
    <row r="32" spans="1:12">
      <c r="A32" s="4" t="s">
        <v>81</v>
      </c>
      <c r="B32" s="32">
        <v>-151.35499999999999</v>
      </c>
      <c r="C32" s="32">
        <v>-113000</v>
      </c>
      <c r="D32" s="32">
        <v>-89000</v>
      </c>
      <c r="E32" s="32" t="s">
        <v>82</v>
      </c>
      <c r="H32" s="33"/>
      <c r="I32" s="33"/>
      <c r="J32" s="33"/>
      <c r="K32" s="33"/>
      <c r="L32" s="33"/>
    </row>
    <row r="33" spans="1:12">
      <c r="A33" s="4" t="s">
        <v>83</v>
      </c>
      <c r="B33" s="32">
        <v>-151.35499999999999</v>
      </c>
      <c r="C33" s="32">
        <v>-113000</v>
      </c>
      <c r="D33" s="32">
        <v>-89000</v>
      </c>
      <c r="E33" s="32" t="s">
        <v>82</v>
      </c>
      <c r="H33" s="33"/>
      <c r="I33" s="33"/>
      <c r="J33" s="33"/>
      <c r="K33" s="33"/>
      <c r="L33" s="33"/>
    </row>
    <row r="34" spans="1:12">
      <c r="A34" s="4" t="s">
        <v>84</v>
      </c>
      <c r="B34" s="32">
        <v>-4233019</v>
      </c>
      <c r="C34" s="32">
        <v>389000</v>
      </c>
      <c r="D34" s="32">
        <v>2183000</v>
      </c>
      <c r="E34" s="32">
        <v>2229000</v>
      </c>
      <c r="H34" s="33"/>
      <c r="I34" s="33"/>
      <c r="J34" s="33"/>
      <c r="K34" s="33"/>
      <c r="L34" s="33"/>
    </row>
    <row r="35" spans="1:12">
      <c r="A35" s="4" t="s">
        <v>87</v>
      </c>
      <c r="B35" s="32">
        <v>0</v>
      </c>
      <c r="C35" s="32">
        <v>0</v>
      </c>
      <c r="D35" s="32">
        <v>0</v>
      </c>
      <c r="E35" s="32">
        <v>0</v>
      </c>
      <c r="H35" s="33"/>
      <c r="I35" s="33"/>
      <c r="J35" s="33"/>
      <c r="K35" s="33"/>
      <c r="L35" s="33"/>
    </row>
    <row r="36" spans="1:12">
      <c r="A36" s="4" t="s">
        <v>88</v>
      </c>
      <c r="B36" s="32">
        <v>-3178.46</v>
      </c>
      <c r="C36" s="32">
        <v>-30510</v>
      </c>
      <c r="D36" s="32">
        <v>-4.2720000000000002</v>
      </c>
      <c r="E36" s="32" t="s">
        <v>82</v>
      </c>
      <c r="H36" s="33"/>
      <c r="I36" s="33"/>
      <c r="J36" s="33"/>
      <c r="K36" s="33"/>
      <c r="L36" s="33"/>
    </row>
    <row r="37" spans="1:12">
      <c r="H37" s="33"/>
      <c r="I37" s="33"/>
      <c r="J37" s="33"/>
      <c r="K37" s="33"/>
      <c r="L37" s="33"/>
    </row>
    <row r="38" spans="1:12" ht="12.75">
      <c r="A38" s="1" t="s">
        <v>185</v>
      </c>
      <c r="B38" s="1">
        <f t="shared" ref="B38:E38" si="2">B9/B5 * 100%</f>
        <v>-1.017936480355361</v>
      </c>
      <c r="C38" s="1">
        <f t="shared" si="2"/>
        <v>9.0453938584779708E-2</v>
      </c>
      <c r="D38" s="1">
        <f t="shared" si="2"/>
        <v>0.2251458506965115</v>
      </c>
      <c r="E38" s="1">
        <f t="shared" si="2"/>
        <v>0.15307048502571341</v>
      </c>
      <c r="H38" s="33"/>
      <c r="I38" s="33">
        <f t="shared" ref="I38:I39" si="3">AVERAGE(B38:E38)</f>
        <v>-0.1373165515120891</v>
      </c>
      <c r="J38" s="33">
        <f t="shared" ref="J38:J39" si="4">AVERAGE(B38:E38)</f>
        <v>-0.1373165515120891</v>
      </c>
      <c r="K38" s="33">
        <f t="shared" ref="K38:K39" si="5">AVERAGE(B38:E38)</f>
        <v>-0.1373165515120891</v>
      </c>
      <c r="L38" s="33">
        <f t="shared" ref="L38:L39" si="6">AVERAGE(B38:E38)</f>
        <v>-0.1373165515120891</v>
      </c>
    </row>
    <row r="39" spans="1:12" ht="12.75">
      <c r="A39" s="1" t="s">
        <v>186</v>
      </c>
      <c r="B39" s="1">
        <f t="shared" ref="B39:E39" si="7">B13/B12</f>
        <v>2.076533264643829E-5</v>
      </c>
      <c r="C39" s="1">
        <f t="shared" si="7"/>
        <v>-0.17333333333333334</v>
      </c>
      <c r="D39" s="1">
        <f t="shared" si="7"/>
        <v>4.8265460030165915E-2</v>
      </c>
      <c r="E39" s="1">
        <f t="shared" si="7"/>
        <v>-1.2797335870599429</v>
      </c>
      <c r="H39" s="33"/>
      <c r="I39" s="33">
        <f t="shared" si="3"/>
        <v>-0.351195173757616</v>
      </c>
      <c r="J39" s="33">
        <f t="shared" si="4"/>
        <v>-0.351195173757616</v>
      </c>
      <c r="K39" s="33">
        <f t="shared" si="5"/>
        <v>-0.351195173757616</v>
      </c>
      <c r="L39" s="33">
        <f t="shared" si="6"/>
        <v>-0.351195173757616</v>
      </c>
    </row>
    <row r="40" spans="1:12" ht="20.25">
      <c r="A40" s="14" t="s">
        <v>90</v>
      </c>
      <c r="H40" s="33"/>
      <c r="I40" s="33"/>
      <c r="J40" s="33"/>
      <c r="K40" s="33"/>
      <c r="L40" s="33"/>
    </row>
    <row r="41" spans="1:12" ht="15">
      <c r="A41" s="15" t="s">
        <v>3</v>
      </c>
      <c r="B41" s="16">
        <v>44196</v>
      </c>
      <c r="C41" s="16">
        <v>44561</v>
      </c>
      <c r="D41" s="16">
        <v>44926</v>
      </c>
      <c r="E41" s="16">
        <v>45291</v>
      </c>
      <c r="H41" s="33"/>
      <c r="I41" s="33"/>
      <c r="J41" s="33"/>
      <c r="K41" s="33"/>
      <c r="L41" s="33"/>
    </row>
    <row r="42" spans="1:12" ht="15">
      <c r="A42" s="15" t="s">
        <v>91</v>
      </c>
      <c r="B42" s="32">
        <v>10491499</v>
      </c>
      <c r="C42" s="32">
        <v>13708000</v>
      </c>
      <c r="D42" s="32">
        <v>16038000</v>
      </c>
      <c r="E42" s="32">
        <v>20645000</v>
      </c>
      <c r="H42" s="33"/>
      <c r="I42" s="33"/>
      <c r="J42" s="33"/>
      <c r="K42" s="33"/>
      <c r="L42" s="33"/>
    </row>
    <row r="43" spans="1:12" ht="15">
      <c r="A43" s="15" t="s">
        <v>96</v>
      </c>
      <c r="B43" s="32">
        <v>7589716</v>
      </c>
      <c r="C43" s="32">
        <v>8933000</v>
      </c>
      <c r="D43" s="32">
        <v>10478000</v>
      </c>
      <c r="E43" s="32">
        <v>12480000</v>
      </c>
      <c r="H43" s="33"/>
      <c r="I43" s="33"/>
      <c r="J43" s="33"/>
      <c r="K43" s="33"/>
      <c r="L43" s="33"/>
    </row>
    <row r="44" spans="1:12" ht="15">
      <c r="A44" s="15" t="s">
        <v>101</v>
      </c>
      <c r="B44" s="32">
        <v>2901783</v>
      </c>
      <c r="C44" s="32">
        <v>4775000</v>
      </c>
      <c r="D44" s="32">
        <v>5560000</v>
      </c>
      <c r="E44" s="32">
        <v>8165000</v>
      </c>
      <c r="H44" s="33"/>
      <c r="I44" s="33"/>
      <c r="J44" s="33"/>
      <c r="K44" s="33"/>
      <c r="L44" s="33"/>
    </row>
    <row r="45" spans="1:12" ht="15">
      <c r="A45" s="15" t="s">
        <v>106</v>
      </c>
      <c r="B45" s="32">
        <v>4717345</v>
      </c>
      <c r="C45" s="32">
        <v>6758000</v>
      </c>
      <c r="D45" s="32">
        <v>7547000</v>
      </c>
      <c r="E45" s="32">
        <v>10156000</v>
      </c>
      <c r="H45" s="33"/>
      <c r="I45" s="33"/>
      <c r="J45" s="33"/>
      <c r="K45" s="33"/>
      <c r="L45" s="33"/>
    </row>
    <row r="46" spans="1:12" ht="15">
      <c r="A46" s="15" t="s">
        <v>111</v>
      </c>
      <c r="B46" s="32">
        <v>2901783</v>
      </c>
      <c r="C46" s="32">
        <v>4775000</v>
      </c>
      <c r="D46" s="32">
        <v>5560000</v>
      </c>
      <c r="E46" s="32">
        <v>8165000</v>
      </c>
      <c r="H46" s="33"/>
      <c r="I46" s="33"/>
      <c r="J46" s="33"/>
      <c r="K46" s="33"/>
      <c r="L46" s="33"/>
    </row>
    <row r="47" spans="1:12" ht="15">
      <c r="A47" s="15" t="s">
        <v>112</v>
      </c>
      <c r="B47" s="32">
        <v>487491</v>
      </c>
      <c r="C47" s="32">
        <v>435000</v>
      </c>
      <c r="D47" s="32">
        <v>354000</v>
      </c>
      <c r="E47" s="32">
        <v>313000</v>
      </c>
      <c r="H47" s="33"/>
      <c r="I47" s="33"/>
      <c r="J47" s="33"/>
      <c r="K47" s="33"/>
      <c r="L47" s="33"/>
    </row>
    <row r="48" spans="1:12" ht="15">
      <c r="A48" s="15" t="s">
        <v>113</v>
      </c>
      <c r="B48" s="32">
        <v>2170096</v>
      </c>
      <c r="C48" s="32">
        <v>4070000</v>
      </c>
      <c r="D48" s="32">
        <v>4876000</v>
      </c>
      <c r="E48" s="32">
        <v>7373000</v>
      </c>
      <c r="F48" s="1" t="s">
        <v>187</v>
      </c>
      <c r="G48" s="31">
        <v>0.12</v>
      </c>
      <c r="H48" s="33"/>
      <c r="I48" s="33">
        <f>E48*1.12</f>
        <v>8257760.0000000009</v>
      </c>
      <c r="J48" s="33">
        <f t="shared" ref="J48:L48" si="8">I48*1.12</f>
        <v>9248691.2000000011</v>
      </c>
      <c r="K48" s="33">
        <f t="shared" si="8"/>
        <v>10358534.144000003</v>
      </c>
      <c r="L48" s="33">
        <f t="shared" si="8"/>
        <v>11601558.241280004</v>
      </c>
    </row>
    <row r="49" spans="1:12" ht="15">
      <c r="A49" s="15" t="s">
        <v>118</v>
      </c>
      <c r="B49" s="32">
        <v>3776607</v>
      </c>
      <c r="C49" s="32">
        <v>6027000</v>
      </c>
      <c r="D49" s="32">
        <v>6883000</v>
      </c>
      <c r="E49" s="32">
        <v>6559000</v>
      </c>
      <c r="H49" s="33"/>
      <c r="I49" s="33">
        <f>E49*1.3</f>
        <v>8526700</v>
      </c>
      <c r="J49" s="33">
        <f t="shared" ref="J49:L49" si="9">I49*1.3</f>
        <v>11084710</v>
      </c>
      <c r="K49" s="33">
        <f t="shared" si="9"/>
        <v>14410123</v>
      </c>
      <c r="L49" s="33">
        <f t="shared" si="9"/>
        <v>18733159.900000002</v>
      </c>
    </row>
    <row r="50" spans="1:12" ht="15">
      <c r="A50" s="15" t="s">
        <v>123</v>
      </c>
      <c r="B50" s="32">
        <v>4744100</v>
      </c>
      <c r="C50" s="32">
        <v>6758000</v>
      </c>
      <c r="D50" s="32">
        <v>7547000</v>
      </c>
      <c r="E50" s="32">
        <v>10156000</v>
      </c>
      <c r="H50" s="33"/>
      <c r="I50" s="33"/>
      <c r="J50" s="33"/>
      <c r="K50" s="33"/>
      <c r="L50" s="33"/>
    </row>
    <row r="51" spans="1:12" ht="15">
      <c r="A51" s="15" t="s">
        <v>125</v>
      </c>
      <c r="B51" s="32">
        <v>2170096</v>
      </c>
      <c r="C51" s="32">
        <v>4070000</v>
      </c>
      <c r="D51" s="32">
        <v>4876000</v>
      </c>
      <c r="E51" s="32">
        <v>7373000</v>
      </c>
      <c r="H51" s="33"/>
      <c r="I51" s="33"/>
      <c r="J51" s="33"/>
      <c r="K51" s="33"/>
      <c r="L51" s="33"/>
    </row>
    <row r="52" spans="1:12" ht="15">
      <c r="A52" s="15" t="s">
        <v>126</v>
      </c>
      <c r="B52" s="32">
        <v>2329808</v>
      </c>
      <c r="C52" s="32">
        <v>2418000</v>
      </c>
      <c r="D52" s="32">
        <v>2341000</v>
      </c>
      <c r="E52" s="32">
        <v>2304000</v>
      </c>
      <c r="H52" s="33"/>
      <c r="I52" s="33"/>
      <c r="J52" s="33"/>
      <c r="K52" s="33"/>
      <c r="L52" s="33"/>
    </row>
    <row r="53" spans="1:12" ht="15">
      <c r="A53" s="15" t="s">
        <v>131</v>
      </c>
      <c r="B53" s="32">
        <v>608397</v>
      </c>
      <c r="C53" s="32">
        <v>642724</v>
      </c>
      <c r="D53" s="32">
        <v>640000</v>
      </c>
      <c r="E53" s="32">
        <v>638000</v>
      </c>
      <c r="H53" s="33"/>
      <c r="I53" s="33"/>
      <c r="J53" s="33"/>
      <c r="K53" s="33"/>
      <c r="L53" s="33"/>
    </row>
    <row r="54" spans="1:12" ht="15">
      <c r="A54" s="15" t="s">
        <v>132</v>
      </c>
      <c r="B54" s="32">
        <v>599197</v>
      </c>
      <c r="C54" s="32">
        <v>633524</v>
      </c>
      <c r="D54" s="32">
        <v>631000</v>
      </c>
      <c r="E54" s="32">
        <v>638000</v>
      </c>
      <c r="H54" s="33"/>
      <c r="I54" s="33"/>
      <c r="J54" s="33"/>
      <c r="K54" s="33"/>
      <c r="L54" s="33"/>
    </row>
    <row r="55" spans="1:12" ht="15">
      <c r="A55" s="15" t="s">
        <v>133</v>
      </c>
      <c r="B55" s="32">
        <v>9200</v>
      </c>
      <c r="C55" s="32">
        <v>9200</v>
      </c>
      <c r="D55" s="32">
        <v>9000</v>
      </c>
      <c r="E55" s="32">
        <v>9200</v>
      </c>
      <c r="H55" s="33"/>
      <c r="I55" s="33"/>
      <c r="J55" s="33"/>
      <c r="K55" s="33"/>
      <c r="L55" s="33"/>
    </row>
    <row r="56" spans="1:12" ht="12.75">
      <c r="A56" s="1" t="s">
        <v>188</v>
      </c>
      <c r="C56" s="33">
        <f t="shared" ref="C56:E56" si="10">C48 - B48 + C30</f>
        <v>2037904</v>
      </c>
      <c r="D56" s="33">
        <f t="shared" si="10"/>
        <v>887000</v>
      </c>
      <c r="E56" s="33">
        <f t="shared" si="10"/>
        <v>2541000</v>
      </c>
      <c r="H56" s="33"/>
      <c r="I56" s="33">
        <f>E56 * 1.3</f>
        <v>3303300</v>
      </c>
      <c r="J56" s="33">
        <f t="shared" ref="J56:L56" si="11">I56 * 1.3</f>
        <v>4294290</v>
      </c>
      <c r="K56" s="33">
        <f t="shared" si="11"/>
        <v>5582577</v>
      </c>
      <c r="L56" s="33">
        <f t="shared" si="11"/>
        <v>7257350.1000000006</v>
      </c>
    </row>
    <row r="57" spans="1:12" ht="12.75">
      <c r="H57" s="33"/>
      <c r="I57" s="33"/>
      <c r="J57" s="33"/>
      <c r="K57" s="33"/>
      <c r="L57" s="33"/>
    </row>
    <row r="58" spans="1:12" ht="20.25">
      <c r="A58" s="17" t="s">
        <v>134</v>
      </c>
      <c r="H58" s="33"/>
      <c r="I58" s="33"/>
      <c r="J58" s="33"/>
      <c r="K58" s="33"/>
      <c r="L58" s="33"/>
    </row>
    <row r="59" spans="1:12" ht="15">
      <c r="A59" s="18" t="s">
        <v>3</v>
      </c>
      <c r="B59" s="19">
        <v>44196</v>
      </c>
      <c r="C59" s="19">
        <v>44561</v>
      </c>
      <c r="D59" s="19">
        <v>44926</v>
      </c>
      <c r="E59" s="19">
        <v>45291</v>
      </c>
      <c r="H59" s="33"/>
      <c r="I59" s="33"/>
      <c r="J59" s="33"/>
      <c r="K59" s="33"/>
      <c r="L59" s="33"/>
    </row>
    <row r="60" spans="1:12" ht="15">
      <c r="A60" s="18" t="s">
        <v>135</v>
      </c>
      <c r="B60" s="32">
        <v>-629.73199999999997</v>
      </c>
      <c r="C60" s="32">
        <v>2313000</v>
      </c>
      <c r="D60" s="32">
        <v>3430000</v>
      </c>
      <c r="E60" s="32">
        <v>3884000</v>
      </c>
      <c r="H60" s="33"/>
      <c r="I60" s="33"/>
      <c r="J60" s="33"/>
      <c r="K60" s="33"/>
      <c r="L60" s="33"/>
    </row>
    <row r="61" spans="1:12" ht="15">
      <c r="A61" s="18" t="s">
        <v>139</v>
      </c>
      <c r="B61" s="32">
        <v>79590</v>
      </c>
      <c r="C61" s="32">
        <v>-1352000</v>
      </c>
      <c r="D61" s="32">
        <v>-28000</v>
      </c>
      <c r="E61" s="32">
        <v>-1042000</v>
      </c>
      <c r="H61" s="33"/>
      <c r="I61" s="33"/>
      <c r="J61" s="33"/>
      <c r="K61" s="33"/>
      <c r="L61" s="33"/>
    </row>
    <row r="62" spans="1:12" ht="15">
      <c r="A62" s="18" t="s">
        <v>142</v>
      </c>
      <c r="B62" s="32">
        <v>2940814</v>
      </c>
      <c r="C62" s="32">
        <v>1308000</v>
      </c>
      <c r="D62" s="32">
        <v>-689000</v>
      </c>
      <c r="E62" s="32">
        <v>-2430000</v>
      </c>
      <c r="H62" s="33"/>
      <c r="I62" s="33"/>
      <c r="J62" s="33"/>
      <c r="K62" s="33"/>
      <c r="L62" s="33"/>
    </row>
    <row r="63" spans="1:12" ht="15">
      <c r="A63" s="18" t="s">
        <v>146</v>
      </c>
      <c r="B63" s="32">
        <v>7668252</v>
      </c>
      <c r="C63" s="32">
        <v>9727000</v>
      </c>
      <c r="D63" s="32">
        <v>12103000</v>
      </c>
      <c r="E63" s="32">
        <v>12667000</v>
      </c>
      <c r="H63" s="33"/>
      <c r="I63" s="33"/>
      <c r="J63" s="33"/>
      <c r="K63" s="33"/>
      <c r="L63" s="33"/>
    </row>
    <row r="64" spans="1:12" ht="15">
      <c r="A64" s="18" t="s">
        <v>151</v>
      </c>
      <c r="B64" s="32">
        <v>15103</v>
      </c>
      <c r="C64" s="32">
        <v>17000</v>
      </c>
      <c r="D64" s="32">
        <v>68000</v>
      </c>
      <c r="E64" s="32">
        <v>132000</v>
      </c>
      <c r="H64" s="33"/>
      <c r="I64" s="33"/>
      <c r="J64" s="33"/>
      <c r="K64" s="33"/>
      <c r="L64" s="33"/>
    </row>
    <row r="65" spans="1:14" ht="15">
      <c r="A65" s="18" t="s">
        <v>152</v>
      </c>
      <c r="B65" s="32">
        <v>129798</v>
      </c>
      <c r="C65" s="32">
        <v>50000</v>
      </c>
      <c r="D65" s="32">
        <v>8000</v>
      </c>
      <c r="E65" s="32">
        <v>55000</v>
      </c>
      <c r="H65" s="33"/>
      <c r="I65" s="33"/>
      <c r="J65" s="33"/>
      <c r="K65" s="33"/>
      <c r="L65" s="33"/>
    </row>
    <row r="66" spans="1:14" ht="15">
      <c r="A66" s="18" t="s">
        <v>153</v>
      </c>
      <c r="B66" s="32">
        <v>-37.371000000000002</v>
      </c>
      <c r="C66" s="32">
        <v>-25.321999999999999</v>
      </c>
      <c r="D66" s="32">
        <v>25000</v>
      </c>
      <c r="E66" s="32" t="s">
        <v>82</v>
      </c>
      <c r="H66" s="33"/>
      <c r="I66" s="33"/>
      <c r="J66" s="33"/>
      <c r="K66" s="33"/>
      <c r="L66" s="33"/>
    </row>
    <row r="67" spans="1:14" ht="15">
      <c r="A67" s="18" t="s">
        <v>154</v>
      </c>
      <c r="B67" s="32">
        <v>3650870</v>
      </c>
      <c r="C67" s="32" t="s">
        <v>82</v>
      </c>
      <c r="D67" s="32" t="s">
        <v>82</v>
      </c>
      <c r="E67" s="32" t="s">
        <v>82</v>
      </c>
      <c r="H67" s="33"/>
      <c r="I67" s="33"/>
      <c r="J67" s="33"/>
      <c r="K67" s="33"/>
      <c r="L67" s="33"/>
    </row>
    <row r="68" spans="1:14" ht="15">
      <c r="A68" s="18" t="s">
        <v>156</v>
      </c>
      <c r="B68" s="32">
        <v>1928880</v>
      </c>
      <c r="C68" s="32">
        <v>1979000</v>
      </c>
      <c r="D68" s="32" t="s">
        <v>82</v>
      </c>
      <c r="E68" s="32" t="s">
        <v>82</v>
      </c>
      <c r="H68" s="33"/>
      <c r="I68" s="33"/>
      <c r="J68" s="33"/>
      <c r="K68" s="33"/>
      <c r="L68" s="33"/>
    </row>
    <row r="69" spans="1:14" ht="15">
      <c r="A69" s="18" t="s">
        <v>159</v>
      </c>
      <c r="B69" s="32">
        <v>-5000</v>
      </c>
      <c r="C69" s="32">
        <v>-2208000</v>
      </c>
      <c r="D69" s="32" t="s">
        <v>82</v>
      </c>
      <c r="E69" s="32" t="s">
        <v>82</v>
      </c>
      <c r="H69" s="33"/>
      <c r="I69" s="33"/>
      <c r="J69" s="33"/>
      <c r="K69" s="33"/>
      <c r="L69" s="33"/>
    </row>
    <row r="70" spans="1:14" ht="15">
      <c r="A70" s="18" t="s">
        <v>161</v>
      </c>
      <c r="B70" s="32" t="s">
        <v>82</v>
      </c>
      <c r="C70" s="32" t="s">
        <v>82</v>
      </c>
      <c r="D70" s="32">
        <v>-1500000</v>
      </c>
      <c r="E70" s="32">
        <v>-2252000</v>
      </c>
      <c r="H70" s="33"/>
      <c r="I70" s="33"/>
      <c r="J70" s="33"/>
      <c r="K70" s="33"/>
      <c r="L70" s="33"/>
    </row>
    <row r="71" spans="1:14" ht="15">
      <c r="A71" s="18" t="s">
        <v>164</v>
      </c>
      <c r="B71" s="32">
        <v>-667.10299999999995</v>
      </c>
      <c r="C71" s="32">
        <v>2313000</v>
      </c>
      <c r="D71" s="32">
        <v>3430000</v>
      </c>
      <c r="E71" s="32">
        <v>3884000</v>
      </c>
      <c r="H71" s="33"/>
      <c r="I71" s="33"/>
      <c r="J71" s="33"/>
      <c r="K71" s="33"/>
      <c r="L71" s="33"/>
    </row>
    <row r="72" spans="1:14" ht="12.75">
      <c r="H72" s="33"/>
      <c r="I72" s="33"/>
      <c r="J72" s="33"/>
      <c r="K72" s="33"/>
      <c r="L72" s="33"/>
    </row>
    <row r="73" spans="1:14" ht="12.75">
      <c r="H73" s="33" t="s">
        <v>189</v>
      </c>
      <c r="I73" s="35">
        <f t="shared" ref="I73:L73" si="12">I27 * (1 - I39) + I30 - I56 - I49</f>
        <v>231948332.92187303</v>
      </c>
      <c r="J73" s="35">
        <f t="shared" si="12"/>
        <v>292866935.19843495</v>
      </c>
      <c r="K73" s="35">
        <f t="shared" si="12"/>
        <v>369766395.75796545</v>
      </c>
      <c r="L73" s="35">
        <f t="shared" si="12"/>
        <v>466833355.08535504</v>
      </c>
    </row>
    <row r="74" spans="1:14" ht="12.75">
      <c r="A74" s="1" t="s">
        <v>190</v>
      </c>
      <c r="B74" s="33">
        <v>1.48</v>
      </c>
      <c r="H74" s="1" t="s">
        <v>191</v>
      </c>
      <c r="L74" s="33">
        <f>(L73 * (1 + 0.044)) / (B93 - 0.044)</f>
        <v>4305416053.7650051</v>
      </c>
      <c r="N74" s="36" t="s">
        <v>192</v>
      </c>
    </row>
    <row r="75" spans="1:14" ht="12.75">
      <c r="A75" s="1" t="s">
        <v>193</v>
      </c>
      <c r="B75" s="37">
        <v>0</v>
      </c>
      <c r="H75" s="33" t="s">
        <v>194</v>
      </c>
      <c r="I75" s="33">
        <f>I73 / POWER(1 + B93, 1)</f>
        <v>200439241.13263142</v>
      </c>
      <c r="J75" s="33">
        <f>J73 / POWER(1 + B93, 2)</f>
        <v>218702290.3191092</v>
      </c>
      <c r="K75" s="33">
        <f>K73 / POWER(1 + B93, 3)</f>
        <v>238617297.73613593</v>
      </c>
      <c r="L75" s="33">
        <f>L73/ POWER((1 + B93), 4)</f>
        <v>260332180.57903987</v>
      </c>
      <c r="N75" s="36" t="s">
        <v>195</v>
      </c>
    </row>
    <row r="76" spans="1:14" ht="12.75">
      <c r="A76" s="1" t="s">
        <v>196</v>
      </c>
      <c r="B76" s="37">
        <v>4.5999999999999999E-2</v>
      </c>
      <c r="F76" s="1" t="s">
        <v>197</v>
      </c>
      <c r="N76" s="36" t="s">
        <v>198</v>
      </c>
    </row>
    <row r="77" spans="1:14" ht="12.75">
      <c r="A77" s="1" t="s">
        <v>199</v>
      </c>
      <c r="B77" s="37">
        <v>5.7000000000000002E-2</v>
      </c>
      <c r="N77" s="35">
        <v>4.3999999999999997E-2</v>
      </c>
    </row>
    <row r="79" spans="1:14" ht="12.75">
      <c r="A79" s="1" t="s">
        <v>200</v>
      </c>
      <c r="B79" s="37">
        <v>5.7999999999999996E-3</v>
      </c>
      <c r="D79" s="37"/>
    </row>
    <row r="81" spans="1:15" ht="15">
      <c r="A81" s="1" t="s">
        <v>201</v>
      </c>
      <c r="B81" s="32">
        <v>83000</v>
      </c>
      <c r="D81" s="33"/>
    </row>
    <row r="82" spans="1:15" ht="15">
      <c r="A82" s="1" t="s">
        <v>202</v>
      </c>
      <c r="B82" s="32">
        <v>2304000</v>
      </c>
    </row>
    <row r="83" spans="1:15" ht="12.75">
      <c r="A83" s="1" t="s">
        <v>203</v>
      </c>
      <c r="B83" s="33">
        <f>B81/B82</f>
        <v>3.6024305555555552E-2</v>
      </c>
      <c r="D83" s="33"/>
      <c r="F83" s="1" t="s">
        <v>204</v>
      </c>
    </row>
    <row r="84" spans="1:15" ht="22.5">
      <c r="F84" s="38" t="s">
        <v>205</v>
      </c>
    </row>
    <row r="85" spans="1:15" ht="12.75">
      <c r="A85" s="1" t="s">
        <v>206</v>
      </c>
      <c r="B85" s="37">
        <f>B75 + B74 * (B76+B77+B79)</f>
        <v>0.161024</v>
      </c>
      <c r="C85" s="33">
        <f>0.161</f>
        <v>0.161</v>
      </c>
      <c r="D85" s="1" t="s">
        <v>207</v>
      </c>
      <c r="F85" s="39"/>
    </row>
    <row r="86" spans="1:15" ht="12.75">
      <c r="A86" s="1" t="s">
        <v>208</v>
      </c>
      <c r="B86" s="37">
        <f>B75 + B83 * B79</f>
        <v>2.0894097222222218E-4</v>
      </c>
      <c r="G86" s="33"/>
      <c r="H86" s="33"/>
      <c r="I86" s="33"/>
      <c r="J86" s="33"/>
      <c r="K86" s="33"/>
      <c r="L86" s="33"/>
      <c r="M86" s="33"/>
      <c r="N86" s="33"/>
      <c r="O86" s="33"/>
    </row>
    <row r="87" spans="1:15" ht="12.75">
      <c r="A87" s="1" t="s">
        <v>209</v>
      </c>
      <c r="B87" s="37">
        <v>0.21</v>
      </c>
      <c r="G87" s="33"/>
      <c r="H87" s="33" t="s">
        <v>210</v>
      </c>
      <c r="I87" s="35">
        <f>I73 / POWER((1 + B93), 1)</f>
        <v>200439241.13263142</v>
      </c>
      <c r="J87" s="35">
        <f>J73 / POWER((1 + B93), 2)</f>
        <v>218702290.3191092</v>
      </c>
      <c r="K87" s="35">
        <f>K73 / POWER((1 + B93), 3)</f>
        <v>238617297.73613593</v>
      </c>
      <c r="L87" s="35">
        <f>L73 / POWER((1 + B93), 4)</f>
        <v>260332180.57903987</v>
      </c>
      <c r="M87" s="33"/>
      <c r="N87" s="33"/>
      <c r="O87" s="33"/>
    </row>
    <row r="88" spans="1:15" ht="12.75">
      <c r="A88" s="1" t="s">
        <v>211</v>
      </c>
      <c r="B88" s="33">
        <f>E54 + E55</f>
        <v>647200</v>
      </c>
      <c r="G88" s="33"/>
      <c r="H88" s="1" t="s">
        <v>212</v>
      </c>
      <c r="I88" s="33"/>
      <c r="J88" s="33"/>
      <c r="K88" s="33"/>
      <c r="L88" s="33">
        <f>L74/ POWER((1 + B93), 4)</f>
        <v>2400938873.2981954</v>
      </c>
      <c r="M88" s="33"/>
      <c r="N88" s="33"/>
      <c r="O88" s="33"/>
    </row>
    <row r="89" spans="1:15" ht="12.75">
      <c r="A89" s="1" t="s">
        <v>213</v>
      </c>
      <c r="B89" s="33">
        <v>146.19999999999999</v>
      </c>
      <c r="G89" s="33"/>
      <c r="J89" s="33"/>
      <c r="K89" s="33"/>
      <c r="L89" s="33"/>
      <c r="M89" s="33"/>
      <c r="N89" s="33"/>
      <c r="O89" s="33"/>
    </row>
    <row r="90" spans="1:15" ht="12.75">
      <c r="A90" s="1" t="s">
        <v>214</v>
      </c>
      <c r="B90" s="33">
        <f>B88*B89</f>
        <v>94620640</v>
      </c>
      <c r="G90" s="33"/>
      <c r="J90" s="33"/>
      <c r="K90" s="33"/>
      <c r="L90" s="33"/>
      <c r="M90" s="33"/>
      <c r="N90" s="33"/>
      <c r="O90" s="33"/>
    </row>
    <row r="91" spans="1:15" ht="12.75">
      <c r="A91" s="1" t="s">
        <v>215</v>
      </c>
      <c r="B91" s="33">
        <f>B82+B90</f>
        <v>96924640</v>
      </c>
      <c r="G91" s="33"/>
      <c r="J91" s="33"/>
      <c r="M91" s="33"/>
      <c r="N91" s="33" t="s">
        <v>216</v>
      </c>
      <c r="O91" s="33">
        <f>SUM(I87:L87)</f>
        <v>918091009.76691651</v>
      </c>
    </row>
    <row r="92" spans="1:15" ht="12.75">
      <c r="G92" s="33"/>
      <c r="J92" s="33"/>
      <c r="M92" s="33"/>
      <c r="N92" s="33" t="s">
        <v>217</v>
      </c>
      <c r="O92" s="33">
        <f>I73/(1 + B93)</f>
        <v>200439241.13263142</v>
      </c>
    </row>
    <row r="93" spans="1:15" ht="12.75">
      <c r="A93" s="1" t="s">
        <v>218</v>
      </c>
      <c r="B93" s="33">
        <f>(B90/B91*B85) + (B82/B91*B86*(1-B87))</f>
        <v>0.15720021494389869</v>
      </c>
      <c r="D93" s="33"/>
      <c r="G93" s="33"/>
      <c r="H93" s="33" t="s">
        <v>219</v>
      </c>
      <c r="I93" s="35">
        <f>E45 - E52</f>
        <v>7852000</v>
      </c>
      <c r="K93" s="33"/>
      <c r="L93" s="33"/>
      <c r="M93" s="33"/>
      <c r="N93" s="33">
        <f>O91 - B82</f>
        <v>915787009.76691651</v>
      </c>
      <c r="O93" s="33"/>
    </row>
    <row r="94" spans="1:15" ht="12.75">
      <c r="G94" s="33"/>
      <c r="H94" s="33" t="s">
        <v>220</v>
      </c>
      <c r="I94" s="33">
        <f>I93 / B88</f>
        <v>12.132262051915946</v>
      </c>
      <c r="J94" s="33"/>
      <c r="K94" s="33"/>
      <c r="L94" s="40">
        <v>45289</v>
      </c>
      <c r="M94" s="33" t="s">
        <v>221</v>
      </c>
      <c r="N94" s="33"/>
      <c r="O94" s="33"/>
    </row>
    <row r="95" spans="1:15" ht="12.75">
      <c r="C95" s="1" t="s">
        <v>222</v>
      </c>
      <c r="E95" s="1" t="s">
        <v>223</v>
      </c>
      <c r="I95" s="36" t="s">
        <v>224</v>
      </c>
      <c r="J95" s="36"/>
      <c r="K95" s="36"/>
      <c r="L95" s="1" t="s">
        <v>225</v>
      </c>
    </row>
    <row r="96" spans="1:15" ht="12.75">
      <c r="E96" s="1" t="s">
        <v>226</v>
      </c>
      <c r="L96" s="36">
        <f>0.13614 * (1 + C85) - 0</f>
        <v>0.15805854000000003</v>
      </c>
      <c r="M96" s="36" t="s">
        <v>227</v>
      </c>
      <c r="N96" s="36"/>
      <c r="O96" s="36"/>
    </row>
    <row r="97" spans="1:13" ht="12.75">
      <c r="C97" s="36" t="s">
        <v>228</v>
      </c>
      <c r="D97" s="36">
        <f>H98 / N77</f>
        <v>0.21376424321871534</v>
      </c>
      <c r="E97" s="36" t="s">
        <v>229</v>
      </c>
      <c r="F97" s="41">
        <f>E9/E42</f>
        <v>7.3528699442964404E-2</v>
      </c>
      <c r="G97" s="36" t="s">
        <v>230</v>
      </c>
      <c r="H97" s="36">
        <f>(E5 - 0) / E54</f>
        <v>15.543887147335424</v>
      </c>
      <c r="J97" s="1" t="s">
        <v>231</v>
      </c>
      <c r="M97" s="1" t="s">
        <v>232</v>
      </c>
    </row>
    <row r="98" spans="1:13" ht="12.75">
      <c r="C98" s="36"/>
      <c r="D98" s="36"/>
      <c r="E98" s="36" t="s">
        <v>233</v>
      </c>
      <c r="F98" s="41">
        <f>E9/E46</f>
        <v>0.18591549295774648</v>
      </c>
      <c r="G98" s="36" t="s">
        <v>234</v>
      </c>
      <c r="H98" s="36">
        <f>B101 / H97</f>
        <v>9.4056267016234749E-3</v>
      </c>
      <c r="M98" s="1" t="s">
        <v>235</v>
      </c>
    </row>
    <row r="99" spans="1:13" ht="12.75">
      <c r="C99" s="36"/>
      <c r="D99" s="36"/>
      <c r="E99" s="36" t="s">
        <v>236</v>
      </c>
      <c r="F99" s="41">
        <f>E7/E50</f>
        <v>0.80878298542733362</v>
      </c>
      <c r="G99" s="36"/>
      <c r="H99" s="36"/>
    </row>
    <row r="100" spans="1:13" ht="18">
      <c r="A100" s="1" t="s">
        <v>237</v>
      </c>
      <c r="B100" s="33">
        <v>146.19999999999999</v>
      </c>
      <c r="F100" s="42" t="s">
        <v>238</v>
      </c>
    </row>
    <row r="101" spans="1:13" ht="18">
      <c r="B101" s="33">
        <v>0.1462</v>
      </c>
      <c r="F101" s="42" t="s">
        <v>239</v>
      </c>
    </row>
    <row r="103" spans="1:13" ht="12.75">
      <c r="F103" s="1" t="s">
        <v>240</v>
      </c>
    </row>
    <row r="105" spans="1:13" ht="12.75">
      <c r="C105" s="1" t="s">
        <v>241</v>
      </c>
    </row>
    <row r="106" spans="1:13" ht="12.75">
      <c r="C106" s="36" t="s">
        <v>230</v>
      </c>
      <c r="D106" s="36"/>
    </row>
    <row r="107" spans="1:13" ht="12.75">
      <c r="C107" s="36" t="s">
        <v>234</v>
      </c>
      <c r="D107" s="36"/>
    </row>
    <row r="108" spans="1:13" ht="12.75">
      <c r="C108" s="36" t="s">
        <v>242</v>
      </c>
      <c r="D108" s="36">
        <f>E46/E60</f>
        <v>2.1022142121524201</v>
      </c>
    </row>
    <row r="109" spans="1:13" ht="12.75">
      <c r="C109" s="36" t="s">
        <v>243</v>
      </c>
      <c r="D109" s="36">
        <f>B101 / (E42 - E43)</f>
        <v>1.7905695039804041E-8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Bilans stanja i uspeha i cash f</vt:lpstr>
      <vt:lpstr>anci</vt:lpstr>
      <vt:lpstr>milos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MilosPC</cp:lastModifiedBy>
  <dcterms:modified xsi:type="dcterms:W3CDTF">2024-09-22T17:41:53Z</dcterms:modified>
</cp:coreProperties>
</file>