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esktop\QQQQQQQQQQQQQQQQQQ\Fakultet 2. semestar\Osnove finansijskog inzenjeringa 1\projekat_firme\"/>
    </mc:Choice>
  </mc:AlternateContent>
  <xr:revisionPtr revIDLastSave="0" documentId="13_ncr:1_{1EC94E14-492F-46C8-AF55-6E93E6E5DD2F}" xr6:coauthVersionLast="47" xr6:coauthVersionMax="47" xr10:uidLastSave="{00000000-0000-0000-0000-000000000000}"/>
  <bookViews>
    <workbookView xWindow="-120" yWindow="-120" windowWidth="29040" windowHeight="15840" xr2:uid="{EB2792A0-A6A3-4719-8E55-19FE2E04E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4" i="1" l="1"/>
  <c r="N124" i="1"/>
  <c r="K124" i="1"/>
  <c r="J124" i="1"/>
  <c r="G124" i="1"/>
  <c r="F124" i="1"/>
  <c r="O123" i="1"/>
  <c r="N123" i="1"/>
  <c r="K123" i="1"/>
  <c r="J123" i="1"/>
  <c r="G123" i="1"/>
  <c r="F123" i="1"/>
  <c r="O122" i="1"/>
  <c r="N122" i="1"/>
  <c r="K122" i="1"/>
  <c r="J122" i="1"/>
  <c r="G122" i="1"/>
  <c r="F122" i="1"/>
  <c r="O121" i="1"/>
  <c r="N121" i="1"/>
  <c r="K121" i="1"/>
  <c r="J121" i="1"/>
  <c r="G121" i="1"/>
  <c r="F121" i="1"/>
  <c r="O120" i="1"/>
  <c r="O126" i="1" s="1"/>
  <c r="N120" i="1"/>
  <c r="K120" i="1"/>
  <c r="J120" i="1"/>
  <c r="G120" i="1"/>
  <c r="F120" i="1"/>
  <c r="O117" i="1"/>
  <c r="O95" i="1" s="1"/>
  <c r="O96" i="1" s="1"/>
  <c r="N117" i="1"/>
  <c r="N95" i="1" s="1"/>
  <c r="N96" i="1" s="1"/>
  <c r="M117" i="1"/>
  <c r="M97" i="1" s="1"/>
  <c r="K117" i="1"/>
  <c r="K94" i="1" s="1"/>
  <c r="J117" i="1"/>
  <c r="J94" i="1" s="1"/>
  <c r="I117" i="1"/>
  <c r="I94" i="1" s="1"/>
  <c r="G117" i="1"/>
  <c r="G97" i="1" s="1"/>
  <c r="F117" i="1"/>
  <c r="F97" i="1" s="1"/>
  <c r="O116" i="1"/>
  <c r="N116" i="1"/>
  <c r="M116" i="1"/>
  <c r="M90" i="1" s="1"/>
  <c r="K116" i="1"/>
  <c r="J116" i="1"/>
  <c r="I116" i="1"/>
  <c r="G116" i="1"/>
  <c r="F116" i="1"/>
  <c r="E116" i="1"/>
  <c r="O112" i="1"/>
  <c r="O92" i="1" s="1"/>
  <c r="N112" i="1"/>
  <c r="M112" i="1"/>
  <c r="M98" i="1" s="1"/>
  <c r="K112" i="1"/>
  <c r="K98" i="1" s="1"/>
  <c r="J112" i="1"/>
  <c r="J98" i="1" s="1"/>
  <c r="I112" i="1"/>
  <c r="I98" i="1" s="1"/>
  <c r="G112" i="1"/>
  <c r="G98" i="1" s="1"/>
  <c r="F112" i="1"/>
  <c r="E112" i="1"/>
  <c r="E98" i="1" s="1"/>
  <c r="O99" i="1"/>
  <c r="N99" i="1"/>
  <c r="M99" i="1"/>
  <c r="K99" i="1"/>
  <c r="J99" i="1"/>
  <c r="I99" i="1"/>
  <c r="G99" i="1"/>
  <c r="F99" i="1"/>
  <c r="E99" i="1"/>
  <c r="F98" i="1"/>
  <c r="E97" i="1"/>
  <c r="E95" i="1"/>
  <c r="E96" i="1" s="1"/>
  <c r="E94" i="1"/>
  <c r="E93" i="1"/>
  <c r="E92" i="1"/>
  <c r="O91" i="1"/>
  <c r="N91" i="1"/>
  <c r="M91" i="1"/>
  <c r="K91" i="1"/>
  <c r="J91" i="1"/>
  <c r="I91" i="1"/>
  <c r="G91" i="1"/>
  <c r="F91" i="1"/>
  <c r="E91" i="1"/>
  <c r="O89" i="1"/>
  <c r="N89" i="1"/>
  <c r="M89" i="1"/>
  <c r="K89" i="1"/>
  <c r="J89" i="1"/>
  <c r="I89" i="1"/>
  <c r="G89" i="1"/>
  <c r="F89" i="1"/>
  <c r="E89" i="1"/>
  <c r="O88" i="1"/>
  <c r="N88" i="1"/>
  <c r="M88" i="1"/>
  <c r="K88" i="1"/>
  <c r="J88" i="1"/>
  <c r="I88" i="1"/>
  <c r="G88" i="1"/>
  <c r="F88" i="1"/>
  <c r="E88" i="1"/>
  <c r="K36" i="1"/>
  <c r="O37" i="1"/>
  <c r="O38" i="1"/>
  <c r="O35" i="1"/>
  <c r="O36" i="1"/>
  <c r="N38" i="1"/>
  <c r="N37" i="1"/>
  <c r="N35" i="1"/>
  <c r="N36" i="1"/>
  <c r="O34" i="1"/>
  <c r="N34" i="1"/>
  <c r="K37" i="1"/>
  <c r="K38" i="1"/>
  <c r="K35" i="1"/>
  <c r="J37" i="1"/>
  <c r="J38" i="1"/>
  <c r="J35" i="1"/>
  <c r="J36" i="1"/>
  <c r="K34" i="1"/>
  <c r="J34" i="1"/>
  <c r="G37" i="1"/>
  <c r="G38" i="1"/>
  <c r="G35" i="1"/>
  <c r="G36" i="1"/>
  <c r="F37" i="1"/>
  <c r="F38" i="1"/>
  <c r="F35" i="1"/>
  <c r="F36" i="1"/>
  <c r="G34" i="1"/>
  <c r="F34" i="1"/>
  <c r="M2" i="1"/>
  <c r="N2" i="1"/>
  <c r="O2" i="1"/>
  <c r="M3" i="1"/>
  <c r="N3" i="1"/>
  <c r="O3" i="1"/>
  <c r="M5" i="1"/>
  <c r="N5" i="1"/>
  <c r="O5" i="1"/>
  <c r="M13" i="1"/>
  <c r="N13" i="1"/>
  <c r="O13" i="1"/>
  <c r="O31" i="1"/>
  <c r="O9" i="1" s="1"/>
  <c r="O10" i="1" s="1"/>
  <c r="N31" i="1"/>
  <c r="N8" i="1" s="1"/>
  <c r="M31" i="1"/>
  <c r="M9" i="1" s="1"/>
  <c r="M10" i="1" s="1"/>
  <c r="O30" i="1"/>
  <c r="O26" i="1"/>
  <c r="O12" i="1" s="1"/>
  <c r="N30" i="1"/>
  <c r="M30" i="1"/>
  <c r="N26" i="1"/>
  <c r="N12" i="1" s="1"/>
  <c r="M26" i="1"/>
  <c r="M12" i="1" s="1"/>
  <c r="I2" i="1"/>
  <c r="J2" i="1"/>
  <c r="K2" i="1"/>
  <c r="I3" i="1"/>
  <c r="J3" i="1"/>
  <c r="K3" i="1"/>
  <c r="I5" i="1"/>
  <c r="J5" i="1"/>
  <c r="K5" i="1"/>
  <c r="I7" i="1"/>
  <c r="I13" i="1"/>
  <c r="J13" i="1"/>
  <c r="K13" i="1"/>
  <c r="K31" i="1"/>
  <c r="K9" i="1" s="1"/>
  <c r="K10" i="1" s="1"/>
  <c r="J31" i="1"/>
  <c r="J9" i="1" s="1"/>
  <c r="J10" i="1" s="1"/>
  <c r="I31" i="1"/>
  <c r="I9" i="1" s="1"/>
  <c r="I10" i="1" s="1"/>
  <c r="K30" i="1"/>
  <c r="J30" i="1"/>
  <c r="K26" i="1"/>
  <c r="K12" i="1" s="1"/>
  <c r="J26" i="1"/>
  <c r="J4" i="1" s="1"/>
  <c r="I30" i="1"/>
  <c r="I26" i="1"/>
  <c r="I12" i="1" s="1"/>
  <c r="F5" i="1"/>
  <c r="G5" i="1"/>
  <c r="F13" i="1"/>
  <c r="G13" i="1"/>
  <c r="E13" i="1"/>
  <c r="E11" i="1"/>
  <c r="E9" i="1"/>
  <c r="E10" i="1" s="1"/>
  <c r="E8" i="1"/>
  <c r="E7" i="1"/>
  <c r="E5" i="1"/>
  <c r="F3" i="1"/>
  <c r="G3" i="1"/>
  <c r="E3" i="1"/>
  <c r="F2" i="1"/>
  <c r="G2" i="1"/>
  <c r="E2" i="1"/>
  <c r="G31" i="1"/>
  <c r="G11" i="1" s="1"/>
  <c r="F31" i="1"/>
  <c r="F8" i="1" s="1"/>
  <c r="G30" i="1"/>
  <c r="G26" i="1"/>
  <c r="G12" i="1" s="1"/>
  <c r="F30" i="1"/>
  <c r="E30" i="1"/>
  <c r="F26" i="1"/>
  <c r="F12" i="1" s="1"/>
  <c r="E26" i="1"/>
  <c r="E12" i="1" s="1"/>
  <c r="F90" i="1" l="1"/>
  <c r="E90" i="1"/>
  <c r="M93" i="1"/>
  <c r="K4" i="1"/>
  <c r="J95" i="1"/>
  <c r="J96" i="1" s="1"/>
  <c r="G8" i="1"/>
  <c r="G7" i="1"/>
  <c r="J40" i="1"/>
  <c r="I8" i="1"/>
  <c r="F40" i="1"/>
  <c r="E4" i="1"/>
  <c r="K95" i="1"/>
  <c r="K96" i="1" s="1"/>
  <c r="M95" i="1"/>
  <c r="M96" i="1" s="1"/>
  <c r="O11" i="1"/>
  <c r="M8" i="1"/>
  <c r="N92" i="1"/>
  <c r="K126" i="1"/>
  <c r="N11" i="1"/>
  <c r="M11" i="1"/>
  <c r="M92" i="1"/>
  <c r="O7" i="1"/>
  <c r="N126" i="1"/>
  <c r="I90" i="1"/>
  <c r="G40" i="1"/>
  <c r="M4" i="1"/>
  <c r="N40" i="1"/>
  <c r="K7" i="1"/>
  <c r="F6" i="1"/>
  <c r="N4" i="1"/>
  <c r="K11" i="1"/>
  <c r="F126" i="1"/>
  <c r="J11" i="1"/>
  <c r="O4" i="1"/>
  <c r="G126" i="1"/>
  <c r="K6" i="1"/>
  <c r="I11" i="1"/>
  <c r="N7" i="1"/>
  <c r="G4" i="1"/>
  <c r="F11" i="1"/>
  <c r="M7" i="1"/>
  <c r="J7" i="1"/>
  <c r="G9" i="1"/>
  <c r="G10" i="1" s="1"/>
  <c r="K8" i="1"/>
  <c r="O6" i="1"/>
  <c r="F9" i="1"/>
  <c r="F10" i="1" s="1"/>
  <c r="I6" i="1"/>
  <c r="J8" i="1"/>
  <c r="O40" i="1"/>
  <c r="G90" i="1"/>
  <c r="J12" i="1"/>
  <c r="F4" i="1"/>
  <c r="I4" i="1"/>
  <c r="N90" i="1"/>
  <c r="K40" i="1"/>
  <c r="N6" i="1"/>
  <c r="O90" i="1"/>
  <c r="M6" i="1"/>
  <c r="J126" i="1"/>
  <c r="N9" i="1"/>
  <c r="N10" i="1" s="1"/>
  <c r="F94" i="1"/>
  <c r="J90" i="1"/>
  <c r="O8" i="1"/>
  <c r="G94" i="1"/>
  <c r="F7" i="1"/>
  <c r="G6" i="1"/>
  <c r="J6" i="1"/>
  <c r="M94" i="1"/>
  <c r="I93" i="1"/>
  <c r="I97" i="1"/>
  <c r="J97" i="1"/>
  <c r="O98" i="1"/>
  <c r="F92" i="1"/>
  <c r="J93" i="1"/>
  <c r="N98" i="1"/>
  <c r="G92" i="1"/>
  <c r="K93" i="1"/>
  <c r="O94" i="1"/>
  <c r="K97" i="1"/>
  <c r="I92" i="1"/>
  <c r="J92" i="1"/>
  <c r="N93" i="1"/>
  <c r="F95" i="1"/>
  <c r="F96" i="1" s="1"/>
  <c r="N97" i="1"/>
  <c r="N94" i="1"/>
  <c r="K92" i="1"/>
  <c r="O93" i="1"/>
  <c r="G95" i="1"/>
  <c r="G96" i="1" s="1"/>
  <c r="O97" i="1"/>
  <c r="I95" i="1"/>
  <c r="I96" i="1" s="1"/>
  <c r="F93" i="1"/>
  <c r="K90" i="1"/>
  <c r="G93" i="1"/>
  <c r="E6" i="1"/>
</calcChain>
</file>

<file path=xl/sharedStrings.xml><?xml version="1.0" encoding="utf-8"?>
<sst xmlns="http://schemas.openxmlformats.org/spreadsheetml/2006/main" count="70" uniqueCount="38">
  <si>
    <t>Opsti racio likvidnost</t>
  </si>
  <si>
    <t>Rigorozni racio likvodnosti</t>
  </si>
  <si>
    <t>Dug/Imovina</t>
  </si>
  <si>
    <t>Dugoročni dug/Kapital</t>
  </si>
  <si>
    <t>Obrt imovine</t>
  </si>
  <si>
    <t>Obrt trajne imovine</t>
  </si>
  <si>
    <t>Obrt inventara</t>
  </si>
  <si>
    <t>Obrt potraživanja</t>
  </si>
  <si>
    <t>Period naplate potraživanja</t>
  </si>
  <si>
    <t>Stopa dobiti</t>
  </si>
  <si>
    <t>Rentabilnost imovine</t>
  </si>
  <si>
    <t>Rentabilnost kapitala</t>
  </si>
  <si>
    <t>Dobit po akciji</t>
  </si>
  <si>
    <t>P-E</t>
  </si>
  <si>
    <t>Kratkoročna imovina</t>
  </si>
  <si>
    <t>Inventar</t>
  </si>
  <si>
    <t>Dugoročna imovina</t>
  </si>
  <si>
    <t>Potraživanje od kupaca</t>
  </si>
  <si>
    <t>Ukupna imovina</t>
  </si>
  <si>
    <t>Kapital</t>
  </si>
  <si>
    <t>Kratkoročne obaveze</t>
  </si>
  <si>
    <t>Dugoročne obaveze</t>
  </si>
  <si>
    <t>Ukupne obaveze</t>
  </si>
  <si>
    <t>Ukupan prihod</t>
  </si>
  <si>
    <t>Dobit</t>
  </si>
  <si>
    <t>!!!</t>
  </si>
  <si>
    <t>Things Solver</t>
  </si>
  <si>
    <t>SmartCat</t>
  </si>
  <si>
    <t>Razlika dobiti</t>
  </si>
  <si>
    <t>Poslovne aktivnosti</t>
  </si>
  <si>
    <t>Investicione aktivnosti</t>
  </si>
  <si>
    <t>Finansijske aktivnosti</t>
  </si>
  <si>
    <t>Kes</t>
  </si>
  <si>
    <t>Neto novcani tok</t>
  </si>
  <si>
    <t>HOOLOOVOO</t>
  </si>
  <si>
    <t>Ovo je samo kopija od gore, za svaki slucaj, nebitna je</t>
  </si>
  <si>
    <t>Rigorozni racio likvidnosti</t>
  </si>
  <si>
    <t>Gotovina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</si>
</sst>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Sheet1!$B$2:$D$2</c:f>
              <c:strCache>
                <c:ptCount val="3"/>
                <c:pt idx="0">
                  <c:v>Opsti racio likvidnost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Sheet1!$E$2:$O$2</c:f>
              <c:numCache>
                <c:formatCode>0.00</c:formatCode>
                <c:ptCount val="11"/>
                <c:pt idx="0">
                  <c:v>1.8179611650485437</c:v>
                </c:pt>
                <c:pt idx="1">
                  <c:v>1.2915737851092288</c:v>
                </c:pt>
                <c:pt idx="2">
                  <c:v>4.255867999070416</c:v>
                </c:pt>
                <c:pt idx="4">
                  <c:v>4.0692124105011933</c:v>
                </c:pt>
                <c:pt idx="5">
                  <c:v>3.9605367008681926</c:v>
                </c:pt>
                <c:pt idx="6">
                  <c:v>2.9400909334046537</c:v>
                </c:pt>
                <c:pt idx="8">
                  <c:v>6.8334592145015103</c:v>
                </c:pt>
                <c:pt idx="9">
                  <c:v>9.8620370370370374</c:v>
                </c:pt>
                <c:pt idx="10">
                  <c:v>12.057918185500203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E-4E91-8330-C94A74BA69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54236736"/>
        <c:axId val="554238376"/>
      </c:barChart>
      <c:catAx>
        <c:axId val="554236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38376"/>
        <c:crosses val="autoZero"/>
        <c:auto val="1"/>
        <c:lblAlgn val="ctr"/>
        <c:lblOffset val="100"/>
        <c:noMultiLvlLbl val="0"/>
      </c:catAx>
      <c:valAx>
        <c:axId val="554238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3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Sheet1!$B$4:$D$4</c:f>
              <c:strCache>
                <c:ptCount val="3"/>
                <c:pt idx="0">
                  <c:v>Dug/Imovina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Sheet1!$E$4:$O$4</c:f>
              <c:numCache>
                <c:formatCode>0.00</c:formatCode>
                <c:ptCount val="11"/>
                <c:pt idx="0">
                  <c:v>0.1456344998232591</c:v>
                </c:pt>
                <c:pt idx="1">
                  <c:v>0.22943944353518822</c:v>
                </c:pt>
                <c:pt idx="2">
                  <c:v>0.53051290311034749</c:v>
                </c:pt>
                <c:pt idx="4">
                  <c:v>0.21681759379042692</c:v>
                </c:pt>
                <c:pt idx="5">
                  <c:v>0.24632233815047633</c:v>
                </c:pt>
                <c:pt idx="6">
                  <c:v>7.2428488409633882E-2</c:v>
                </c:pt>
                <c:pt idx="8">
                  <c:v>0.11932765535577486</c:v>
                </c:pt>
                <c:pt idx="9">
                  <c:v>8.5929108485499464E-2</c:v>
                </c:pt>
                <c:pt idx="10">
                  <c:v>0.13181532124263401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B-42A4-BC6F-3CDE2FCC21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98060032"/>
        <c:axId val="598057736"/>
      </c:barChart>
      <c:catAx>
        <c:axId val="598060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57736"/>
        <c:crosses val="autoZero"/>
        <c:auto val="1"/>
        <c:lblAlgn val="ctr"/>
        <c:lblOffset val="100"/>
        <c:noMultiLvlLbl val="0"/>
      </c:catAx>
      <c:valAx>
        <c:axId val="598057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6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Sheet1!$B$6:$D$6</c:f>
              <c:strCache>
                <c:ptCount val="3"/>
                <c:pt idx="0">
                  <c:v>Obrt imovine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Sheet1!$E$6:$O$6</c:f>
              <c:numCache>
                <c:formatCode>0.00</c:formatCode>
                <c:ptCount val="11"/>
                <c:pt idx="0">
                  <c:v>4.1967126193001061</c:v>
                </c:pt>
                <c:pt idx="1">
                  <c:v>4.8113747954173487</c:v>
                </c:pt>
                <c:pt idx="2">
                  <c:v>2.725974444325137</c:v>
                </c:pt>
                <c:pt idx="4">
                  <c:v>3.1601552393272963</c:v>
                </c:pt>
                <c:pt idx="5">
                  <c:v>2.3923919383060075</c:v>
                </c:pt>
                <c:pt idx="6">
                  <c:v>0.56048944275844259</c:v>
                </c:pt>
                <c:pt idx="8">
                  <c:v>2.5561714208462889</c:v>
                </c:pt>
                <c:pt idx="9">
                  <c:v>2.309901738473167</c:v>
                </c:pt>
                <c:pt idx="10">
                  <c:v>2.9075461982950972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4A97-8C5A-5B65E814B6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42142304"/>
        <c:axId val="342140992"/>
      </c:barChart>
      <c:catAx>
        <c:axId val="342142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40992"/>
        <c:crosses val="autoZero"/>
        <c:auto val="1"/>
        <c:lblAlgn val="ctr"/>
        <c:lblOffset val="100"/>
        <c:noMultiLvlLbl val="0"/>
      </c:catAx>
      <c:valAx>
        <c:axId val="342140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Sheet1!$B$9:$D$9</c:f>
              <c:strCache>
                <c:ptCount val="3"/>
                <c:pt idx="0">
                  <c:v>Obrt potraživanja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Sheet1!$E$9:$O$9</c:f>
              <c:numCache>
                <c:formatCode>0.00</c:formatCode>
                <c:ptCount val="11"/>
                <c:pt idx="0">
                  <c:v>21.449864498644985</c:v>
                </c:pt>
                <c:pt idx="1">
                  <c:v>340.84057971014494</c:v>
                </c:pt>
                <c:pt idx="2">
                  <c:v>13.266155721999652</c:v>
                </c:pt>
                <c:pt idx="4">
                  <c:v>3.8651898734177217</c:v>
                </c:pt>
                <c:pt idx="5">
                  <c:v>3.3493921248412266</c:v>
                </c:pt>
                <c:pt idx="6">
                  <c:v>3.0034600878862321</c:v>
                </c:pt>
                <c:pt idx="8">
                  <c:v>4.3188670625856558</c:v>
                </c:pt>
                <c:pt idx="9">
                  <c:v>5.6747458952306493</c:v>
                </c:pt>
                <c:pt idx="10">
                  <c:v>4.6746999034171921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4-48D0-B3E9-060D7FB81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98895288"/>
        <c:axId val="598895944"/>
      </c:barChart>
      <c:catAx>
        <c:axId val="598895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95944"/>
        <c:crosses val="autoZero"/>
        <c:auto val="1"/>
        <c:lblAlgn val="ctr"/>
        <c:lblOffset val="100"/>
        <c:noMultiLvlLbl val="0"/>
      </c:catAx>
      <c:valAx>
        <c:axId val="598895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9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Sheet1!$B$10:$D$10</c:f>
              <c:strCache>
                <c:ptCount val="3"/>
                <c:pt idx="0">
                  <c:v>Period naplate potraživanja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Sheet1!$E$10:$O$10</c:f>
              <c:numCache>
                <c:formatCode>0.00</c:formatCode>
                <c:ptCount val="11"/>
                <c:pt idx="0">
                  <c:v>16.783322804801013</c:v>
                </c:pt>
                <c:pt idx="1">
                  <c:v>1.0562122629475295</c:v>
                </c:pt>
                <c:pt idx="2">
                  <c:v>27.136723519911765</c:v>
                </c:pt>
                <c:pt idx="4">
                  <c:v>93.139020795808079</c:v>
                </c:pt>
                <c:pt idx="5">
                  <c:v>107.48218977706748</c:v>
                </c:pt>
                <c:pt idx="6">
                  <c:v>119.86175593009459</c:v>
                </c:pt>
                <c:pt idx="8">
                  <c:v>83.355193568859733</c:v>
                </c:pt>
                <c:pt idx="9">
                  <c:v>63.438963901901346</c:v>
                </c:pt>
                <c:pt idx="10">
                  <c:v>77.010291021428145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D-4C62-B5E0-253431194C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37240632"/>
        <c:axId val="537237680"/>
      </c:barChart>
      <c:catAx>
        <c:axId val="537240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37680"/>
        <c:crosses val="autoZero"/>
        <c:auto val="1"/>
        <c:lblAlgn val="ctr"/>
        <c:lblOffset val="100"/>
        <c:noMultiLvlLbl val="0"/>
      </c:catAx>
      <c:valAx>
        <c:axId val="537237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4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Rigorozni racio likvidn</a:t>
            </a:r>
            <a:r>
              <a:rPr lang="sr-Latn-RS"/>
              <a:t>o</a:t>
            </a:r>
            <a:r>
              <a:rPr lang="en-US"/>
              <a:t>sti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Sheet1!$B$3:$D$3</c:f>
              <c:strCache>
                <c:ptCount val="3"/>
                <c:pt idx="0">
                  <c:v>Rigorozni racio likvidnosti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Sheet1!$E$3:$O$3</c:f>
              <c:numCache>
                <c:formatCode>0.00</c:formatCode>
                <c:ptCount val="11"/>
                <c:pt idx="0">
                  <c:v>1.816747572815534</c:v>
                </c:pt>
                <c:pt idx="1">
                  <c:v>0.98930004458314758</c:v>
                </c:pt>
                <c:pt idx="2">
                  <c:v>3.810829653729956</c:v>
                </c:pt>
                <c:pt idx="4">
                  <c:v>4.0692124105011933</c:v>
                </c:pt>
                <c:pt idx="5">
                  <c:v>3.9586950802420415</c:v>
                </c:pt>
                <c:pt idx="6">
                  <c:v>2.9252028171525364</c:v>
                </c:pt>
                <c:pt idx="8">
                  <c:v>6.7896525679758311</c:v>
                </c:pt>
                <c:pt idx="9">
                  <c:v>9.8620370370370374</c:v>
                </c:pt>
                <c:pt idx="10">
                  <c:v>11.852166869177804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8-4C48-AFCB-77C0F79388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28670336"/>
        <c:axId val="528673288"/>
      </c:barChart>
      <c:catAx>
        <c:axId val="528670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73288"/>
        <c:crosses val="autoZero"/>
        <c:auto val="1"/>
        <c:lblAlgn val="ctr"/>
        <c:lblOffset val="100"/>
        <c:noMultiLvlLbl val="0"/>
      </c:catAx>
      <c:valAx>
        <c:axId val="5286732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7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Sheet1!$B$5:$D$5</c:f>
              <c:strCache>
                <c:ptCount val="3"/>
                <c:pt idx="0">
                  <c:v>Dugoročni dug/Kapital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0.80034999619569358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7.0477759472817134E-2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E-4F4D-B747-37F4976A2F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61116672"/>
        <c:axId val="561113064"/>
      </c:barChart>
      <c:catAx>
        <c:axId val="561116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13064"/>
        <c:crosses val="autoZero"/>
        <c:auto val="1"/>
        <c:lblAlgn val="ctr"/>
        <c:lblOffset val="100"/>
        <c:noMultiLvlLbl val="0"/>
      </c:catAx>
      <c:valAx>
        <c:axId val="561113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1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Sheet1!$B$11:$D$11</c:f>
              <c:strCache>
                <c:ptCount val="3"/>
                <c:pt idx="0">
                  <c:v>Stopa dobiti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Sheet1!$E$1:$O$1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Sheet1!$E$11:$O$11</c:f>
              <c:numCache>
                <c:formatCode>0.00</c:formatCode>
                <c:ptCount val="11"/>
                <c:pt idx="0">
                  <c:v>0.10696988839755737</c:v>
                </c:pt>
                <c:pt idx="1">
                  <c:v>5.738158006633217E-2</c:v>
                </c:pt>
                <c:pt idx="2">
                  <c:v>7.3305234962776231E-2</c:v>
                </c:pt>
                <c:pt idx="4">
                  <c:v>0.22244964794498118</c:v>
                </c:pt>
                <c:pt idx="5">
                  <c:v>0.23306335834439418</c:v>
                </c:pt>
                <c:pt idx="6">
                  <c:v>0.18184855362141861</c:v>
                </c:pt>
                <c:pt idx="8">
                  <c:v>0.18087581975883224</c:v>
                </c:pt>
                <c:pt idx="9">
                  <c:v>5.914163681454946E-2</c:v>
                </c:pt>
                <c:pt idx="10">
                  <c:v>0.12114086696444383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F-4D2E-9F1D-B0A3298517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37407784"/>
        <c:axId val="537409096"/>
      </c:barChart>
      <c:catAx>
        <c:axId val="5374077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9096"/>
        <c:crosses val="autoZero"/>
        <c:auto val="1"/>
        <c:lblAlgn val="ctr"/>
        <c:lblOffset val="100"/>
        <c:noMultiLvlLbl val="0"/>
      </c:catAx>
      <c:valAx>
        <c:axId val="537409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10</xdr:row>
      <xdr:rowOff>147637</xdr:rowOff>
    </xdr:from>
    <xdr:to>
      <xdr:col>23</xdr:col>
      <xdr:colOff>476250</xdr:colOff>
      <xdr:row>25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7BE483-1150-45AD-8D35-696BD1C7B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428623</xdr:colOff>
      <xdr:row>10</xdr:row>
      <xdr:rowOff>152400</xdr:rowOff>
    </xdr:from>
    <xdr:to>
      <xdr:col>32</xdr:col>
      <xdr:colOff>126402</xdr:colOff>
      <xdr:row>25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B001B6-BE2C-436C-85EF-1BBF21059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25</xdr:row>
      <xdr:rowOff>147637</xdr:rowOff>
    </xdr:from>
    <xdr:to>
      <xdr:col>23</xdr:col>
      <xdr:colOff>486156</xdr:colOff>
      <xdr:row>40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05EDF0-DF7C-495F-9F1B-9AFA66909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447675</xdr:colOff>
      <xdr:row>26</xdr:row>
      <xdr:rowOff>0</xdr:rowOff>
    </xdr:from>
    <xdr:to>
      <xdr:col>32</xdr:col>
      <xdr:colOff>142875</xdr:colOff>
      <xdr:row>40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153EC2-E808-49E9-8E45-CFFD37752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219075</xdr:colOff>
      <xdr:row>41</xdr:row>
      <xdr:rowOff>152400</xdr:rowOff>
    </xdr:from>
    <xdr:to>
      <xdr:col>23</xdr:col>
      <xdr:colOff>523875</xdr:colOff>
      <xdr:row>56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6FDF40-ECAE-4CDF-867C-C57803F1A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437028</xdr:colOff>
      <xdr:row>42</xdr:row>
      <xdr:rowOff>67236</xdr:rowOff>
    </xdr:from>
    <xdr:to>
      <xdr:col>32</xdr:col>
      <xdr:colOff>168087</xdr:colOff>
      <xdr:row>56</xdr:row>
      <xdr:rowOff>143436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F2A63F4-8605-4FCB-924F-96B973510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207309</xdr:colOff>
      <xdr:row>58</xdr:row>
      <xdr:rowOff>96371</xdr:rowOff>
    </xdr:from>
    <xdr:to>
      <xdr:col>23</xdr:col>
      <xdr:colOff>543485</xdr:colOff>
      <xdr:row>72</xdr:row>
      <xdr:rowOff>172571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AF3CE7-E13A-40BD-BACA-86C3E9F54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369793</xdr:colOff>
      <xdr:row>58</xdr:row>
      <xdr:rowOff>145677</xdr:rowOff>
    </xdr:from>
    <xdr:to>
      <xdr:col>32</xdr:col>
      <xdr:colOff>100852</xdr:colOff>
      <xdr:row>73</xdr:row>
      <xdr:rowOff>31377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B45CDB-50A8-4EC8-861F-5EFA19D9D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C586-AE36-4035-8940-8143426D4D38}">
  <dimension ref="A1:O126"/>
  <sheetViews>
    <sheetView tabSelected="1" zoomScale="85" zoomScaleNormal="85" workbookViewId="0">
      <selection activeCell="S7" sqref="S7"/>
    </sheetView>
  </sheetViews>
  <sheetFormatPr defaultRowHeight="15" x14ac:dyDescent="0.25"/>
  <cols>
    <col min="5" max="5" width="13.7109375" bestFit="1" customWidth="1"/>
    <col min="6" max="6" width="11.5703125" bestFit="1" customWidth="1"/>
    <col min="7" max="7" width="10.5703125" bestFit="1" customWidth="1"/>
    <col min="9" max="9" width="10.5703125" bestFit="1" customWidth="1"/>
    <col min="10" max="10" width="12.5703125" bestFit="1" customWidth="1"/>
    <col min="11" max="11" width="11.5703125" bestFit="1" customWidth="1"/>
    <col min="13" max="13" width="11.5703125" bestFit="1" customWidth="1"/>
    <col min="14" max="14" width="10.5703125" bestFit="1" customWidth="1"/>
    <col min="15" max="15" width="11.5703125" bestFit="1" customWidth="1"/>
  </cols>
  <sheetData>
    <row r="1" spans="2:15" x14ac:dyDescent="0.25">
      <c r="E1">
        <v>2017</v>
      </c>
      <c r="F1">
        <v>2018</v>
      </c>
      <c r="G1">
        <v>2019</v>
      </c>
      <c r="I1">
        <v>2017</v>
      </c>
      <c r="J1">
        <v>2018</v>
      </c>
      <c r="K1">
        <v>2019</v>
      </c>
      <c r="M1">
        <v>2017</v>
      </c>
      <c r="N1">
        <v>2018</v>
      </c>
      <c r="O1">
        <v>2019</v>
      </c>
    </row>
    <row r="2" spans="2:15" x14ac:dyDescent="0.25">
      <c r="B2" s="4" t="s">
        <v>0</v>
      </c>
      <c r="C2" s="4"/>
      <c r="D2" s="4"/>
      <c r="E2" s="2">
        <f>E22/E28</f>
        <v>1.8179611650485437</v>
      </c>
      <c r="F2" s="2">
        <f>F22/F28</f>
        <v>1.2915737851092288</v>
      </c>
      <c r="G2" s="2">
        <f>G22/G28</f>
        <v>4.255867999070416</v>
      </c>
      <c r="H2" s="2"/>
      <c r="I2" s="2">
        <f>I22/I28</f>
        <v>4.0692124105011933</v>
      </c>
      <c r="J2" s="2">
        <f>J22/J28</f>
        <v>3.9605367008681926</v>
      </c>
      <c r="K2" s="2">
        <f>K22/K28</f>
        <v>2.9400909334046537</v>
      </c>
      <c r="L2" s="2"/>
      <c r="M2" s="2">
        <f>M22/M28</f>
        <v>6.8334592145015103</v>
      </c>
      <c r="N2" s="2">
        <f>N22/N28</f>
        <v>9.8620370370370374</v>
      </c>
      <c r="O2" s="2">
        <f>O22/O28</f>
        <v>12.057918185500203</v>
      </c>
    </row>
    <row r="3" spans="2:15" x14ac:dyDescent="0.25">
      <c r="B3" s="4" t="s">
        <v>36</v>
      </c>
      <c r="C3" s="4"/>
      <c r="D3" s="4"/>
      <c r="E3" s="2">
        <f>(E22-E23)/E28</f>
        <v>1.816747572815534</v>
      </c>
      <c r="F3" s="2">
        <f>(F22-F23)/F28</f>
        <v>0.98930004458314758</v>
      </c>
      <c r="G3" s="2">
        <f>(G22-G23)/G28</f>
        <v>3.810829653729956</v>
      </c>
      <c r="H3" s="2"/>
      <c r="I3" s="2">
        <f>(I22-I23)/I28</f>
        <v>4.0692124105011933</v>
      </c>
      <c r="J3" s="2">
        <f>(J22-J23)/J28</f>
        <v>3.9586950802420415</v>
      </c>
      <c r="K3" s="2">
        <f>(K22-K23)/K28</f>
        <v>2.9252028171525364</v>
      </c>
      <c r="L3" s="2"/>
      <c r="M3" s="2">
        <f>(M22-M23)/M28</f>
        <v>6.7896525679758311</v>
      </c>
      <c r="N3" s="2">
        <f>(N22-N23)/N28</f>
        <v>9.8620370370370374</v>
      </c>
      <c r="O3" s="2">
        <f>(O22-O23)/O28</f>
        <v>11.852166869177804</v>
      </c>
    </row>
    <row r="4" spans="2:15" x14ac:dyDescent="0.25">
      <c r="B4" s="5" t="s">
        <v>2</v>
      </c>
      <c r="C4" s="5"/>
      <c r="D4" s="5"/>
      <c r="E4" s="3">
        <f>E30/E26</f>
        <v>0.1456344998232591</v>
      </c>
      <c r="F4" s="3">
        <f>F30/F26</f>
        <v>0.22943944353518822</v>
      </c>
      <c r="G4" s="3">
        <f>G30/G26</f>
        <v>0.53051290311034749</v>
      </c>
      <c r="H4" s="3"/>
      <c r="I4" s="3">
        <f>I30/I26</f>
        <v>0.21681759379042692</v>
      </c>
      <c r="J4" s="3">
        <f>J30/J26</f>
        <v>0.24632233815047633</v>
      </c>
      <c r="K4" s="3">
        <f>K30/K26</f>
        <v>7.2428488409633882E-2</v>
      </c>
      <c r="L4" s="3"/>
      <c r="M4" s="3">
        <f>M30/M26</f>
        <v>0.11932765535577486</v>
      </c>
      <c r="N4" s="3">
        <f>N30/N26</f>
        <v>8.5929108485499464E-2</v>
      </c>
      <c r="O4" s="3">
        <f>O30/O26</f>
        <v>0.13181532124263401</v>
      </c>
    </row>
    <row r="5" spans="2:15" x14ac:dyDescent="0.25">
      <c r="B5" s="4" t="s">
        <v>3</v>
      </c>
      <c r="C5" s="4"/>
      <c r="D5" s="4"/>
      <c r="E5" s="2">
        <f>E29/E27</f>
        <v>0</v>
      </c>
      <c r="F5" s="2">
        <f>F29/F27</f>
        <v>0</v>
      </c>
      <c r="G5" s="2">
        <f>G29/G27</f>
        <v>0.80034999619569358</v>
      </c>
      <c r="H5" s="2"/>
      <c r="I5" s="2">
        <f>I29/I27</f>
        <v>0</v>
      </c>
      <c r="J5" s="2">
        <f>J29/J27</f>
        <v>0</v>
      </c>
      <c r="K5" s="2">
        <f>K29/K27</f>
        <v>0</v>
      </c>
      <c r="L5" s="2"/>
      <c r="M5" s="2">
        <f>M29/M27</f>
        <v>0</v>
      </c>
      <c r="N5" s="2">
        <f>N29/N27</f>
        <v>0</v>
      </c>
      <c r="O5" s="2">
        <f>O29/O27</f>
        <v>7.0477759472817134E-2</v>
      </c>
    </row>
    <row r="6" spans="2:15" x14ac:dyDescent="0.25">
      <c r="B6" s="4" t="s">
        <v>4</v>
      </c>
      <c r="C6" s="4"/>
      <c r="D6" s="4"/>
      <c r="E6" s="2">
        <f>E31/E26</f>
        <v>4.1967126193001061</v>
      </c>
      <c r="F6" s="2">
        <f>F31/F26</f>
        <v>4.8113747954173487</v>
      </c>
      <c r="G6" s="2">
        <f>G31/G26</f>
        <v>2.725974444325137</v>
      </c>
      <c r="H6" s="2"/>
      <c r="I6" s="2">
        <f>I31/I26</f>
        <v>3.1601552393272963</v>
      </c>
      <c r="J6" s="2">
        <f>J31/J26</f>
        <v>2.3923919383060075</v>
      </c>
      <c r="K6" s="2">
        <f>K31/K26</f>
        <v>0.56048944275844259</v>
      </c>
      <c r="L6" s="2"/>
      <c r="M6" s="2">
        <f>M31/M26</f>
        <v>2.5561714208462889</v>
      </c>
      <c r="N6" s="2">
        <f>N31/N26</f>
        <v>2.309901738473167</v>
      </c>
      <c r="O6" s="2">
        <f>O31/O26</f>
        <v>2.9075461982950972</v>
      </c>
    </row>
    <row r="7" spans="2:15" x14ac:dyDescent="0.25">
      <c r="B7" s="4" t="s">
        <v>5</v>
      </c>
      <c r="C7" s="4"/>
      <c r="D7" s="4"/>
      <c r="E7" s="2">
        <f>E31/E25</f>
        <v>5.7079326923076925</v>
      </c>
      <c r="F7" s="2">
        <f>F31/F25</f>
        <v>6.837621747346998</v>
      </c>
      <c r="G7" s="2">
        <f>G31/G25</f>
        <v>7.9120091419073342</v>
      </c>
      <c r="H7" s="2"/>
      <c r="I7" s="2">
        <f>I31/I25</f>
        <v>26.843956043956045</v>
      </c>
      <c r="J7" s="2">
        <f>J31/J25</f>
        <v>97.92307692307692</v>
      </c>
      <c r="K7" s="2">
        <f>K31/K25</f>
        <v>0.71213625288167293</v>
      </c>
      <c r="L7" s="2"/>
      <c r="M7" s="2">
        <f>M31/M25</f>
        <v>13.8486328125</v>
      </c>
      <c r="N7" s="2">
        <f>N31/N25</f>
        <v>15.140547588005216</v>
      </c>
      <c r="O7" s="2">
        <f>O31/O25</f>
        <v>19.595527279737805</v>
      </c>
    </row>
    <row r="8" spans="2:15" x14ac:dyDescent="0.25">
      <c r="B8" s="4" t="s">
        <v>6</v>
      </c>
      <c r="C8" s="4"/>
      <c r="D8" s="4"/>
      <c r="E8" s="2">
        <f>E31/E23</f>
        <v>23745</v>
      </c>
      <c r="F8" s="2">
        <f>F31/F23</f>
        <v>69.374631268436573</v>
      </c>
      <c r="G8" s="2">
        <f>G31/G23</f>
        <v>39.770757180156657</v>
      </c>
      <c r="H8" s="2"/>
      <c r="I8" s="2" t="e">
        <f>I31/I23</f>
        <v>#DIV/0!</v>
      </c>
      <c r="J8" s="2">
        <f>J31/J23</f>
        <v>5273.8571428571431</v>
      </c>
      <c r="K8" s="2">
        <f>K31/K23</f>
        <v>519.77844311377248</v>
      </c>
      <c r="L8" s="2"/>
      <c r="M8" s="2">
        <f>M31/M23</f>
        <v>489</v>
      </c>
      <c r="N8" s="2" t="e">
        <f>N31/N23</f>
        <v>#DIV/0!</v>
      </c>
      <c r="O8" s="2">
        <f>O31/O23</f>
        <v>200.08267716535434</v>
      </c>
    </row>
    <row r="9" spans="2:15" x14ac:dyDescent="0.25">
      <c r="B9" s="4" t="s">
        <v>7</v>
      </c>
      <c r="C9" s="4"/>
      <c r="D9" s="4"/>
      <c r="E9" s="2">
        <f>E31/E24</f>
        <v>21.449864498644985</v>
      </c>
      <c r="F9" s="2">
        <f>F31/F24</f>
        <v>340.84057971014494</v>
      </c>
      <c r="G9" s="2">
        <f>G31/G24</f>
        <v>13.266155721999652</v>
      </c>
      <c r="H9" s="2"/>
      <c r="I9" s="2">
        <f>I31/I24</f>
        <v>3.8651898734177217</v>
      </c>
      <c r="J9" s="2">
        <f>J31/J24</f>
        <v>3.3493921248412266</v>
      </c>
      <c r="K9" s="2">
        <f>K31/K24</f>
        <v>3.0034600878862321</v>
      </c>
      <c r="L9" s="2"/>
      <c r="M9" s="2">
        <f>M31/M24</f>
        <v>4.3188670625856558</v>
      </c>
      <c r="N9" s="2">
        <f>N31/N24</f>
        <v>5.6747458952306493</v>
      </c>
      <c r="O9" s="2">
        <f>O31/O24</f>
        <v>4.6746999034171921</v>
      </c>
    </row>
    <row r="10" spans="2:15" x14ac:dyDescent="0.25">
      <c r="B10" s="4" t="s">
        <v>8</v>
      </c>
      <c r="C10" s="4"/>
      <c r="D10" s="4"/>
      <c r="E10" s="2">
        <f>360/E9</f>
        <v>16.783322804801013</v>
      </c>
      <c r="F10" s="2">
        <f>360/F9</f>
        <v>1.0562122629475295</v>
      </c>
      <c r="G10" s="2">
        <f>360/G9</f>
        <v>27.136723519911765</v>
      </c>
      <c r="H10" s="2"/>
      <c r="I10" s="2">
        <f>360/I9</f>
        <v>93.139020795808079</v>
      </c>
      <c r="J10" s="2">
        <f>360/J9</f>
        <v>107.48218977706748</v>
      </c>
      <c r="K10" s="2">
        <f>360/K9</f>
        <v>119.86175593009459</v>
      </c>
      <c r="L10" s="2"/>
      <c r="M10" s="2">
        <f>360/M9</f>
        <v>83.355193568859733</v>
      </c>
      <c r="N10" s="2">
        <f>360/N9</f>
        <v>63.438963901901346</v>
      </c>
      <c r="O10" s="2">
        <f>360/O9</f>
        <v>77.010291021428145</v>
      </c>
    </row>
    <row r="11" spans="2:15" x14ac:dyDescent="0.25">
      <c r="B11" s="4" t="s">
        <v>9</v>
      </c>
      <c r="C11" s="4"/>
      <c r="D11" s="4"/>
      <c r="E11" s="2">
        <f>E32/E31</f>
        <v>0.10696988839755737</v>
      </c>
      <c r="F11" s="2">
        <f>F32/F31</f>
        <v>5.738158006633217E-2</v>
      </c>
      <c r="G11" s="2">
        <f>G32/G31</f>
        <v>7.3305234962776231E-2</v>
      </c>
      <c r="H11" s="2"/>
      <c r="I11" s="2">
        <f>I32/I31</f>
        <v>0.22244964794498118</v>
      </c>
      <c r="J11" s="2">
        <f>J32/J31</f>
        <v>0.23306335834439418</v>
      </c>
      <c r="K11" s="2">
        <f>K32/K31</f>
        <v>0.18184855362141861</v>
      </c>
      <c r="L11" s="2"/>
      <c r="M11" s="2">
        <f>M32/M31</f>
        <v>0.18087581975883224</v>
      </c>
      <c r="N11" s="2">
        <f>N32/N31</f>
        <v>5.914163681454946E-2</v>
      </c>
      <c r="O11" s="2">
        <f>O32/O31</f>
        <v>0.12114086696444383</v>
      </c>
    </row>
    <row r="12" spans="2:15" x14ac:dyDescent="0.25">
      <c r="B12" s="4" t="s">
        <v>10</v>
      </c>
      <c r="C12" s="4"/>
      <c r="D12" s="4"/>
      <c r="E12" s="2">
        <f>E32/E26</f>
        <v>0.44892188052315307</v>
      </c>
      <c r="F12" s="2">
        <f>F32/F26</f>
        <v>0.27608428805237317</v>
      </c>
      <c r="G12" s="2">
        <f>G32/G26</f>
        <v>0.1998281971437775</v>
      </c>
      <c r="H12" s="2"/>
      <c r="I12" s="2">
        <f>I32/I26</f>
        <v>0.70297542043984473</v>
      </c>
      <c r="J12" s="2">
        <f>J32/J26</f>
        <v>0.55757889961765272</v>
      </c>
      <c r="K12" s="2">
        <f>K32/K26</f>
        <v>0.10192419448569769</v>
      </c>
      <c r="L12" s="2"/>
      <c r="M12" s="2">
        <f>M32/M26</f>
        <v>0.4623496011896715</v>
      </c>
      <c r="N12" s="2">
        <f>N32/N26</f>
        <v>0.13661136969407647</v>
      </c>
      <c r="O12" s="2">
        <f>O32/O26</f>
        <v>0.35222266720064077</v>
      </c>
    </row>
    <row r="13" spans="2:15" x14ac:dyDescent="0.25">
      <c r="B13" s="4" t="s">
        <v>11</v>
      </c>
      <c r="C13" s="4"/>
      <c r="D13" s="4"/>
      <c r="E13" s="2">
        <f>E32/E27</f>
        <v>0.52263374485596703</v>
      </c>
      <c r="F13" s="2">
        <f>F32/F27</f>
        <v>0.35705781187987828</v>
      </c>
      <c r="G13" s="2">
        <f>G32/G27</f>
        <v>0.42478886099064139</v>
      </c>
      <c r="H13" s="2"/>
      <c r="I13" s="2">
        <f>I32/I27</f>
        <v>0.89758837132474401</v>
      </c>
      <c r="J13" s="2">
        <f>J32/J27</f>
        <v>0.73981083404987102</v>
      </c>
      <c r="K13" s="2">
        <f>K32/K27</f>
        <v>0.10988284268341073</v>
      </c>
      <c r="L13" s="2"/>
      <c r="M13" s="2">
        <f>M32/M27</f>
        <v>0.52499616230875501</v>
      </c>
      <c r="N13" s="2">
        <f>N32/N27</f>
        <v>0.14945380162771468</v>
      </c>
      <c r="O13" s="2">
        <f>O32/O27</f>
        <v>0.40570016474464582</v>
      </c>
    </row>
    <row r="14" spans="2:15" x14ac:dyDescent="0.25">
      <c r="B14" s="4" t="s">
        <v>12</v>
      </c>
      <c r="C14" s="4"/>
      <c r="D14" s="4"/>
    </row>
    <row r="15" spans="2:15" x14ac:dyDescent="0.25">
      <c r="B15" s="4" t="s">
        <v>13</v>
      </c>
      <c r="C15" s="4"/>
      <c r="D15" s="4"/>
    </row>
    <row r="20" spans="1:15" x14ac:dyDescent="0.25">
      <c r="E20" t="s">
        <v>34</v>
      </c>
      <c r="I20" t="s">
        <v>26</v>
      </c>
      <c r="M20" t="s">
        <v>27</v>
      </c>
    </row>
    <row r="22" spans="1:15" x14ac:dyDescent="0.25">
      <c r="B22" s="4" t="s">
        <v>14</v>
      </c>
      <c r="C22" s="4"/>
      <c r="D22" s="4"/>
      <c r="E22">
        <v>1498</v>
      </c>
      <c r="F22">
        <v>2897</v>
      </c>
      <c r="G22">
        <v>18313</v>
      </c>
      <c r="I22">
        <v>3410</v>
      </c>
      <c r="J22">
        <v>15054</v>
      </c>
      <c r="K22">
        <v>32979</v>
      </c>
      <c r="M22">
        <v>18095</v>
      </c>
      <c r="N22">
        <v>21302</v>
      </c>
      <c r="O22">
        <v>29771</v>
      </c>
    </row>
    <row r="23" spans="1:15" x14ac:dyDescent="0.25">
      <c r="B23" s="4" t="s">
        <v>15</v>
      </c>
      <c r="C23" s="4"/>
      <c r="D23" s="4"/>
      <c r="E23">
        <v>1</v>
      </c>
      <c r="F23">
        <v>678</v>
      </c>
      <c r="G23">
        <v>1915</v>
      </c>
      <c r="I23">
        <v>0</v>
      </c>
      <c r="J23">
        <v>7</v>
      </c>
      <c r="K23">
        <v>167</v>
      </c>
      <c r="M23">
        <v>116</v>
      </c>
      <c r="N23">
        <v>0</v>
      </c>
      <c r="O23">
        <v>508</v>
      </c>
    </row>
    <row r="24" spans="1:15" x14ac:dyDescent="0.25">
      <c r="B24" s="4" t="s">
        <v>17</v>
      </c>
      <c r="C24" s="4"/>
      <c r="D24" s="4"/>
      <c r="E24">
        <v>1107</v>
      </c>
      <c r="F24">
        <v>138</v>
      </c>
      <c r="G24">
        <v>5741</v>
      </c>
      <c r="I24">
        <v>3160</v>
      </c>
      <c r="J24">
        <v>11022</v>
      </c>
      <c r="K24">
        <v>28901</v>
      </c>
      <c r="M24">
        <v>13134</v>
      </c>
      <c r="N24">
        <v>10232</v>
      </c>
      <c r="O24">
        <v>21743</v>
      </c>
    </row>
    <row r="25" spans="1:15" x14ac:dyDescent="0.25">
      <c r="B25" s="4" t="s">
        <v>16</v>
      </c>
      <c r="C25" s="4"/>
      <c r="D25" s="4"/>
      <c r="E25">
        <v>4160</v>
      </c>
      <c r="F25">
        <v>6879</v>
      </c>
      <c r="G25">
        <v>9626</v>
      </c>
      <c r="I25">
        <v>455</v>
      </c>
      <c r="J25">
        <v>377</v>
      </c>
      <c r="K25">
        <v>121891</v>
      </c>
      <c r="M25">
        <v>4096</v>
      </c>
      <c r="N25">
        <v>3835</v>
      </c>
      <c r="O25">
        <v>5187</v>
      </c>
    </row>
    <row r="26" spans="1:15" x14ac:dyDescent="0.25">
      <c r="B26" s="5" t="s">
        <v>18</v>
      </c>
      <c r="C26" s="5"/>
      <c r="D26" s="5"/>
      <c r="E26" s="1">
        <f>E22+E25</f>
        <v>5658</v>
      </c>
      <c r="F26" s="1">
        <f>F22+F25</f>
        <v>9776</v>
      </c>
      <c r="G26" s="1">
        <f>G22+G25</f>
        <v>27939</v>
      </c>
      <c r="H26" s="1"/>
      <c r="I26" s="1">
        <f>I22+I25</f>
        <v>3865</v>
      </c>
      <c r="J26" s="1">
        <f>J22+J25</f>
        <v>15431</v>
      </c>
      <c r="K26" s="1">
        <f>K22+K25</f>
        <v>154870</v>
      </c>
      <c r="L26" s="1"/>
      <c r="M26" s="1">
        <f>M22+M25</f>
        <v>22191</v>
      </c>
      <c r="N26" s="1">
        <f>N22+N25</f>
        <v>25137</v>
      </c>
      <c r="O26" s="1">
        <f>O22+O25</f>
        <v>34958</v>
      </c>
    </row>
    <row r="27" spans="1:15" x14ac:dyDescent="0.25">
      <c r="B27" s="4" t="s">
        <v>19</v>
      </c>
      <c r="C27" s="4"/>
      <c r="D27" s="4"/>
      <c r="E27">
        <v>4860</v>
      </c>
      <c r="F27">
        <v>7559</v>
      </c>
      <c r="G27">
        <v>13143</v>
      </c>
      <c r="I27">
        <v>3027</v>
      </c>
      <c r="J27">
        <v>11630</v>
      </c>
      <c r="K27">
        <v>143653</v>
      </c>
      <c r="M27">
        <v>19543</v>
      </c>
      <c r="N27">
        <v>22977</v>
      </c>
      <c r="O27">
        <v>30350</v>
      </c>
    </row>
    <row r="28" spans="1:15" x14ac:dyDescent="0.25">
      <c r="B28" s="4" t="s">
        <v>20</v>
      </c>
      <c r="C28" s="4"/>
      <c r="D28" s="4"/>
      <c r="E28">
        <v>824</v>
      </c>
      <c r="F28">
        <v>2243</v>
      </c>
      <c r="G28">
        <v>4303</v>
      </c>
      <c r="I28">
        <v>838</v>
      </c>
      <c r="J28">
        <v>3801</v>
      </c>
      <c r="K28">
        <v>11217</v>
      </c>
      <c r="M28">
        <v>2648</v>
      </c>
      <c r="N28">
        <v>2160</v>
      </c>
      <c r="O28">
        <v>2469</v>
      </c>
    </row>
    <row r="29" spans="1:15" x14ac:dyDescent="0.25">
      <c r="B29" s="4" t="s">
        <v>21</v>
      </c>
      <c r="C29" s="4"/>
      <c r="D29" s="4"/>
      <c r="E29">
        <v>0</v>
      </c>
      <c r="F29">
        <v>0</v>
      </c>
      <c r="G29">
        <v>10519</v>
      </c>
      <c r="I29">
        <v>0</v>
      </c>
      <c r="J29">
        <v>0</v>
      </c>
      <c r="K29">
        <v>0</v>
      </c>
      <c r="M29">
        <v>0</v>
      </c>
      <c r="N29">
        <v>0</v>
      </c>
      <c r="O29">
        <v>2139</v>
      </c>
    </row>
    <row r="30" spans="1:15" x14ac:dyDescent="0.25">
      <c r="B30" s="5" t="s">
        <v>22</v>
      </c>
      <c r="C30" s="5"/>
      <c r="D30" s="5"/>
      <c r="E30" s="1">
        <f>E28+E29</f>
        <v>824</v>
      </c>
      <c r="F30" s="1">
        <f>F28+F29</f>
        <v>2243</v>
      </c>
      <c r="G30" s="1">
        <f>G28+G29</f>
        <v>14822</v>
      </c>
      <c r="H30" s="1"/>
      <c r="I30" s="1">
        <f>I28+I29</f>
        <v>838</v>
      </c>
      <c r="J30" s="1">
        <f>J28+J29</f>
        <v>3801</v>
      </c>
      <c r="K30" s="1">
        <f>K28+K29</f>
        <v>11217</v>
      </c>
      <c r="L30" s="1"/>
      <c r="M30" s="1">
        <f>M28+M29</f>
        <v>2648</v>
      </c>
      <c r="N30" s="1">
        <f>N28+N29</f>
        <v>2160</v>
      </c>
      <c r="O30" s="1">
        <f>O28+O29</f>
        <v>4608</v>
      </c>
    </row>
    <row r="31" spans="1:15" x14ac:dyDescent="0.25">
      <c r="B31" s="4" t="s">
        <v>23</v>
      </c>
      <c r="C31" s="4"/>
      <c r="D31" s="4"/>
      <c r="E31">
        <v>23745</v>
      </c>
      <c r="F31">
        <f>46957+1+78</f>
        <v>47036</v>
      </c>
      <c r="G31">
        <f>76154+6+1</f>
        <v>76161</v>
      </c>
      <c r="I31">
        <f>12212+2+0</f>
        <v>12214</v>
      </c>
      <c r="J31">
        <f>36917+0+0</f>
        <v>36917</v>
      </c>
      <c r="K31">
        <f>86538+33+232</f>
        <v>86803</v>
      </c>
      <c r="M31">
        <f>56570+90+64</f>
        <v>56724</v>
      </c>
      <c r="N31">
        <f>58006+58+0</f>
        <v>58064</v>
      </c>
      <c r="O31">
        <f>101454+188+0</f>
        <v>101642</v>
      </c>
    </row>
    <row r="32" spans="1:15" x14ac:dyDescent="0.25">
      <c r="A32" t="s">
        <v>25</v>
      </c>
      <c r="B32" s="4" t="s">
        <v>24</v>
      </c>
      <c r="C32" s="4"/>
      <c r="D32" s="4"/>
      <c r="E32">
        <v>2540</v>
      </c>
      <c r="F32">
        <v>2699</v>
      </c>
      <c r="G32">
        <v>5583</v>
      </c>
      <c r="I32">
        <v>2717</v>
      </c>
      <c r="J32">
        <v>8604</v>
      </c>
      <c r="K32">
        <v>15785</v>
      </c>
      <c r="M32">
        <v>10260</v>
      </c>
      <c r="N32">
        <v>3434</v>
      </c>
      <c r="O32">
        <v>12313</v>
      </c>
    </row>
    <row r="34" spans="2:15" x14ac:dyDescent="0.25">
      <c r="B34" s="4" t="s">
        <v>28</v>
      </c>
      <c r="C34" s="4"/>
      <c r="D34" s="4"/>
      <c r="F34">
        <f>F32-E32</f>
        <v>159</v>
      </c>
      <c r="G34">
        <f>G32-F32</f>
        <v>2884</v>
      </c>
      <c r="J34">
        <f>J32-I32</f>
        <v>5887</v>
      </c>
      <c r="K34">
        <f>K32-J32</f>
        <v>7181</v>
      </c>
      <c r="N34">
        <f>N32-M32</f>
        <v>-6826</v>
      </c>
      <c r="O34">
        <f>O32-N32</f>
        <v>8879</v>
      </c>
    </row>
    <row r="35" spans="2:15" x14ac:dyDescent="0.25">
      <c r="B35" s="4" t="s">
        <v>29</v>
      </c>
      <c r="C35" s="4"/>
      <c r="D35" s="4"/>
      <c r="F35">
        <f>-(678-1)-(138-1107)</f>
        <v>292</v>
      </c>
      <c r="G35">
        <f>-(1915-678)-(5741-138)</f>
        <v>-6840</v>
      </c>
      <c r="J35">
        <f>-(7-0)-(11022-3160)-(118-2)</f>
        <v>-7985</v>
      </c>
      <c r="K35">
        <f>-(167-7)-(28901-11022)-(1567-118)</f>
        <v>-19488</v>
      </c>
      <c r="N35">
        <f>-(0-116)-(10232-13134)-(954-21)+(41-454)+(42-24)</f>
        <v>1690</v>
      </c>
      <c r="O35">
        <f>-(508-0)-(21743-10232)-(14-954)+(1593-41)+(29-42)</f>
        <v>-9540</v>
      </c>
    </row>
    <row r="36" spans="2:15" x14ac:dyDescent="0.25">
      <c r="B36" s="4" t="s">
        <v>30</v>
      </c>
      <c r="C36" s="4"/>
      <c r="D36" s="4"/>
      <c r="F36">
        <f>-(6879-4160)</f>
        <v>-2719</v>
      </c>
      <c r="G36">
        <f>-(9626-6879)</f>
        <v>-2747</v>
      </c>
      <c r="J36">
        <f>(455-377)</f>
        <v>78</v>
      </c>
      <c r="K36">
        <f>-(121891-377)</f>
        <v>-121514</v>
      </c>
      <c r="N36">
        <f>-(3835-4096)</f>
        <v>261</v>
      </c>
      <c r="O36">
        <f>-(5187-3835)</f>
        <v>-1352</v>
      </c>
    </row>
    <row r="37" spans="2:15" x14ac:dyDescent="0.25">
      <c r="B37" s="4" t="s">
        <v>31</v>
      </c>
      <c r="C37" s="4"/>
      <c r="D37" s="4"/>
      <c r="F37">
        <f>2243-824</f>
        <v>1419</v>
      </c>
      <c r="G37">
        <f>(10519-0)+(4303-2243)</f>
        <v>12579</v>
      </c>
      <c r="J37">
        <f>3801-838</f>
        <v>2963</v>
      </c>
      <c r="K37">
        <f>11217-3801</f>
        <v>7416</v>
      </c>
      <c r="N37">
        <f>(2160-2648)</f>
        <v>-488</v>
      </c>
      <c r="O37">
        <f>(2139-0)+(2469-2160)</f>
        <v>2448</v>
      </c>
    </row>
    <row r="38" spans="2:15" x14ac:dyDescent="0.25">
      <c r="B38" s="4" t="s">
        <v>37</v>
      </c>
      <c r="C38" s="4"/>
      <c r="D38" s="4"/>
      <c r="F38">
        <f>2081-390</f>
        <v>1691</v>
      </c>
      <c r="G38">
        <f>10657-2081</f>
        <v>8576</v>
      </c>
      <c r="J38">
        <f>3907-248</f>
        <v>3659</v>
      </c>
      <c r="K38">
        <f>2344-3907</f>
        <v>-1563</v>
      </c>
      <c r="N38">
        <f>10033-4346</f>
        <v>5687</v>
      </c>
      <c r="O38">
        <f>5884-10033</f>
        <v>-4149</v>
      </c>
    </row>
    <row r="40" spans="2:15" x14ac:dyDescent="0.25">
      <c r="B40" s="4" t="s">
        <v>33</v>
      </c>
      <c r="C40" s="4"/>
      <c r="D40" s="4"/>
      <c r="F40">
        <f>SUM(F34:F38)</f>
        <v>842</v>
      </c>
      <c r="G40">
        <f>SUM(G34:G38)</f>
        <v>14452</v>
      </c>
      <c r="J40">
        <f>SUM(J34:J38)</f>
        <v>4602</v>
      </c>
      <c r="K40">
        <f>SUM(K34:K38)</f>
        <v>-127968</v>
      </c>
      <c r="N40">
        <f>SUM(N34:N38)</f>
        <v>324</v>
      </c>
      <c r="O40">
        <f>SUM(O34:O38)</f>
        <v>-3714</v>
      </c>
    </row>
    <row r="84" spans="2:15" x14ac:dyDescent="0.25">
      <c r="B84" t="s">
        <v>35</v>
      </c>
    </row>
    <row r="87" spans="2:15" x14ac:dyDescent="0.25">
      <c r="E87">
        <v>2017</v>
      </c>
      <c r="F87">
        <v>2018</v>
      </c>
      <c r="G87">
        <v>2019</v>
      </c>
      <c r="I87">
        <v>2017</v>
      </c>
      <c r="J87">
        <v>2018</v>
      </c>
      <c r="K87">
        <v>2019</v>
      </c>
      <c r="M87">
        <v>2017</v>
      </c>
      <c r="N87">
        <v>2018</v>
      </c>
      <c r="O87">
        <v>2019</v>
      </c>
    </row>
    <row r="88" spans="2:15" x14ac:dyDescent="0.25">
      <c r="B88" s="4" t="s">
        <v>0</v>
      </c>
      <c r="C88" s="4"/>
      <c r="D88" s="4"/>
      <c r="E88">
        <f>E108/E114</f>
        <v>1.8179611650485437</v>
      </c>
      <c r="F88">
        <f>F108/F114</f>
        <v>1.2915737851092288</v>
      </c>
      <c r="G88">
        <f>G108/G114</f>
        <v>4.255867999070416</v>
      </c>
      <c r="I88">
        <f>I108/I114</f>
        <v>4.0692124105011933</v>
      </c>
      <c r="J88">
        <f>J108/J114</f>
        <v>3.9605367008681926</v>
      </c>
      <c r="K88">
        <f>K108/K114</f>
        <v>2.9400909334046537</v>
      </c>
      <c r="M88">
        <f>M108/M114</f>
        <v>6.8334592145015103</v>
      </c>
      <c r="N88">
        <f>N108/N114</f>
        <v>9.8620370370370374</v>
      </c>
      <c r="O88">
        <f>O108/O114</f>
        <v>12.057918185500203</v>
      </c>
    </row>
    <row r="89" spans="2:15" x14ac:dyDescent="0.25">
      <c r="B89" s="4" t="s">
        <v>1</v>
      </c>
      <c r="C89" s="4"/>
      <c r="D89" s="4"/>
      <c r="E89">
        <f>(E108-E109)/E114</f>
        <v>1.816747572815534</v>
      </c>
      <c r="F89">
        <f>(F108-F109)/F114</f>
        <v>0.98930004458314758</v>
      </c>
      <c r="G89">
        <f>(G108-G109)/G114</f>
        <v>3.810829653729956</v>
      </c>
      <c r="I89">
        <f>(I108-I109)/I114</f>
        <v>4.0692124105011933</v>
      </c>
      <c r="J89">
        <f>(J108-J109)/J114</f>
        <v>3.9586950802420415</v>
      </c>
      <c r="K89">
        <f>(K108-K109)/K114</f>
        <v>2.9252028171525364</v>
      </c>
      <c r="M89">
        <f>(M108-M109)/M114</f>
        <v>6.7896525679758311</v>
      </c>
      <c r="N89">
        <f>(N108-N109)/N114</f>
        <v>9.8620370370370374</v>
      </c>
      <c r="O89">
        <f>(O108-O109)/O114</f>
        <v>11.852166869177804</v>
      </c>
    </row>
    <row r="90" spans="2:15" x14ac:dyDescent="0.25">
      <c r="B90" s="5" t="s">
        <v>2</v>
      </c>
      <c r="C90" s="5"/>
      <c r="D90" s="5"/>
      <c r="E90" s="1">
        <f>E116/E112</f>
        <v>0.1456344998232591</v>
      </c>
      <c r="F90" s="1">
        <f>F116/F112</f>
        <v>0.22943944353518822</v>
      </c>
      <c r="G90" s="1">
        <f>G116/G112</f>
        <v>0.53051290311034749</v>
      </c>
      <c r="H90" s="1"/>
      <c r="I90" s="1">
        <f>I116/I112</f>
        <v>0.21681759379042692</v>
      </c>
      <c r="J90" s="1">
        <f>J116/J112</f>
        <v>0.24632233815047633</v>
      </c>
      <c r="K90" s="1">
        <f>K116/K112</f>
        <v>7.2428488409633882E-2</v>
      </c>
      <c r="L90" s="1"/>
      <c r="M90" s="1">
        <f>M116/M112</f>
        <v>0.11932765535577486</v>
      </c>
      <c r="N90" s="1">
        <f>N116/N112</f>
        <v>8.5929108485499464E-2</v>
      </c>
      <c r="O90" s="1">
        <f>O116/O112</f>
        <v>0.13181532124263401</v>
      </c>
    </row>
    <row r="91" spans="2:15" x14ac:dyDescent="0.25">
      <c r="B91" s="4" t="s">
        <v>3</v>
      </c>
      <c r="C91" s="4"/>
      <c r="D91" s="4"/>
      <c r="E91">
        <f>E115/E113</f>
        <v>0</v>
      </c>
      <c r="F91">
        <f>F115/F113</f>
        <v>0</v>
      </c>
      <c r="G91">
        <f>G115/G113</f>
        <v>0.80034999619569358</v>
      </c>
      <c r="I91">
        <f>I115/I113</f>
        <v>0</v>
      </c>
      <c r="J91">
        <f>J115/J113</f>
        <v>0</v>
      </c>
      <c r="K91">
        <f>K115/K113</f>
        <v>0</v>
      </c>
      <c r="M91">
        <f>M115/M113</f>
        <v>0</v>
      </c>
      <c r="N91">
        <f>N115/N113</f>
        <v>0</v>
      </c>
      <c r="O91">
        <f>O115/O113</f>
        <v>7.0477759472817134E-2</v>
      </c>
    </row>
    <row r="92" spans="2:15" x14ac:dyDescent="0.25">
      <c r="B92" s="4" t="s">
        <v>4</v>
      </c>
      <c r="C92" s="4"/>
      <c r="D92" s="4"/>
      <c r="E92">
        <f>E117/E112</f>
        <v>4.1967126193001061</v>
      </c>
      <c r="F92">
        <f>F117/F112</f>
        <v>4.8113747954173487</v>
      </c>
      <c r="G92">
        <f>G117/G112</f>
        <v>2.725974444325137</v>
      </c>
      <c r="I92">
        <f>I117/I112</f>
        <v>3.1601552393272963</v>
      </c>
      <c r="J92">
        <f>J117/J112</f>
        <v>2.3923919383060075</v>
      </c>
      <c r="K92">
        <f>K117/K112</f>
        <v>0.56048944275844259</v>
      </c>
      <c r="M92">
        <f>M117/M112</f>
        <v>2.5561714208462889</v>
      </c>
      <c r="N92">
        <f>N117/N112</f>
        <v>2.309901738473167</v>
      </c>
      <c r="O92">
        <f>O117/O112</f>
        <v>2.9075461982950972</v>
      </c>
    </row>
    <row r="93" spans="2:15" x14ac:dyDescent="0.25">
      <c r="B93" s="4" t="s">
        <v>5</v>
      </c>
      <c r="C93" s="4"/>
      <c r="D93" s="4"/>
      <c r="E93">
        <f>E117/E111</f>
        <v>5.7079326923076925</v>
      </c>
      <c r="F93">
        <f>F117/F111</f>
        <v>6.837621747346998</v>
      </c>
      <c r="G93">
        <f>G117/G111</f>
        <v>7.9120091419073342</v>
      </c>
      <c r="I93">
        <f>I117/I111</f>
        <v>26.843956043956045</v>
      </c>
      <c r="J93">
        <f>J117/J111</f>
        <v>97.92307692307692</v>
      </c>
      <c r="K93">
        <f>K117/K111</f>
        <v>0.71213625288167293</v>
      </c>
      <c r="M93">
        <f>M117/M111</f>
        <v>13.8486328125</v>
      </c>
      <c r="N93">
        <f>N117/N111</f>
        <v>15.140547588005216</v>
      </c>
      <c r="O93">
        <f>O117/O111</f>
        <v>19.595527279737805</v>
      </c>
    </row>
    <row r="94" spans="2:15" x14ac:dyDescent="0.25">
      <c r="B94" s="4" t="s">
        <v>6</v>
      </c>
      <c r="C94" s="4"/>
      <c r="D94" s="4"/>
      <c r="E94">
        <f>E117/E109</f>
        <v>23745</v>
      </c>
      <c r="F94">
        <f>F117/F109</f>
        <v>69.374631268436573</v>
      </c>
      <c r="G94">
        <f>G117/G109</f>
        <v>39.770757180156657</v>
      </c>
      <c r="I94" t="e">
        <f>I117/I109</f>
        <v>#DIV/0!</v>
      </c>
      <c r="J94">
        <f>J117/J109</f>
        <v>5273.8571428571431</v>
      </c>
      <c r="K94">
        <f>K117/K109</f>
        <v>519.77844311377248</v>
      </c>
      <c r="M94">
        <f>M117/M109</f>
        <v>489</v>
      </c>
      <c r="N94" t="e">
        <f>N117/N109</f>
        <v>#DIV/0!</v>
      </c>
      <c r="O94">
        <f>O117/O109</f>
        <v>200.08267716535434</v>
      </c>
    </row>
    <row r="95" spans="2:15" x14ac:dyDescent="0.25">
      <c r="B95" s="4" t="s">
        <v>7</v>
      </c>
      <c r="C95" s="4"/>
      <c r="D95" s="4"/>
      <c r="E95">
        <f>E117/E110</f>
        <v>21.449864498644985</v>
      </c>
      <c r="F95">
        <f>F117/F110</f>
        <v>340.84057971014494</v>
      </c>
      <c r="G95">
        <f>G117/G110</f>
        <v>13.266155721999652</v>
      </c>
      <c r="I95">
        <f>I117/I110</f>
        <v>3.8651898734177217</v>
      </c>
      <c r="J95">
        <f>J117/J110</f>
        <v>3.3493921248412266</v>
      </c>
      <c r="K95">
        <f>K117/K110</f>
        <v>3.0034600878862321</v>
      </c>
      <c r="M95">
        <f>M117/M110</f>
        <v>4.3188670625856558</v>
      </c>
      <c r="N95">
        <f>N117/N110</f>
        <v>5.6747458952306493</v>
      </c>
      <c r="O95">
        <f>O117/O110</f>
        <v>4.6746999034171921</v>
      </c>
    </row>
    <row r="96" spans="2:15" x14ac:dyDescent="0.25">
      <c r="B96" s="4" t="s">
        <v>8</v>
      </c>
      <c r="C96" s="4"/>
      <c r="D96" s="4"/>
      <c r="E96">
        <f>360/E95</f>
        <v>16.783322804801013</v>
      </c>
      <c r="F96">
        <f>360/F95</f>
        <v>1.0562122629475295</v>
      </c>
      <c r="G96">
        <f>360/G95</f>
        <v>27.136723519911765</v>
      </c>
      <c r="I96">
        <f>360/I95</f>
        <v>93.139020795808079</v>
      </c>
      <c r="J96">
        <f>360/J95</f>
        <v>107.48218977706748</v>
      </c>
      <c r="K96">
        <f>360/K95</f>
        <v>119.86175593009459</v>
      </c>
      <c r="M96">
        <f>360/M95</f>
        <v>83.355193568859733</v>
      </c>
      <c r="N96">
        <f>360/N95</f>
        <v>63.438963901901346</v>
      </c>
      <c r="O96">
        <f>360/O95</f>
        <v>77.010291021428145</v>
      </c>
    </row>
    <row r="97" spans="2:15" x14ac:dyDescent="0.25">
      <c r="B97" s="4" t="s">
        <v>9</v>
      </c>
      <c r="C97" s="4"/>
      <c r="D97" s="4"/>
      <c r="E97">
        <f>E118/E117</f>
        <v>0.10696988839755737</v>
      </c>
      <c r="F97">
        <f>F118/F117</f>
        <v>5.738158006633217E-2</v>
      </c>
      <c r="G97">
        <f>G118/G117</f>
        <v>7.3305234962776231E-2</v>
      </c>
      <c r="I97">
        <f>I118/I117</f>
        <v>0.22244964794498118</v>
      </c>
      <c r="J97">
        <f>J118/J117</f>
        <v>0.23306335834439418</v>
      </c>
      <c r="K97">
        <f>K118/K117</f>
        <v>0.18184855362141861</v>
      </c>
      <c r="M97">
        <f>M118/M117</f>
        <v>0.18087581975883224</v>
      </c>
      <c r="N97">
        <f>N118/N117</f>
        <v>5.914163681454946E-2</v>
      </c>
      <c r="O97">
        <f>O118/O117</f>
        <v>0.12114086696444383</v>
      </c>
    </row>
    <row r="98" spans="2:15" x14ac:dyDescent="0.25">
      <c r="B98" s="4" t="s">
        <v>10</v>
      </c>
      <c r="C98" s="4"/>
      <c r="D98" s="4"/>
      <c r="E98">
        <f>E118/E112</f>
        <v>0.44892188052315307</v>
      </c>
      <c r="F98">
        <f>F118/F112</f>
        <v>0.27608428805237317</v>
      </c>
      <c r="G98">
        <f>G118/G112</f>
        <v>0.1998281971437775</v>
      </c>
      <c r="I98">
        <f>I118/I112</f>
        <v>0.70297542043984473</v>
      </c>
      <c r="J98">
        <f>J118/J112</f>
        <v>0.55757889961765272</v>
      </c>
      <c r="K98">
        <f>K118/K112</f>
        <v>0.10192419448569769</v>
      </c>
      <c r="M98">
        <f>M118/M112</f>
        <v>0.4623496011896715</v>
      </c>
      <c r="N98">
        <f>N118/N112</f>
        <v>0.13661136969407647</v>
      </c>
      <c r="O98">
        <f>O118/O112</f>
        <v>0.35222266720064077</v>
      </c>
    </row>
    <row r="99" spans="2:15" x14ac:dyDescent="0.25">
      <c r="B99" s="4" t="s">
        <v>11</v>
      </c>
      <c r="C99" s="4"/>
      <c r="D99" s="4"/>
      <c r="E99">
        <f>E118/E113</f>
        <v>0.52263374485596703</v>
      </c>
      <c r="F99">
        <f>F118/F113</f>
        <v>0.35705781187987828</v>
      </c>
      <c r="G99">
        <f>G118/G113</f>
        <v>0.42478886099064139</v>
      </c>
      <c r="I99">
        <f>I118/I113</f>
        <v>0.89758837132474401</v>
      </c>
      <c r="J99">
        <f>J118/J113</f>
        <v>0.73981083404987102</v>
      </c>
      <c r="K99">
        <f>K118/K113</f>
        <v>0.10988284268341073</v>
      </c>
      <c r="M99">
        <f>M118/M113</f>
        <v>0.52499616230875501</v>
      </c>
      <c r="N99">
        <f>N118/N113</f>
        <v>0.14945380162771468</v>
      </c>
      <c r="O99">
        <f>O118/O113</f>
        <v>0.40570016474464582</v>
      </c>
    </row>
    <row r="100" spans="2:15" x14ac:dyDescent="0.25">
      <c r="B100" s="4" t="s">
        <v>12</v>
      </c>
      <c r="C100" s="4"/>
      <c r="D100" s="4"/>
    </row>
    <row r="101" spans="2:15" x14ac:dyDescent="0.25">
      <c r="B101" s="4" t="s">
        <v>13</v>
      </c>
      <c r="C101" s="4"/>
      <c r="D101" s="4"/>
    </row>
    <row r="106" spans="2:15" x14ac:dyDescent="0.25">
      <c r="E106" t="s">
        <v>34</v>
      </c>
      <c r="I106" t="s">
        <v>26</v>
      </c>
      <c r="M106" t="s">
        <v>27</v>
      </c>
    </row>
    <row r="108" spans="2:15" x14ac:dyDescent="0.25">
      <c r="B108" s="4" t="s">
        <v>14</v>
      </c>
      <c r="C108" s="4"/>
      <c r="D108" s="4"/>
      <c r="E108">
        <v>1498</v>
      </c>
      <c r="F108">
        <v>2897</v>
      </c>
      <c r="G108">
        <v>18313</v>
      </c>
      <c r="I108">
        <v>3410</v>
      </c>
      <c r="J108">
        <v>15054</v>
      </c>
      <c r="K108">
        <v>32979</v>
      </c>
      <c r="M108">
        <v>18095</v>
      </c>
      <c r="N108">
        <v>21302</v>
      </c>
      <c r="O108">
        <v>29771</v>
      </c>
    </row>
    <row r="109" spans="2:15" x14ac:dyDescent="0.25">
      <c r="B109" s="4" t="s">
        <v>15</v>
      </c>
      <c r="C109" s="4"/>
      <c r="D109" s="4"/>
      <c r="E109">
        <v>1</v>
      </c>
      <c r="F109">
        <v>678</v>
      </c>
      <c r="G109">
        <v>1915</v>
      </c>
      <c r="I109">
        <v>0</v>
      </c>
      <c r="J109">
        <v>7</v>
      </c>
      <c r="K109">
        <v>167</v>
      </c>
      <c r="M109">
        <v>116</v>
      </c>
      <c r="N109">
        <v>0</v>
      </c>
      <c r="O109">
        <v>508</v>
      </c>
    </row>
    <row r="110" spans="2:15" x14ac:dyDescent="0.25">
      <c r="B110" s="4" t="s">
        <v>17</v>
      </c>
      <c r="C110" s="4"/>
      <c r="D110" s="4"/>
      <c r="E110">
        <v>1107</v>
      </c>
      <c r="F110">
        <v>138</v>
      </c>
      <c r="G110">
        <v>5741</v>
      </c>
      <c r="I110">
        <v>3160</v>
      </c>
      <c r="J110">
        <v>11022</v>
      </c>
      <c r="K110">
        <v>28901</v>
      </c>
      <c r="M110">
        <v>13134</v>
      </c>
      <c r="N110">
        <v>10232</v>
      </c>
      <c r="O110">
        <v>21743</v>
      </c>
    </row>
    <row r="111" spans="2:15" x14ac:dyDescent="0.25">
      <c r="B111" s="4" t="s">
        <v>16</v>
      </c>
      <c r="C111" s="4"/>
      <c r="D111" s="4"/>
      <c r="E111">
        <v>4160</v>
      </c>
      <c r="F111">
        <v>6879</v>
      </c>
      <c r="G111">
        <v>9626</v>
      </c>
      <c r="I111">
        <v>455</v>
      </c>
      <c r="J111">
        <v>377</v>
      </c>
      <c r="K111">
        <v>121891</v>
      </c>
      <c r="M111">
        <v>4096</v>
      </c>
      <c r="N111">
        <v>3835</v>
      </c>
      <c r="O111">
        <v>5187</v>
      </c>
    </row>
    <row r="112" spans="2:15" x14ac:dyDescent="0.25">
      <c r="B112" s="5" t="s">
        <v>18</v>
      </c>
      <c r="C112" s="5"/>
      <c r="D112" s="5"/>
      <c r="E112" s="1">
        <f>E108+E111</f>
        <v>5658</v>
      </c>
      <c r="F112" s="1">
        <f>F108+F111</f>
        <v>9776</v>
      </c>
      <c r="G112" s="1">
        <f>G108+G111</f>
        <v>27939</v>
      </c>
      <c r="H112" s="1"/>
      <c r="I112" s="1">
        <f>I108+I111</f>
        <v>3865</v>
      </c>
      <c r="J112" s="1">
        <f>J108+J111</f>
        <v>15431</v>
      </c>
      <c r="K112" s="1">
        <f>K108+K111</f>
        <v>154870</v>
      </c>
      <c r="L112" s="1"/>
      <c r="M112" s="1">
        <f>M108+M111</f>
        <v>22191</v>
      </c>
      <c r="N112" s="1">
        <f>N108+N111</f>
        <v>25137</v>
      </c>
      <c r="O112" s="1">
        <f>O108+O111</f>
        <v>34958</v>
      </c>
    </row>
    <row r="113" spans="2:15" x14ac:dyDescent="0.25">
      <c r="B113" s="4" t="s">
        <v>19</v>
      </c>
      <c r="C113" s="4"/>
      <c r="D113" s="4"/>
      <c r="E113">
        <v>4860</v>
      </c>
      <c r="F113">
        <v>7559</v>
      </c>
      <c r="G113">
        <v>13143</v>
      </c>
      <c r="I113">
        <v>3027</v>
      </c>
      <c r="J113">
        <v>11630</v>
      </c>
      <c r="K113">
        <v>143653</v>
      </c>
      <c r="M113">
        <v>19543</v>
      </c>
      <c r="N113">
        <v>22977</v>
      </c>
      <c r="O113">
        <v>30350</v>
      </c>
    </row>
    <row r="114" spans="2:15" x14ac:dyDescent="0.25">
      <c r="B114" s="4" t="s">
        <v>20</v>
      </c>
      <c r="C114" s="4"/>
      <c r="D114" s="4"/>
      <c r="E114">
        <v>824</v>
      </c>
      <c r="F114">
        <v>2243</v>
      </c>
      <c r="G114">
        <v>4303</v>
      </c>
      <c r="I114">
        <v>838</v>
      </c>
      <c r="J114">
        <v>3801</v>
      </c>
      <c r="K114">
        <v>11217</v>
      </c>
      <c r="M114">
        <v>2648</v>
      </c>
      <c r="N114">
        <v>2160</v>
      </c>
      <c r="O114">
        <v>2469</v>
      </c>
    </row>
    <row r="115" spans="2:15" x14ac:dyDescent="0.25">
      <c r="B115" s="4" t="s">
        <v>21</v>
      </c>
      <c r="C115" s="4"/>
      <c r="D115" s="4"/>
      <c r="E115">
        <v>0</v>
      </c>
      <c r="F115">
        <v>0</v>
      </c>
      <c r="G115">
        <v>10519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2139</v>
      </c>
    </row>
    <row r="116" spans="2:15" x14ac:dyDescent="0.25">
      <c r="B116" s="5" t="s">
        <v>22</v>
      </c>
      <c r="C116" s="5"/>
      <c r="D116" s="5"/>
      <c r="E116" s="1">
        <f>E114+E115</f>
        <v>824</v>
      </c>
      <c r="F116" s="1">
        <f>F114+F115</f>
        <v>2243</v>
      </c>
      <c r="G116" s="1">
        <f>G114+G115</f>
        <v>14822</v>
      </c>
      <c r="H116" s="1"/>
      <c r="I116" s="1">
        <f>I114+I115</f>
        <v>838</v>
      </c>
      <c r="J116" s="1">
        <f>J114+J115</f>
        <v>3801</v>
      </c>
      <c r="K116" s="1">
        <f>K114+K115</f>
        <v>11217</v>
      </c>
      <c r="L116" s="1"/>
      <c r="M116" s="1">
        <f>M114+M115</f>
        <v>2648</v>
      </c>
      <c r="N116" s="1">
        <f>N114+N115</f>
        <v>2160</v>
      </c>
      <c r="O116" s="1">
        <f>O114+O115</f>
        <v>4608</v>
      </c>
    </row>
    <row r="117" spans="2:15" x14ac:dyDescent="0.25">
      <c r="B117" s="4" t="s">
        <v>23</v>
      </c>
      <c r="C117" s="4"/>
      <c r="D117" s="4"/>
      <c r="E117">
        <v>23745</v>
      </c>
      <c r="F117">
        <f>46957+1+78</f>
        <v>47036</v>
      </c>
      <c r="G117">
        <f>76154+6+1</f>
        <v>76161</v>
      </c>
      <c r="I117">
        <f>12212+2+0</f>
        <v>12214</v>
      </c>
      <c r="J117">
        <f>36917+0+0</f>
        <v>36917</v>
      </c>
      <c r="K117">
        <f>86538+33+232</f>
        <v>86803</v>
      </c>
      <c r="M117">
        <f>56570+90+64</f>
        <v>56724</v>
      </c>
      <c r="N117">
        <f>58006+58+0</f>
        <v>58064</v>
      </c>
      <c r="O117">
        <f>101454+188+0</f>
        <v>101642</v>
      </c>
    </row>
    <row r="118" spans="2:15" x14ac:dyDescent="0.25">
      <c r="B118" s="4" t="s">
        <v>24</v>
      </c>
      <c r="C118" s="4"/>
      <c r="D118" s="4"/>
      <c r="E118">
        <v>2540</v>
      </c>
      <c r="F118">
        <v>2699</v>
      </c>
      <c r="G118">
        <v>5583</v>
      </c>
      <c r="I118">
        <v>2717</v>
      </c>
      <c r="J118">
        <v>8604</v>
      </c>
      <c r="K118">
        <v>15785</v>
      </c>
      <c r="M118">
        <v>10260</v>
      </c>
      <c r="N118">
        <v>3434</v>
      </c>
      <c r="O118">
        <v>12313</v>
      </c>
    </row>
    <row r="120" spans="2:15" x14ac:dyDescent="0.25">
      <c r="B120" s="4" t="s">
        <v>28</v>
      </c>
      <c r="C120" s="4"/>
      <c r="D120" s="4"/>
      <c r="F120">
        <f>F118-E118</f>
        <v>159</v>
      </c>
      <c r="G120">
        <f>G118-F118</f>
        <v>2884</v>
      </c>
      <c r="J120">
        <f>J118-I118</f>
        <v>5887</v>
      </c>
      <c r="K120">
        <f>K118-J118</f>
        <v>7181</v>
      </c>
      <c r="N120">
        <f>N118-M118</f>
        <v>-6826</v>
      </c>
      <c r="O120">
        <f>O118-N118</f>
        <v>8879</v>
      </c>
    </row>
    <row r="121" spans="2:15" x14ac:dyDescent="0.25">
      <c r="B121" s="4" t="s">
        <v>29</v>
      </c>
      <c r="C121" s="4"/>
      <c r="D121" s="4"/>
      <c r="F121">
        <f>-(678-1)-(138-1107)</f>
        <v>292</v>
      </c>
      <c r="G121">
        <f>-(1915-678)-(5741-138)</f>
        <v>-6840</v>
      </c>
      <c r="J121">
        <f>-(7-0)-(11022-3160)-(118-2)</f>
        <v>-7985</v>
      </c>
      <c r="K121">
        <f>-(167-7)-(28901-11022)-(1567-118)</f>
        <v>-19488</v>
      </c>
      <c r="N121">
        <f>-(0-116)-(10232-13134)-(954-21)+(41-454)+(42-24)</f>
        <v>1690</v>
      </c>
      <c r="O121">
        <f>-(508-0)-(21743-10232)-(14-954)+(1593-41)+(29-42)</f>
        <v>-9540</v>
      </c>
    </row>
    <row r="122" spans="2:15" x14ac:dyDescent="0.25">
      <c r="B122" s="4" t="s">
        <v>30</v>
      </c>
      <c r="C122" s="4"/>
      <c r="D122" s="4"/>
      <c r="F122">
        <f>-(6879-4160)</f>
        <v>-2719</v>
      </c>
      <c r="G122">
        <f>-(9626-6879)</f>
        <v>-2747</v>
      </c>
      <c r="J122">
        <f>(455-377)</f>
        <v>78</v>
      </c>
      <c r="K122">
        <f>-(121891-377)</f>
        <v>-121514</v>
      </c>
      <c r="N122">
        <f>-(3835-4096)</f>
        <v>261</v>
      </c>
      <c r="O122">
        <f>-(5187-3835)</f>
        <v>-1352</v>
      </c>
    </row>
    <row r="123" spans="2:15" x14ac:dyDescent="0.25">
      <c r="B123" s="4" t="s">
        <v>31</v>
      </c>
      <c r="C123" s="4"/>
      <c r="D123" s="4"/>
      <c r="F123">
        <f>2243-824</f>
        <v>1419</v>
      </c>
      <c r="G123">
        <f>(10519-0)+(4303-2243)</f>
        <v>12579</v>
      </c>
      <c r="J123">
        <f>3801-838</f>
        <v>2963</v>
      </c>
      <c r="K123">
        <f>11217-3801</f>
        <v>7416</v>
      </c>
      <c r="N123">
        <f>(2160-2648)</f>
        <v>-488</v>
      </c>
      <c r="O123">
        <f>(2139-0)+(2469-2160)</f>
        <v>2448</v>
      </c>
    </row>
    <row r="124" spans="2:15" x14ac:dyDescent="0.25">
      <c r="B124" s="4" t="s">
        <v>32</v>
      </c>
      <c r="C124" s="4"/>
      <c r="D124" s="4"/>
      <c r="F124">
        <f>2081-390</f>
        <v>1691</v>
      </c>
      <c r="G124">
        <f>10657-2081</f>
        <v>8576</v>
      </c>
      <c r="J124">
        <f>3907-248</f>
        <v>3659</v>
      </c>
      <c r="K124">
        <f>2344-3907</f>
        <v>-1563</v>
      </c>
      <c r="N124">
        <f>10033-4346</f>
        <v>5687</v>
      </c>
      <c r="O124">
        <f>5884-10033</f>
        <v>-4149</v>
      </c>
    </row>
    <row r="126" spans="2:15" x14ac:dyDescent="0.25">
      <c r="B126" s="4" t="s">
        <v>33</v>
      </c>
      <c r="C126" s="4"/>
      <c r="D126" s="4"/>
      <c r="F126">
        <f>SUM(F120:F124)</f>
        <v>842</v>
      </c>
      <c r="G126">
        <f>SUM(G120:G124)</f>
        <v>14452</v>
      </c>
      <c r="J126">
        <f>SUM(J120:J124)</f>
        <v>4602</v>
      </c>
      <c r="K126">
        <f>SUM(K120:K124)</f>
        <v>-127968</v>
      </c>
      <c r="N126">
        <f>SUM(N120:N124)</f>
        <v>324</v>
      </c>
      <c r="O126">
        <f>SUM(O120:O124)</f>
        <v>-3714</v>
      </c>
    </row>
  </sheetData>
  <mergeCells count="62">
    <mergeCell ref="B126:D126"/>
    <mergeCell ref="B120:D120"/>
    <mergeCell ref="B121:D121"/>
    <mergeCell ref="B122:D122"/>
    <mergeCell ref="B123:D123"/>
    <mergeCell ref="B124:D124"/>
    <mergeCell ref="B114:D114"/>
    <mergeCell ref="B115:D115"/>
    <mergeCell ref="B116:D116"/>
    <mergeCell ref="B117:D117"/>
    <mergeCell ref="B118:D118"/>
    <mergeCell ref="B109:D109"/>
    <mergeCell ref="B110:D110"/>
    <mergeCell ref="B111:D111"/>
    <mergeCell ref="B112:D112"/>
    <mergeCell ref="B113:D113"/>
    <mergeCell ref="B98:D98"/>
    <mergeCell ref="B99:D99"/>
    <mergeCell ref="B100:D100"/>
    <mergeCell ref="B101:D101"/>
    <mergeCell ref="B108:D108"/>
    <mergeCell ref="B93:D93"/>
    <mergeCell ref="B94:D94"/>
    <mergeCell ref="B95:D95"/>
    <mergeCell ref="B96:D96"/>
    <mergeCell ref="B97:D97"/>
    <mergeCell ref="B88:D88"/>
    <mergeCell ref="B89:D89"/>
    <mergeCell ref="B90:D90"/>
    <mergeCell ref="B91:D91"/>
    <mergeCell ref="B92:D92"/>
    <mergeCell ref="B36:D36"/>
    <mergeCell ref="B37:D37"/>
    <mergeCell ref="B38:D38"/>
    <mergeCell ref="B40:D40"/>
    <mergeCell ref="B7:D7"/>
    <mergeCell ref="B25:D25"/>
    <mergeCell ref="B8:D8"/>
    <mergeCell ref="B9:D9"/>
    <mergeCell ref="B10:D10"/>
    <mergeCell ref="B11:D11"/>
    <mergeCell ref="B12:D12"/>
    <mergeCell ref="B13:D13"/>
    <mergeCell ref="B14:D14"/>
    <mergeCell ref="B15:D15"/>
    <mergeCell ref="B22:D22"/>
    <mergeCell ref="B23:D23"/>
    <mergeCell ref="B2:D2"/>
    <mergeCell ref="B3:D3"/>
    <mergeCell ref="B4:D4"/>
    <mergeCell ref="B5:D5"/>
    <mergeCell ref="B6:D6"/>
    <mergeCell ref="B24:D24"/>
    <mergeCell ref="B35:D35"/>
    <mergeCell ref="B34:D34"/>
    <mergeCell ref="B32:D32"/>
    <mergeCell ref="B26:D26"/>
    <mergeCell ref="B27:D27"/>
    <mergeCell ref="B28:D28"/>
    <mergeCell ref="B29:D29"/>
    <mergeCell ref="B30:D30"/>
    <mergeCell ref="B31:D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2021-05-27T07:33:59Z</dcterms:created>
  <dcterms:modified xsi:type="dcterms:W3CDTF">2021-06-09T14:53:56Z</dcterms:modified>
</cp:coreProperties>
</file>