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Graphs\draft7\"/>
    </mc:Choice>
  </mc:AlternateContent>
  <xr:revisionPtr revIDLastSave="0" documentId="13_ncr:1_{7F14B518-2F6B-4077-9766-D7E9C0AAE209}" xr6:coauthVersionLast="47" xr6:coauthVersionMax="47" xr10:uidLastSave="{00000000-0000-0000-0000-000000000000}"/>
  <bookViews>
    <workbookView xWindow="29604" yWindow="13008" windowWidth="11712" windowHeight="13776" xr2:uid="{D3468EB1-82D2-459F-84A7-81333EBF17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Z18" i="1"/>
  <c r="AC18" i="1"/>
  <c r="AA18" i="1"/>
  <c r="Y18" i="1"/>
  <c r="W18" i="1"/>
  <c r="AD18" i="1"/>
  <c r="AB18" i="1"/>
  <c r="X18" i="1"/>
  <c r="W31" i="1"/>
  <c r="W30" i="1"/>
  <c r="W26" i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W29" i="1"/>
  <c r="X29" i="1"/>
  <c r="Y29" i="1"/>
  <c r="Z29" i="1"/>
  <c r="AA29" i="1"/>
  <c r="AB29" i="1"/>
  <c r="AC29" i="1"/>
  <c r="AD29" i="1"/>
  <c r="W11" i="1"/>
  <c r="W15" i="1"/>
  <c r="AD25" i="1"/>
  <c r="AC25" i="1"/>
  <c r="AB25" i="1"/>
  <c r="AA25" i="1"/>
  <c r="Z25" i="1"/>
  <c r="Y25" i="1"/>
  <c r="X25" i="1"/>
  <c r="W25" i="1"/>
  <c r="Y17" i="1"/>
  <c r="AD17" i="1"/>
  <c r="W14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Z17" i="1"/>
  <c r="AA17" i="1"/>
  <c r="AB17" i="1"/>
  <c r="AC17" i="1"/>
  <c r="AD13" i="1"/>
  <c r="AC13" i="1"/>
  <c r="AB13" i="1"/>
  <c r="AA13" i="1"/>
  <c r="Z13" i="1"/>
  <c r="Y13" i="1"/>
  <c r="X13" i="1"/>
  <c r="W13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AD8" i="1"/>
  <c r="AB8" i="1"/>
  <c r="AA8" i="1"/>
  <c r="Z8" i="1"/>
  <c r="Y8" i="1"/>
  <c r="X8" i="1"/>
  <c r="W8" i="1"/>
  <c r="AA7" i="1"/>
  <c r="Y7" i="1"/>
  <c r="W7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X7" i="1"/>
  <c r="Z7" i="1"/>
  <c r="AB7" i="1"/>
  <c r="AC7" i="1"/>
  <c r="AD7" i="1"/>
  <c r="AD3" i="1"/>
  <c r="AC3" i="1"/>
  <c r="AB3" i="1"/>
  <c r="AA3" i="1"/>
  <c r="Z3" i="1"/>
  <c r="Y3" i="1"/>
  <c r="W3" i="1"/>
  <c r="X3" i="1"/>
  <c r="Y31" i="1"/>
  <c r="S31" i="1"/>
  <c r="Z31" i="1" s="1"/>
  <c r="Y30" i="1"/>
  <c r="S30" i="1"/>
  <c r="Z30" i="1" s="1"/>
  <c r="H31" i="1"/>
  <c r="H30" i="1"/>
  <c r="E31" i="1"/>
  <c r="E30" i="1"/>
  <c r="I30" i="1" s="1"/>
  <c r="H17" i="1"/>
  <c r="I17" i="1" s="1"/>
  <c r="J17" i="1"/>
  <c r="H16" i="1"/>
  <c r="I16" i="1" s="1"/>
  <c r="J16" i="1"/>
  <c r="H15" i="1"/>
  <c r="I15" i="1" s="1"/>
  <c r="J15" i="1"/>
  <c r="H14" i="1"/>
  <c r="I14" i="1" s="1"/>
  <c r="J14" i="1"/>
  <c r="H13" i="1"/>
  <c r="I13" i="1" s="1"/>
  <c r="J13" i="1"/>
  <c r="H8" i="1"/>
  <c r="H9" i="1"/>
  <c r="I9" i="1" s="1"/>
  <c r="J9" i="1"/>
  <c r="H10" i="1"/>
  <c r="I10" i="1" s="1"/>
  <c r="J10" i="1"/>
  <c r="H11" i="1"/>
  <c r="I11" i="1" s="1"/>
  <c r="J11" i="1"/>
  <c r="H12" i="1"/>
  <c r="I12" i="1" s="1"/>
  <c r="J12" i="1"/>
  <c r="J8" i="1"/>
  <c r="H7" i="1"/>
  <c r="I7" i="1" s="1"/>
  <c r="J7" i="1"/>
  <c r="J26" i="1"/>
  <c r="J27" i="1"/>
  <c r="J28" i="1"/>
  <c r="J29" i="1"/>
  <c r="H26" i="1"/>
  <c r="I26" i="1" s="1"/>
  <c r="H27" i="1"/>
  <c r="I27" i="1" s="1"/>
  <c r="H28" i="1"/>
  <c r="I28" i="1" s="1"/>
  <c r="H29" i="1"/>
  <c r="I29" i="1" s="1"/>
  <c r="H25" i="1"/>
  <c r="I25" i="1" s="1"/>
  <c r="J25" i="1"/>
  <c r="H6" i="1"/>
  <c r="J6" i="1"/>
  <c r="H5" i="1"/>
  <c r="I5" i="1" s="1"/>
  <c r="J5" i="1"/>
  <c r="J3" i="1"/>
  <c r="H3" i="1"/>
  <c r="I3" i="1" s="1"/>
  <c r="H4" i="1"/>
  <c r="I4" i="1" s="1"/>
  <c r="J4" i="1"/>
  <c r="I31" i="1" l="1"/>
  <c r="K7" i="1"/>
  <c r="K14" i="1"/>
  <c r="K17" i="1"/>
  <c r="K9" i="1"/>
  <c r="K13" i="1"/>
  <c r="K16" i="1"/>
  <c r="K15" i="1"/>
  <c r="K10" i="1"/>
  <c r="K11" i="1"/>
  <c r="K4" i="1"/>
  <c r="K28" i="1"/>
  <c r="K29" i="1"/>
  <c r="K12" i="1"/>
  <c r="I8" i="1"/>
  <c r="K8" i="1" s="1"/>
  <c r="K25" i="1"/>
  <c r="K27" i="1"/>
  <c r="K26" i="1"/>
  <c r="I6" i="1"/>
  <c r="K6" i="1" s="1"/>
  <c r="K3" i="1"/>
  <c r="K5" i="1"/>
</calcChain>
</file>

<file path=xl/sharedStrings.xml><?xml version="1.0" encoding="utf-8"?>
<sst xmlns="http://schemas.openxmlformats.org/spreadsheetml/2006/main" count="189" uniqueCount="61">
  <si>
    <t>Bi-linear</t>
  </si>
  <si>
    <t>[Shirazi-Adl-1986]</t>
  </si>
  <si>
    <t>[Goel 1995]</t>
  </si>
  <si>
    <t>R. Eberlein</t>
  </si>
  <si>
    <t>Tri-linear?</t>
  </si>
  <si>
    <t>Ligament</t>
  </si>
  <si>
    <t>Level</t>
  </si>
  <si>
    <t># of elements</t>
  </si>
  <si>
    <t>Area [mm2]</t>
  </si>
  <si>
    <t>Rule #1</t>
  </si>
  <si>
    <t>Length</t>
  </si>
  <si>
    <t>D1</t>
  </si>
  <si>
    <t>F1</t>
  </si>
  <si>
    <t>D2</t>
  </si>
  <si>
    <t>F2</t>
  </si>
  <si>
    <t>Supraspinous</t>
  </si>
  <si>
    <t>L5-S1</t>
  </si>
  <si>
    <t>E = 8MPa for &lt;20%
E = 15MPa for &gt;20%</t>
  </si>
  <si>
    <t>L4-L5</t>
  </si>
  <si>
    <t>L3-L4</t>
  </si>
  <si>
    <t>L2-L3</t>
  </si>
  <si>
    <t>L1-L2</t>
  </si>
  <si>
    <t>Interspinous</t>
  </si>
  <si>
    <t>E = 10MPa for &lt;14%
E = 11.6MPa for &gt;14%</t>
  </si>
  <si>
    <t>Intertransverse</t>
  </si>
  <si>
    <t>E = 10MPa for &lt;18%
E = 58.7MPa for &gt;18%</t>
  </si>
  <si>
    <t>*per side</t>
  </si>
  <si>
    <t>Posterior longitudinal</t>
  </si>
  <si>
    <t>n/a</t>
  </si>
  <si>
    <t>E = 10MPa for &lt;11%
E = 20MPa for &gt;11%</t>
  </si>
  <si>
    <t>Anterior longitudinal</t>
  </si>
  <si>
    <t>Capsular</t>
  </si>
  <si>
    <t>E = 7.5MPa for &lt;25%
E = 32.9MPa for &gt;25%</t>
  </si>
  <si>
    <t>Ligamentum flavum</t>
  </si>
  <si>
    <t>E = 15MPa for &lt;6.2%
E = 19.5MPa for &gt;6.2%</t>
  </si>
  <si>
    <t>Anterior iliolumbar*</t>
  </si>
  <si>
    <t>E = 397MPa</t>
  </si>
  <si>
    <t>Posterior iliolumbar*</t>
  </si>
  <si>
    <t>L5-S2</t>
  </si>
  <si>
    <t>Strain</t>
  </si>
  <si>
    <t xml:space="preserve">Stress (Mpa)
</t>
  </si>
  <si>
    <t>D3</t>
  </si>
  <si>
    <t>F3</t>
  </si>
  <si>
    <t>D4</t>
  </si>
  <si>
    <t>F4</t>
  </si>
  <si>
    <t>Disp</t>
  </si>
  <si>
    <t>Force</t>
  </si>
  <si>
    <t>`</t>
  </si>
  <si>
    <t>Force - displacement curves of Supraspinous ligaments (x 3 springs)</t>
  </si>
  <si>
    <t>Force - displacement curves of Interspinous ligaments (x 4 springs)</t>
  </si>
  <si>
    <t>Force - displacement curves of Intertransverse ligaments (x 4 springs on each side)</t>
  </si>
  <si>
    <t>For the manuscript</t>
  </si>
  <si>
    <t>ISL</t>
  </si>
  <si>
    <t>SSL</t>
  </si>
  <si>
    <t>ITL</t>
  </si>
  <si>
    <t>E (Mpa) - From Eberlin</t>
  </si>
  <si>
    <t>* per side</t>
  </si>
  <si>
    <t>12*</t>
  </si>
  <si>
    <t>4*</t>
  </si>
  <si>
    <t>no of spring elements - Shirazi 1986</t>
  </si>
  <si>
    <t>Area (mm^2) - from Shirazi Adl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</si>
</sst>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4" xfId="0" applyBorder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vertic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Interspinous</a:t>
            </a:r>
            <a:r>
              <a:rPr lang="en-CA" baseline="0"/>
              <a:t>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Sheet1!$AG$16:$AG$19</c:f>
              <c:numCache>
                <c:formatCode>General</c:formatCode>
                <c:ptCount val="4"/>
                <c:pt idx="0">
                  <c:v>0.1802</c:v>
                </c:pt>
                <c:pt idx="1">
                  <c:v>1.802</c:v>
                </c:pt>
                <c:pt idx="2">
                  <c:v>3.6040000000000001</c:v>
                </c:pt>
                <c:pt idx="3">
                  <c:v>10.811999999999999</c:v>
                </c:pt>
              </c:numCache>
            </c:numRef>
          </c:xVal>
          <c:yVal>
            <c:numRef>
              <c:f>Sheet1!$AH$16:$AH$19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0-4B65-B6E5-3F8E5CDC14AB}"/>
            </c:ext>
          </c:extLst>
        </c:ser>
        <c:ser>
          <c:idx val="1"/>
          <c:order val="1"/>
          <c:tx>
            <c:strRef>
              <c:f>Sheet1!$AI$14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Sheet1!$AI$16:$AI$19</c:f>
              <c:numCache>
                <c:formatCode>General</c:formatCode>
                <c:ptCount val="4"/>
                <c:pt idx="0">
                  <c:v>0.10300000000000001</c:v>
                </c:pt>
                <c:pt idx="1">
                  <c:v>1.03</c:v>
                </c:pt>
                <c:pt idx="2">
                  <c:v>2.06</c:v>
                </c:pt>
                <c:pt idx="3">
                  <c:v>6.1800000000000006</c:v>
                </c:pt>
              </c:numCache>
            </c:numRef>
          </c:xVal>
          <c:yVal>
            <c:numRef>
              <c:f>Sheet1!$AJ$16:$AJ$19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0-4B65-B6E5-3F8E5CDC14AB}"/>
            </c:ext>
          </c:extLst>
        </c:ser>
        <c:ser>
          <c:idx val="2"/>
          <c:order val="2"/>
          <c:tx>
            <c:strRef>
              <c:f>Sheet1!$AK$14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Sheet1!$AK$16:$AK$19</c:f>
              <c:numCache>
                <c:formatCode>General</c:formatCode>
                <c:ptCount val="4"/>
                <c:pt idx="0">
                  <c:v>5.4000000000000006E-2</c:v>
                </c:pt>
                <c:pt idx="1">
                  <c:v>0.54</c:v>
                </c:pt>
                <c:pt idx="2">
                  <c:v>1.08</c:v>
                </c:pt>
                <c:pt idx="3">
                  <c:v>3.24</c:v>
                </c:pt>
              </c:numCache>
            </c:numRef>
          </c:xVal>
          <c:yVal>
            <c:numRef>
              <c:f>Sheet1!$AL$16:$AL$19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0-4B65-B6E5-3F8E5CDC14AB}"/>
            </c:ext>
          </c:extLst>
        </c:ser>
        <c:ser>
          <c:idx val="3"/>
          <c:order val="3"/>
          <c:tx>
            <c:strRef>
              <c:f>Sheet1!$AM$14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Sheet1!$AM$16:$AM$19</c:f>
              <c:numCache>
                <c:formatCode>General</c:formatCode>
                <c:ptCount val="4"/>
                <c:pt idx="0">
                  <c:v>7.0999999999999994E-2</c:v>
                </c:pt>
                <c:pt idx="1">
                  <c:v>0.71</c:v>
                </c:pt>
                <c:pt idx="2">
                  <c:v>1.42</c:v>
                </c:pt>
                <c:pt idx="3">
                  <c:v>4.26</c:v>
                </c:pt>
              </c:numCache>
            </c:numRef>
          </c:xVal>
          <c:yVal>
            <c:numRef>
              <c:f>Sheet1!$AN$16:$AN$19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0-4B65-B6E5-3F8E5CDC14AB}"/>
            </c:ext>
          </c:extLst>
        </c:ser>
        <c:ser>
          <c:idx val="4"/>
          <c:order val="4"/>
          <c:tx>
            <c:strRef>
              <c:f>Sheet1!$AO$14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Sheet1!$AO$16:$AO$19</c:f>
              <c:numCache>
                <c:formatCode>General</c:formatCode>
                <c:ptCount val="4"/>
                <c:pt idx="0">
                  <c:v>0.105</c:v>
                </c:pt>
                <c:pt idx="1">
                  <c:v>1.05</c:v>
                </c:pt>
                <c:pt idx="2">
                  <c:v>2.1</c:v>
                </c:pt>
                <c:pt idx="3">
                  <c:v>6.3</c:v>
                </c:pt>
              </c:numCache>
            </c:numRef>
          </c:xVal>
          <c:yVal>
            <c:numRef>
              <c:f>Sheet1!$AP$16:$AP$19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0-4B65-B6E5-3F8E5CDC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61711"/>
        <c:axId val="507358831"/>
      </c:scatterChart>
      <c:valAx>
        <c:axId val="5073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8831"/>
        <c:crosses val="autoZero"/>
        <c:crossBetween val="midCat"/>
      </c:valAx>
      <c:valAx>
        <c:axId val="5073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Supraspinous ligament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Sheet1!$AG$5:$AG$8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4.08</c:v>
                </c:pt>
                <c:pt idx="2">
                  <c:v>5.984</c:v>
                </c:pt>
                <c:pt idx="3">
                  <c:v>7.887999999999999</c:v>
                </c:pt>
              </c:numCache>
            </c:numRef>
          </c:xVal>
          <c:yVal>
            <c:numRef>
              <c:f>Sheet1!$AH$5:$AH$8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3D2-9000-DF92C03241C5}"/>
            </c:ext>
          </c:extLst>
        </c:ser>
        <c:ser>
          <c:idx val="2"/>
          <c:order val="1"/>
          <c:tx>
            <c:strRef>
              <c:f>Sheet1!$AK$3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Sheet1!$AK$5:$AK$8</c:f>
              <c:numCache>
                <c:formatCode>General</c:formatCode>
                <c:ptCount val="4"/>
                <c:pt idx="0">
                  <c:v>0.19399999999999998</c:v>
                </c:pt>
                <c:pt idx="1">
                  <c:v>2.9099999999999997</c:v>
                </c:pt>
                <c:pt idx="2">
                  <c:v>4.2679999999999998</c:v>
                </c:pt>
                <c:pt idx="3">
                  <c:v>5.6259999999999994</c:v>
                </c:pt>
              </c:numCache>
            </c:numRef>
          </c:xVal>
          <c:yVal>
            <c:numRef>
              <c:f>Sheet1!$AL$5:$AL$8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0-43D2-9000-DF92C03241C5}"/>
            </c:ext>
          </c:extLst>
        </c:ser>
        <c:ser>
          <c:idx val="3"/>
          <c:order val="2"/>
          <c:tx>
            <c:strRef>
              <c:f>Sheet1!$AM$3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Sheet1!$AM$5:$AM$8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4.0199999999999996</c:v>
                </c:pt>
                <c:pt idx="2">
                  <c:v>5.8959999999999999</c:v>
                </c:pt>
                <c:pt idx="3">
                  <c:v>7.7719999999999994</c:v>
                </c:pt>
              </c:numCache>
            </c:numRef>
          </c:xVal>
          <c:yVal>
            <c:numRef>
              <c:f>Sheet1!$AN$5:$AN$8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0-43D2-9000-DF92C03241C5}"/>
            </c:ext>
          </c:extLst>
        </c:ser>
        <c:ser>
          <c:idx val="4"/>
          <c:order val="3"/>
          <c:tx>
            <c:strRef>
              <c:f>Sheet1!$AO$3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Sheet1!$AO$5:$AO$8</c:f>
              <c:numCache>
                <c:formatCode>General</c:formatCode>
                <c:ptCount val="4"/>
                <c:pt idx="0">
                  <c:v>0.223</c:v>
                </c:pt>
                <c:pt idx="1">
                  <c:v>3.3450000000000002</c:v>
                </c:pt>
                <c:pt idx="2">
                  <c:v>4.9060000000000006</c:v>
                </c:pt>
                <c:pt idx="3">
                  <c:v>6.4669999999999996</c:v>
                </c:pt>
              </c:numCache>
            </c:numRef>
          </c:xVal>
          <c:yVal>
            <c:numRef>
              <c:f>Sheet1!$AP$5:$AP$8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0-43D2-9000-DF92C03241C5}"/>
            </c:ext>
          </c:extLst>
        </c:ser>
        <c:ser>
          <c:idx val="1"/>
          <c:order val="4"/>
          <c:tx>
            <c:strRef>
              <c:f>Sheet1!$AI$3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Sheet1!$AI$5:$AI$8</c:f>
              <c:numCache>
                <c:formatCode>General</c:formatCode>
                <c:ptCount val="4"/>
                <c:pt idx="0">
                  <c:v>0.223</c:v>
                </c:pt>
                <c:pt idx="1">
                  <c:v>3.3450000000000002</c:v>
                </c:pt>
                <c:pt idx="2">
                  <c:v>4.9060000000000006</c:v>
                </c:pt>
                <c:pt idx="3">
                  <c:v>6.4669999999999996</c:v>
                </c:pt>
              </c:numCache>
            </c:numRef>
          </c:xVal>
          <c:yVal>
            <c:numRef>
              <c:f>Sheet1!$AJ$5:$AJ$8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0-43D2-9000-DF92C032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5327"/>
        <c:axId val="511685807"/>
      </c:scatterChart>
      <c:valAx>
        <c:axId val="5116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5807"/>
        <c:crosses val="autoZero"/>
        <c:crossBetween val="midCat"/>
      </c:valAx>
      <c:valAx>
        <c:axId val="5116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Intertransverse ligaments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Sheet1!$AG$23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Sheet1!$AG$25:$AG$28</c:f>
              <c:numCache>
                <c:formatCode>General</c:formatCode>
                <c:ptCount val="4"/>
                <c:pt idx="0">
                  <c:v>0.17800000000000002</c:v>
                </c:pt>
                <c:pt idx="1">
                  <c:v>2.67</c:v>
                </c:pt>
                <c:pt idx="2">
                  <c:v>3.9160000000000004</c:v>
                </c:pt>
                <c:pt idx="3">
                  <c:v>5.34</c:v>
                </c:pt>
              </c:numCache>
            </c:numRef>
          </c:xVal>
          <c:yVal>
            <c:numRef>
              <c:f>Sheet1!$AH$25:$AH$28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5-4E6A-A6CB-10E7C4C7BA27}"/>
            </c:ext>
          </c:extLst>
        </c:ser>
        <c:ser>
          <c:idx val="1"/>
          <c:order val="1"/>
          <c:tx>
            <c:strRef>
              <c:f>Sheet1!$AI$23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Sheet1!$AI$25:$AI$28</c:f>
              <c:numCache>
                <c:formatCode>General</c:formatCode>
                <c:ptCount val="4"/>
                <c:pt idx="0">
                  <c:v>0.21300000000000002</c:v>
                </c:pt>
                <c:pt idx="1">
                  <c:v>3.1949999999999998</c:v>
                </c:pt>
                <c:pt idx="2">
                  <c:v>4.6859999999999999</c:v>
                </c:pt>
                <c:pt idx="3">
                  <c:v>6.39</c:v>
                </c:pt>
              </c:numCache>
            </c:numRef>
          </c:xVal>
          <c:yVal>
            <c:numRef>
              <c:f>Sheet1!$AJ$25:$AJ$28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5-4E6A-A6CB-10E7C4C7BA27}"/>
            </c:ext>
          </c:extLst>
        </c:ser>
        <c:ser>
          <c:idx val="2"/>
          <c:order val="2"/>
          <c:tx>
            <c:strRef>
              <c:f>Sheet1!$AK$23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Sheet1!$AK$25:$AK$28</c:f>
              <c:numCache>
                <c:formatCode>General</c:formatCode>
                <c:ptCount val="4"/>
                <c:pt idx="0">
                  <c:v>0.19850000000000001</c:v>
                </c:pt>
                <c:pt idx="1">
                  <c:v>2.9775</c:v>
                </c:pt>
                <c:pt idx="2">
                  <c:v>4.367</c:v>
                </c:pt>
                <c:pt idx="3">
                  <c:v>5.9550000000000001</c:v>
                </c:pt>
              </c:numCache>
            </c:numRef>
          </c:xVal>
          <c:yVal>
            <c:numRef>
              <c:f>Sheet1!$AL$25:$AL$28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5-4E6A-A6CB-10E7C4C7BA27}"/>
            </c:ext>
          </c:extLst>
        </c:ser>
        <c:ser>
          <c:idx val="3"/>
          <c:order val="3"/>
          <c:tx>
            <c:strRef>
              <c:f>Sheet1!$AM$23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Sheet1!$AM$25:$AM$28</c:f>
              <c:numCache>
                <c:formatCode>General</c:formatCode>
                <c:ptCount val="4"/>
                <c:pt idx="0">
                  <c:v>0.2084</c:v>
                </c:pt>
                <c:pt idx="1">
                  <c:v>3.1259999999999999</c:v>
                </c:pt>
                <c:pt idx="2">
                  <c:v>4.5848000000000004</c:v>
                </c:pt>
                <c:pt idx="3">
                  <c:v>6.2519999999999998</c:v>
                </c:pt>
              </c:numCache>
            </c:numRef>
          </c:xVal>
          <c:yVal>
            <c:numRef>
              <c:f>Sheet1!$AN$25:$AN$28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5-4E6A-A6CB-10E7C4C7BA27}"/>
            </c:ext>
          </c:extLst>
        </c:ser>
        <c:ser>
          <c:idx val="4"/>
          <c:order val="4"/>
          <c:tx>
            <c:strRef>
              <c:f>Sheet1!$AO$23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Sheet1!$AO$25:$AO$28</c:f>
              <c:numCache>
                <c:formatCode>General</c:formatCode>
                <c:ptCount val="4"/>
                <c:pt idx="0">
                  <c:v>0.1966</c:v>
                </c:pt>
                <c:pt idx="1">
                  <c:v>2.9489999999999998</c:v>
                </c:pt>
                <c:pt idx="2">
                  <c:v>4.3251999999999997</c:v>
                </c:pt>
                <c:pt idx="3">
                  <c:v>5.8979999999999997</c:v>
                </c:pt>
              </c:numCache>
            </c:numRef>
          </c:xVal>
          <c:yVal>
            <c:numRef>
              <c:f>Sheet1!$AP$25:$AP$28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5-4E6A-A6CB-10E7C4C7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0864"/>
        <c:axId val="504225584"/>
      </c:scatterChart>
      <c:valAx>
        <c:axId val="5042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5584"/>
        <c:crosses val="autoZero"/>
        <c:crossBetween val="midCat"/>
      </c:valAx>
      <c:valAx>
        <c:axId val="504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461010</xdr:colOff>
      <xdr:row>35</xdr:row>
      <xdr:rowOff>66675</xdr:rowOff>
    </xdr:from>
    <xdr:to>
      <xdr:col>7</xdr:col>
      <xdr:colOff>380429</xdr:colOff>
      <xdr:row>40</xdr:row>
      <xdr:rowOff>14450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18F378-B1CF-452C-D695-C2D839625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2685" y="7115175"/>
          <a:ext cx="4577144" cy="1843810"/>
        </a:xfrm>
        <a:prstGeom prst="rect">
          <a:avLst/>
        </a:prstGeom>
      </xdr:spPr>
    </xdr:pic>
    <xdr:clientData/>
  </xdr:twoCellAnchor>
  <xdr:twoCellAnchor>
    <xdr:from>
      <xdr:col>43</xdr:col>
      <xdr:colOff>22414</xdr:colOff>
      <xdr:row>11</xdr:row>
      <xdr:rowOff>123264</xdr:rowOff>
    </xdr:from>
    <xdr:to>
      <xdr:col>50</xdr:col>
      <xdr:colOff>425823</xdr:colOff>
      <xdr:row>21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D3F19-2CF5-8C76-C47C-2F0279C5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39218</xdr:colOff>
      <xdr:row>0</xdr:row>
      <xdr:rowOff>0</xdr:rowOff>
    </xdr:from>
    <xdr:to>
      <xdr:col>50</xdr:col>
      <xdr:colOff>369793</xdr:colOff>
      <xdr:row>10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1CFB0-02CB-E9A1-0EA5-4A041B20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39221</xdr:colOff>
      <xdr:row>22</xdr:row>
      <xdr:rowOff>113180</xdr:rowOff>
    </xdr:from>
    <xdr:to>
      <xdr:col>50</xdr:col>
      <xdr:colOff>375397</xdr:colOff>
      <xdr:row>35</xdr:row>
      <xdr:rowOff>10086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E1ECB-3487-C72B-1A77-959B2758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5608-4F08-4037-B003-A33791418087}">
  <dimension ref="B1:AP44"/>
  <sheetViews>
    <sheetView tabSelected="1" topLeftCell="AD24" zoomScale="85" zoomScaleNormal="85" workbookViewId="0">
      <selection activeCell="AJ48" sqref="AJ48"/>
    </sheetView>
  </sheetViews>
  <sheetFormatPr defaultRowHeight="14.4" x14ac:dyDescent="0.3"/>
  <cols>
    <col min="2" max="2" width="20.44140625" bestFit="1" customWidth="1"/>
    <col min="4" max="4" width="13.33203125" customWidth="1"/>
    <col min="5" max="5" width="17.109375" customWidth="1"/>
    <col min="6" max="6" width="21.109375" customWidth="1"/>
    <col min="16" max="16" width="20.44140625" bestFit="1" customWidth="1"/>
    <col min="18" max="18" width="13.33203125" customWidth="1"/>
    <col min="19" max="20" width="17.109375" customWidth="1"/>
    <col min="21" max="21" width="21.109375" customWidth="1"/>
    <col min="34" max="34" width="21.6640625" customWidth="1"/>
    <col min="35" max="35" width="18.5546875" customWidth="1"/>
    <col min="36" max="36" width="22.5546875" customWidth="1"/>
  </cols>
  <sheetData>
    <row r="1" spans="2:42" x14ac:dyDescent="0.3">
      <c r="B1" t="s">
        <v>0</v>
      </c>
      <c r="E1" t="s">
        <v>1</v>
      </c>
      <c r="F1" t="s">
        <v>2</v>
      </c>
      <c r="P1" t="s">
        <v>3</v>
      </c>
      <c r="Q1" t="s">
        <v>4</v>
      </c>
    </row>
    <row r="2" spans="2:42" ht="15" customHeight="1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P2" s="1" t="s">
        <v>5</v>
      </c>
      <c r="Q2" s="1" t="s">
        <v>6</v>
      </c>
      <c r="R2" s="1" t="s">
        <v>7</v>
      </c>
      <c r="S2" s="1" t="s">
        <v>8</v>
      </c>
      <c r="T2" s="31" t="s">
        <v>9</v>
      </c>
      <c r="U2" s="31"/>
      <c r="V2" s="7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41</v>
      </c>
      <c r="AB2" s="1" t="s">
        <v>42</v>
      </c>
      <c r="AC2" s="1" t="s">
        <v>43</v>
      </c>
      <c r="AD2" s="1" t="s">
        <v>44</v>
      </c>
      <c r="AG2" s="30" t="s">
        <v>48</v>
      </c>
      <c r="AH2" s="30"/>
      <c r="AI2" s="30"/>
      <c r="AJ2" s="30"/>
      <c r="AK2" s="30"/>
      <c r="AL2" s="30"/>
      <c r="AM2" s="30"/>
      <c r="AN2" s="30"/>
      <c r="AO2" s="30"/>
      <c r="AP2" s="30"/>
    </row>
    <row r="3" spans="2:42" ht="29.25" customHeight="1" x14ac:dyDescent="0.3">
      <c r="B3" s="3" t="s">
        <v>15</v>
      </c>
      <c r="C3" s="1" t="s">
        <v>16</v>
      </c>
      <c r="D3" s="31">
        <v>3</v>
      </c>
      <c r="E3" s="31">
        <v>25.2</v>
      </c>
      <c r="F3" s="32" t="s">
        <v>17</v>
      </c>
      <c r="G3" s="1">
        <v>27.2</v>
      </c>
      <c r="H3" s="1">
        <f>0.2*G3</f>
        <v>5.44</v>
      </c>
      <c r="I3" s="1">
        <f>((8*E3/G3)*H3)/D3</f>
        <v>13.440000000000003</v>
      </c>
      <c r="J3" s="1">
        <f t="shared" ref="J3:J8" si="0">G3</f>
        <v>27.2</v>
      </c>
      <c r="K3" s="1">
        <f>((15/D3*E3/G3)*(J3-H3)+I3)</f>
        <v>114.24</v>
      </c>
      <c r="P3" s="21" t="s">
        <v>15</v>
      </c>
      <c r="Q3" s="22" t="s">
        <v>16</v>
      </c>
      <c r="R3" s="33">
        <v>3</v>
      </c>
      <c r="S3" s="33">
        <v>25.2</v>
      </c>
      <c r="T3" s="22" t="s">
        <v>39</v>
      </c>
      <c r="U3" s="22" t="s">
        <v>40</v>
      </c>
      <c r="V3" s="23">
        <v>27.2</v>
      </c>
      <c r="W3" s="14">
        <f>$T$4*$V3</f>
        <v>0.27200000000000002</v>
      </c>
      <c r="X3" s="15">
        <f>$U$4*$S$3/$R$3</f>
        <v>0</v>
      </c>
      <c r="Y3" s="14">
        <f>$T$5*$V3</f>
        <v>4.08</v>
      </c>
      <c r="Z3" s="14">
        <f>$U$5*$S$3/$R$3</f>
        <v>8.4</v>
      </c>
      <c r="AA3" s="14">
        <f>$T$6*$V3</f>
        <v>5.984</v>
      </c>
      <c r="AB3" s="14">
        <f>$U$6*$S$3/$R$3</f>
        <v>21</v>
      </c>
      <c r="AC3" s="14">
        <f>$T$7*$V3</f>
        <v>7.887999999999999</v>
      </c>
      <c r="AD3" s="14">
        <f>$U$7*$S$3/$R$3</f>
        <v>84</v>
      </c>
      <c r="AG3" s="29" t="s">
        <v>16</v>
      </c>
      <c r="AH3" s="29"/>
      <c r="AI3" s="29" t="s">
        <v>18</v>
      </c>
      <c r="AJ3" s="29"/>
      <c r="AK3" s="29" t="s">
        <v>19</v>
      </c>
      <c r="AL3" s="29"/>
      <c r="AM3" s="29" t="s">
        <v>20</v>
      </c>
      <c r="AN3" s="29"/>
      <c r="AO3" s="29" t="s">
        <v>21</v>
      </c>
      <c r="AP3" s="29"/>
    </row>
    <row r="4" spans="2:42" ht="30" customHeight="1" x14ac:dyDescent="0.3">
      <c r="B4" s="3"/>
      <c r="C4" s="1" t="s">
        <v>18</v>
      </c>
      <c r="D4" s="31"/>
      <c r="E4" s="31"/>
      <c r="F4" s="32"/>
      <c r="G4" s="1">
        <v>22.3</v>
      </c>
      <c r="H4" s="1">
        <f>0.2*G4</f>
        <v>4.46</v>
      </c>
      <c r="I4" s="1">
        <f>((8*E3/G4)*H4)/D3</f>
        <v>13.44</v>
      </c>
      <c r="J4" s="1">
        <f t="shared" si="0"/>
        <v>22.3</v>
      </c>
      <c r="K4" s="1">
        <f>((15/D3*E3/G4)*(J4-H4)+I4)</f>
        <v>114.23999999999998</v>
      </c>
      <c r="M4">
        <v>40.32</v>
      </c>
      <c r="N4">
        <v>342.72</v>
      </c>
      <c r="P4" s="21"/>
      <c r="Q4" s="22" t="s">
        <v>18</v>
      </c>
      <c r="R4" s="33"/>
      <c r="S4" s="33"/>
      <c r="T4" s="22">
        <v>0.01</v>
      </c>
      <c r="U4" s="24">
        <v>0</v>
      </c>
      <c r="V4" s="23">
        <v>22.3</v>
      </c>
      <c r="W4" s="14">
        <f t="shared" ref="W4:W6" si="1">$T$4*$V4</f>
        <v>0.223</v>
      </c>
      <c r="X4" s="15">
        <f t="shared" ref="X4:X7" si="2">$U$4*$S$3/$R$3</f>
        <v>0</v>
      </c>
      <c r="Y4" s="14">
        <f t="shared" ref="Y4:Y6" si="3">$T$5*$V4</f>
        <v>3.3450000000000002</v>
      </c>
      <c r="Z4" s="14">
        <f t="shared" ref="Z4:Z7" si="4">$U$5*$S$3/$R$3</f>
        <v>8.4</v>
      </c>
      <c r="AA4" s="14">
        <f t="shared" ref="AA4:AA6" si="5">$T$6*$V4</f>
        <v>4.9060000000000006</v>
      </c>
      <c r="AB4" s="14">
        <f t="shared" ref="AB4:AB7" si="6">$U$6*$S$3/$R$3</f>
        <v>21</v>
      </c>
      <c r="AC4" s="14">
        <f t="shared" ref="AC4:AC7" si="7">$T$7*$V4</f>
        <v>6.4669999999999996</v>
      </c>
      <c r="AD4" s="14">
        <f t="shared" ref="AD4:AD7" si="8">$U$7*$S$3/$R$3</f>
        <v>84</v>
      </c>
      <c r="AG4" s="25" t="s">
        <v>45</v>
      </c>
      <c r="AH4" s="25" t="s">
        <v>46</v>
      </c>
      <c r="AI4" s="25" t="s">
        <v>45</v>
      </c>
      <c r="AJ4" s="25" t="s">
        <v>46</v>
      </c>
      <c r="AK4" s="25" t="s">
        <v>45</v>
      </c>
      <c r="AL4" s="25" t="s">
        <v>46</v>
      </c>
      <c r="AM4" s="25" t="s">
        <v>45</v>
      </c>
      <c r="AN4" s="25" t="s">
        <v>46</v>
      </c>
      <c r="AO4" s="25" t="s">
        <v>45</v>
      </c>
      <c r="AP4" s="25" t="s">
        <v>46</v>
      </c>
    </row>
    <row r="5" spans="2:42" x14ac:dyDescent="0.3">
      <c r="B5" s="3"/>
      <c r="C5" s="1" t="s">
        <v>19</v>
      </c>
      <c r="D5" s="31"/>
      <c r="E5" s="31"/>
      <c r="F5" s="32"/>
      <c r="G5" s="1">
        <v>19.399999999999999</v>
      </c>
      <c r="H5" s="1">
        <f>0.2*G5</f>
        <v>3.88</v>
      </c>
      <c r="I5" s="1">
        <f>((8*E3/G5)*H5)/D3</f>
        <v>13.44</v>
      </c>
      <c r="J5" s="1">
        <f t="shared" si="0"/>
        <v>19.399999999999999</v>
      </c>
      <c r="K5" s="1">
        <f>((15/D3*E3/G5)*(J5-H5)+I5)</f>
        <v>114.24000000000001</v>
      </c>
      <c r="P5" s="21"/>
      <c r="Q5" s="22" t="s">
        <v>19</v>
      </c>
      <c r="R5" s="33"/>
      <c r="S5" s="33"/>
      <c r="T5" s="22">
        <v>0.15</v>
      </c>
      <c r="U5" s="24">
        <v>1</v>
      </c>
      <c r="V5" s="23">
        <v>19.399999999999999</v>
      </c>
      <c r="W5" s="14">
        <f t="shared" si="1"/>
        <v>0.19399999999999998</v>
      </c>
      <c r="X5" s="15">
        <f t="shared" si="2"/>
        <v>0</v>
      </c>
      <c r="Y5" s="14">
        <f t="shared" si="3"/>
        <v>2.9099999999999997</v>
      </c>
      <c r="Z5" s="14">
        <f t="shared" si="4"/>
        <v>8.4</v>
      </c>
      <c r="AA5" s="14">
        <f t="shared" si="5"/>
        <v>4.2679999999999998</v>
      </c>
      <c r="AB5" s="14">
        <f t="shared" si="6"/>
        <v>21</v>
      </c>
      <c r="AC5" s="14">
        <f t="shared" si="7"/>
        <v>5.6259999999999994</v>
      </c>
      <c r="AD5" s="14">
        <f t="shared" si="8"/>
        <v>84</v>
      </c>
      <c r="AG5" s="25">
        <v>0.27200000000000002</v>
      </c>
      <c r="AH5" s="25">
        <v>0</v>
      </c>
      <c r="AI5" s="25">
        <v>0.223</v>
      </c>
      <c r="AJ5" s="25">
        <v>0</v>
      </c>
      <c r="AK5" s="25">
        <v>0.19399999999999998</v>
      </c>
      <c r="AL5" s="25">
        <v>0</v>
      </c>
      <c r="AM5" s="25">
        <v>0.26800000000000002</v>
      </c>
      <c r="AN5" s="25">
        <v>0</v>
      </c>
      <c r="AO5" s="25">
        <v>0.223</v>
      </c>
      <c r="AP5" s="25">
        <v>0</v>
      </c>
    </row>
    <row r="6" spans="2:42" x14ac:dyDescent="0.3">
      <c r="B6" s="3"/>
      <c r="C6" s="1" t="s">
        <v>20</v>
      </c>
      <c r="D6" s="31"/>
      <c r="E6" s="31"/>
      <c r="F6" s="32"/>
      <c r="G6" s="1">
        <v>26.8</v>
      </c>
      <c r="H6" s="1">
        <f>0.2*G6</f>
        <v>5.36</v>
      </c>
      <c r="I6" s="1">
        <f>((8*E3/G6)*H6)/D3</f>
        <v>13.44</v>
      </c>
      <c r="J6" s="1">
        <f t="shared" si="0"/>
        <v>26.8</v>
      </c>
      <c r="K6" s="1">
        <f>((15/D3*E3/G6)*(J6-H6)+I6)</f>
        <v>114.24000000000001</v>
      </c>
      <c r="P6" s="21"/>
      <c r="Q6" s="22" t="s">
        <v>20</v>
      </c>
      <c r="R6" s="33"/>
      <c r="S6" s="33"/>
      <c r="T6" s="22">
        <v>0.22</v>
      </c>
      <c r="U6" s="24">
        <v>2.5</v>
      </c>
      <c r="V6" s="23">
        <v>26.8</v>
      </c>
      <c r="W6" s="14">
        <f t="shared" si="1"/>
        <v>0.26800000000000002</v>
      </c>
      <c r="X6" s="15">
        <f t="shared" si="2"/>
        <v>0</v>
      </c>
      <c r="Y6" s="14">
        <f t="shared" si="3"/>
        <v>4.0199999999999996</v>
      </c>
      <c r="Z6" s="14">
        <f t="shared" si="4"/>
        <v>8.4</v>
      </c>
      <c r="AA6" s="14">
        <f t="shared" si="5"/>
        <v>5.8959999999999999</v>
      </c>
      <c r="AB6" s="14">
        <f t="shared" si="6"/>
        <v>21</v>
      </c>
      <c r="AC6" s="14">
        <f t="shared" si="7"/>
        <v>7.7719999999999994</v>
      </c>
      <c r="AD6" s="14">
        <f t="shared" si="8"/>
        <v>84</v>
      </c>
      <c r="AG6" s="25">
        <v>4.08</v>
      </c>
      <c r="AH6" s="25">
        <v>8.4</v>
      </c>
      <c r="AI6" s="25">
        <v>3.3450000000000002</v>
      </c>
      <c r="AJ6" s="25">
        <v>8.4</v>
      </c>
      <c r="AK6" s="25">
        <v>2.9099999999999997</v>
      </c>
      <c r="AL6" s="25">
        <v>8.4</v>
      </c>
      <c r="AM6" s="25">
        <v>4.0199999999999996</v>
      </c>
      <c r="AN6" s="25">
        <v>8.4</v>
      </c>
      <c r="AO6" s="25">
        <v>3.3450000000000002</v>
      </c>
      <c r="AP6" s="25">
        <v>8.4</v>
      </c>
    </row>
    <row r="7" spans="2:42" ht="15" customHeight="1" x14ac:dyDescent="0.3">
      <c r="B7" s="3"/>
      <c r="C7" s="1" t="s">
        <v>21</v>
      </c>
      <c r="D7" s="31"/>
      <c r="E7" s="31"/>
      <c r="F7" s="32"/>
      <c r="G7" s="1">
        <v>22.3</v>
      </c>
      <c r="H7" s="1">
        <f>0.2*G7</f>
        <v>4.46</v>
      </c>
      <c r="I7" s="4">
        <f>((8*$E$3/G7)*H7)/$D$3</f>
        <v>13.44</v>
      </c>
      <c r="J7" s="1">
        <f t="shared" si="0"/>
        <v>22.3</v>
      </c>
      <c r="K7" s="4">
        <f>((15/$D$3*$E$3/G7)*(J7-H7)+I7)</f>
        <v>114.23999999999998</v>
      </c>
      <c r="P7" s="21"/>
      <c r="Q7" s="22" t="s">
        <v>21</v>
      </c>
      <c r="R7" s="33"/>
      <c r="S7" s="33"/>
      <c r="T7" s="22">
        <v>0.28999999999999998</v>
      </c>
      <c r="U7" s="24">
        <v>10</v>
      </c>
      <c r="V7" s="23">
        <v>22.3</v>
      </c>
      <c r="W7" s="14">
        <f>$T$4*$V7</f>
        <v>0.223</v>
      </c>
      <c r="X7" s="15">
        <f t="shared" si="2"/>
        <v>0</v>
      </c>
      <c r="Y7" s="14">
        <f>$T$5*$V7</f>
        <v>3.3450000000000002</v>
      </c>
      <c r="Z7" s="14">
        <f t="shared" si="4"/>
        <v>8.4</v>
      </c>
      <c r="AA7" s="14">
        <f>$T$6*$V7</f>
        <v>4.9060000000000006</v>
      </c>
      <c r="AB7" s="14">
        <f t="shared" si="6"/>
        <v>21</v>
      </c>
      <c r="AC7" s="14">
        <f t="shared" si="7"/>
        <v>6.4669999999999996</v>
      </c>
      <c r="AD7" s="14">
        <f t="shared" si="8"/>
        <v>84</v>
      </c>
      <c r="AG7" s="25">
        <v>5.984</v>
      </c>
      <c r="AH7" s="25">
        <v>21</v>
      </c>
      <c r="AI7" s="25">
        <v>4.9060000000000006</v>
      </c>
      <c r="AJ7" s="25">
        <v>21</v>
      </c>
      <c r="AK7" s="25">
        <v>4.2679999999999998</v>
      </c>
      <c r="AL7" s="25">
        <v>21</v>
      </c>
      <c r="AM7" s="25">
        <v>5.8959999999999999</v>
      </c>
      <c r="AN7" s="25">
        <v>21</v>
      </c>
      <c r="AO7" s="25">
        <v>4.9060000000000006</v>
      </c>
      <c r="AP7" s="25">
        <v>21</v>
      </c>
    </row>
    <row r="8" spans="2:42" ht="30" customHeight="1" x14ac:dyDescent="0.3">
      <c r="B8" s="3" t="s">
        <v>22</v>
      </c>
      <c r="C8" s="1" t="s">
        <v>16</v>
      </c>
      <c r="D8" s="31">
        <v>4</v>
      </c>
      <c r="E8" s="31">
        <v>35.1</v>
      </c>
      <c r="F8" s="32" t="s">
        <v>23</v>
      </c>
      <c r="G8" s="1">
        <v>18.02</v>
      </c>
      <c r="H8" s="1">
        <f>0.14*G8</f>
        <v>2.5228000000000002</v>
      </c>
      <c r="I8" s="4">
        <f>((10*$E$8/G8)*H8)/$D$8</f>
        <v>12.285</v>
      </c>
      <c r="J8" s="1">
        <f t="shared" si="0"/>
        <v>18.02</v>
      </c>
      <c r="K8" s="4">
        <f>((11.6/$D$8*$E$8/G8)*(J8-H8)+I8)</f>
        <v>99.824400000000011</v>
      </c>
      <c r="P8" s="16" t="s">
        <v>22</v>
      </c>
      <c r="Q8" s="17" t="s">
        <v>16</v>
      </c>
      <c r="R8" s="34">
        <v>4</v>
      </c>
      <c r="S8" s="34">
        <v>35.1</v>
      </c>
      <c r="T8" s="17" t="s">
        <v>39</v>
      </c>
      <c r="U8" s="17" t="s">
        <v>40</v>
      </c>
      <c r="V8" s="18">
        <v>18.02</v>
      </c>
      <c r="W8" s="14">
        <f>$T$9*$V8</f>
        <v>0.1802</v>
      </c>
      <c r="X8" s="15">
        <f>$U$9*$S$8/$R$8</f>
        <v>0</v>
      </c>
      <c r="Y8" s="14">
        <f>$T$10*$V8</f>
        <v>1.802</v>
      </c>
      <c r="Z8" s="14">
        <f>$U$10*$S$8/$R$8</f>
        <v>4.8262500000000008</v>
      </c>
      <c r="AA8" s="14">
        <f>$T$11*$V8</f>
        <v>3.6040000000000001</v>
      </c>
      <c r="AB8" s="14">
        <f>$U$11*$S$8/$R$8</f>
        <v>10.53</v>
      </c>
      <c r="AC8" s="14">
        <f>$T$12*$V8</f>
        <v>10.811999999999999</v>
      </c>
      <c r="AD8" s="14">
        <f>$U$12*$S$8/$R$8</f>
        <v>48.262500000000003</v>
      </c>
      <c r="AG8" s="25">
        <v>7.887999999999999</v>
      </c>
      <c r="AH8" s="25">
        <v>84</v>
      </c>
      <c r="AI8" s="25">
        <v>6.4669999999999996</v>
      </c>
      <c r="AJ8" s="25">
        <v>84</v>
      </c>
      <c r="AK8" s="25">
        <v>5.6259999999999994</v>
      </c>
      <c r="AL8" s="25">
        <v>84</v>
      </c>
      <c r="AM8" s="25">
        <v>7.7719999999999994</v>
      </c>
      <c r="AN8" s="25">
        <v>84</v>
      </c>
      <c r="AO8" s="25">
        <v>6.4669999999999996</v>
      </c>
      <c r="AP8" s="25">
        <v>84</v>
      </c>
    </row>
    <row r="9" spans="2:42" x14ac:dyDescent="0.3">
      <c r="C9" s="1" t="s">
        <v>18</v>
      </c>
      <c r="D9" s="31"/>
      <c r="E9" s="31"/>
      <c r="F9" s="32"/>
      <c r="G9" s="1">
        <v>10.3</v>
      </c>
      <c r="H9" s="4">
        <f t="shared" ref="H9:H12" si="9">0.14*G9</f>
        <v>1.4420000000000002</v>
      </c>
      <c r="I9" s="4">
        <f t="shared" ref="I9:I12" si="10">((10*$E$8/G9)*H9)/$D$8</f>
        <v>12.285</v>
      </c>
      <c r="J9" s="1">
        <f t="shared" ref="J9:J12" si="11">G9</f>
        <v>10.3</v>
      </c>
      <c r="K9" s="4">
        <f t="shared" ref="K9:K12" si="12">((11.6/$D$8*$E$8/G9)*(J9-H9)+I9)</f>
        <v>99.824400000000011</v>
      </c>
      <c r="P9" s="19"/>
      <c r="Q9" s="17" t="s">
        <v>18</v>
      </c>
      <c r="R9" s="34"/>
      <c r="S9" s="34"/>
      <c r="T9" s="17">
        <v>0.01</v>
      </c>
      <c r="U9" s="20">
        <v>0</v>
      </c>
      <c r="V9" s="18">
        <v>10.3</v>
      </c>
      <c r="W9" s="14">
        <f t="shared" ref="W9:W12" si="13">$T$9*$V9</f>
        <v>0.10300000000000001</v>
      </c>
      <c r="X9" s="15">
        <f t="shared" ref="X9:X12" si="14">$U$9*$S$8/$R$8</f>
        <v>0</v>
      </c>
      <c r="Y9" s="14">
        <f t="shared" ref="Y9:Y12" si="15">$T$10*$V9</f>
        <v>1.03</v>
      </c>
      <c r="Z9" s="14">
        <f t="shared" ref="Z9:Z12" si="16">$U$10*$S$8/$R$8</f>
        <v>4.8262500000000008</v>
      </c>
      <c r="AA9" s="14">
        <f t="shared" ref="AA9:AA12" si="17">$T$11*$V9</f>
        <v>2.06</v>
      </c>
      <c r="AB9" s="14">
        <f t="shared" ref="AB9:AB12" si="18">$U$11*$S$8/$R$8</f>
        <v>10.53</v>
      </c>
      <c r="AC9" s="14">
        <f t="shared" ref="AC9:AC12" si="19">$T$12*$V9</f>
        <v>6.1800000000000006</v>
      </c>
      <c r="AD9" s="14">
        <f t="shared" ref="AD9:AD12" si="20">$U$12*$S$8/$R$8</f>
        <v>48.262500000000003</v>
      </c>
    </row>
    <row r="10" spans="2:42" x14ac:dyDescent="0.3">
      <c r="C10" s="1" t="s">
        <v>19</v>
      </c>
      <c r="D10" s="31"/>
      <c r="E10" s="31"/>
      <c r="F10" s="32"/>
      <c r="G10" s="1">
        <v>5.4</v>
      </c>
      <c r="H10" s="4">
        <f t="shared" si="9"/>
        <v>0.75600000000000012</v>
      </c>
      <c r="I10" s="4">
        <f t="shared" si="10"/>
        <v>12.285000000000002</v>
      </c>
      <c r="J10" s="1">
        <f t="shared" si="11"/>
        <v>5.4</v>
      </c>
      <c r="K10" s="4">
        <f t="shared" si="12"/>
        <v>99.824400000000011</v>
      </c>
      <c r="P10" s="19"/>
      <c r="Q10" s="17" t="s">
        <v>19</v>
      </c>
      <c r="R10" s="34"/>
      <c r="S10" s="34"/>
      <c r="T10" s="17">
        <v>0.1</v>
      </c>
      <c r="U10" s="20">
        <v>0.55000000000000004</v>
      </c>
      <c r="V10" s="18">
        <v>5.4</v>
      </c>
      <c r="W10" s="14">
        <f t="shared" si="13"/>
        <v>5.4000000000000006E-2</v>
      </c>
      <c r="X10" s="15">
        <f t="shared" si="14"/>
        <v>0</v>
      </c>
      <c r="Y10" s="14">
        <f t="shared" si="15"/>
        <v>0.54</v>
      </c>
      <c r="Z10" s="14">
        <f t="shared" si="16"/>
        <v>4.8262500000000008</v>
      </c>
      <c r="AA10" s="14">
        <f t="shared" si="17"/>
        <v>1.08</v>
      </c>
      <c r="AB10" s="14">
        <f t="shared" si="18"/>
        <v>10.53</v>
      </c>
      <c r="AC10" s="14">
        <f t="shared" si="19"/>
        <v>3.24</v>
      </c>
      <c r="AD10" s="14">
        <f t="shared" si="20"/>
        <v>48.262500000000003</v>
      </c>
    </row>
    <row r="11" spans="2:42" x14ac:dyDescent="0.3">
      <c r="C11" s="1" t="s">
        <v>20</v>
      </c>
      <c r="D11" s="31"/>
      <c r="E11" s="31"/>
      <c r="F11" s="32"/>
      <c r="G11" s="1">
        <v>7.1</v>
      </c>
      <c r="H11" s="4">
        <f t="shared" si="9"/>
        <v>0.99399999999999999</v>
      </c>
      <c r="I11" s="4">
        <f t="shared" si="10"/>
        <v>12.285</v>
      </c>
      <c r="J11" s="1">
        <f t="shared" si="11"/>
        <v>7.1</v>
      </c>
      <c r="K11" s="4">
        <f t="shared" si="12"/>
        <v>99.824399999999997</v>
      </c>
      <c r="P11" s="19"/>
      <c r="Q11" s="17" t="s">
        <v>20</v>
      </c>
      <c r="R11" s="34"/>
      <c r="S11" s="34"/>
      <c r="T11" s="17">
        <v>0.2</v>
      </c>
      <c r="U11" s="20">
        <v>1.2</v>
      </c>
      <c r="V11" s="18">
        <v>7.1</v>
      </c>
      <c r="W11" s="14">
        <f>$T$9*$V11</f>
        <v>7.0999999999999994E-2</v>
      </c>
      <c r="X11" s="15">
        <f t="shared" si="14"/>
        <v>0</v>
      </c>
      <c r="Y11" s="14">
        <f t="shared" si="15"/>
        <v>0.71</v>
      </c>
      <c r="Z11" s="14">
        <f t="shared" si="16"/>
        <v>4.8262500000000008</v>
      </c>
      <c r="AA11" s="14">
        <f t="shared" si="17"/>
        <v>1.42</v>
      </c>
      <c r="AB11" s="14">
        <f t="shared" si="18"/>
        <v>10.53</v>
      </c>
      <c r="AC11" s="14">
        <f t="shared" si="19"/>
        <v>4.26</v>
      </c>
      <c r="AD11" s="14">
        <f t="shared" si="20"/>
        <v>48.262500000000003</v>
      </c>
    </row>
    <row r="12" spans="2:42" ht="15" customHeight="1" x14ac:dyDescent="0.3">
      <c r="C12" s="1" t="s">
        <v>21</v>
      </c>
      <c r="D12" s="31"/>
      <c r="E12" s="31"/>
      <c r="F12" s="32"/>
      <c r="G12" s="1">
        <v>10.5</v>
      </c>
      <c r="H12" s="4">
        <f t="shared" si="9"/>
        <v>1.4700000000000002</v>
      </c>
      <c r="I12" s="4">
        <f t="shared" si="10"/>
        <v>12.285000000000002</v>
      </c>
      <c r="J12" s="1">
        <f t="shared" si="11"/>
        <v>10.5</v>
      </c>
      <c r="K12" s="4">
        <f t="shared" si="12"/>
        <v>99.824399999999997</v>
      </c>
      <c r="P12" s="19"/>
      <c r="Q12" s="17" t="s">
        <v>21</v>
      </c>
      <c r="R12" s="34"/>
      <c r="S12" s="34"/>
      <c r="T12" s="17">
        <v>0.6</v>
      </c>
      <c r="U12" s="20">
        <v>5.5</v>
      </c>
      <c r="V12" s="18">
        <v>10.5</v>
      </c>
      <c r="W12" s="14">
        <f t="shared" si="13"/>
        <v>0.105</v>
      </c>
      <c r="X12" s="15">
        <f t="shared" si="14"/>
        <v>0</v>
      </c>
      <c r="Y12" s="14">
        <f t="shared" si="15"/>
        <v>1.05</v>
      </c>
      <c r="Z12" s="14">
        <f t="shared" si="16"/>
        <v>4.8262500000000008</v>
      </c>
      <c r="AA12" s="14">
        <f t="shared" si="17"/>
        <v>2.1</v>
      </c>
      <c r="AB12" s="14">
        <f t="shared" si="18"/>
        <v>10.53</v>
      </c>
      <c r="AC12" s="14">
        <f t="shared" si="19"/>
        <v>6.3</v>
      </c>
      <c r="AD12" s="14">
        <f t="shared" si="20"/>
        <v>48.262500000000003</v>
      </c>
      <c r="AF12" t="s">
        <v>47</v>
      </c>
    </row>
    <row r="13" spans="2:42" ht="30" customHeight="1" x14ac:dyDescent="0.3">
      <c r="B13" s="3" t="s">
        <v>24</v>
      </c>
      <c r="C13" s="1" t="s">
        <v>16</v>
      </c>
      <c r="D13" s="31">
        <v>4</v>
      </c>
      <c r="E13" s="31">
        <v>12</v>
      </c>
      <c r="F13" s="32" t="s">
        <v>25</v>
      </c>
      <c r="G13" s="1">
        <v>17.8</v>
      </c>
      <c r="H13" s="4">
        <f>0.18*G13</f>
        <v>3.2040000000000002</v>
      </c>
      <c r="I13" s="4">
        <f>((10*$E$13/G13)*H13)/$D$13</f>
        <v>5.4</v>
      </c>
      <c r="J13" s="1">
        <f t="shared" ref="J13:J17" si="21">G13</f>
        <v>17.8</v>
      </c>
      <c r="K13" s="4">
        <f>((58.7/$D$13*$E$13/G13)*(J13-H13)+I13)</f>
        <v>149.80200000000002</v>
      </c>
      <c r="P13" s="26" t="s">
        <v>24</v>
      </c>
      <c r="Q13" s="27" t="s">
        <v>16</v>
      </c>
      <c r="R13" s="35">
        <v>4</v>
      </c>
      <c r="S13" s="35">
        <v>12</v>
      </c>
      <c r="T13" s="27" t="s">
        <v>39</v>
      </c>
      <c r="U13" s="27" t="s">
        <v>40</v>
      </c>
      <c r="V13" s="28">
        <v>17.8</v>
      </c>
      <c r="W13" s="14">
        <f>$T$14*$V13</f>
        <v>0.17800000000000002</v>
      </c>
      <c r="X13" s="15">
        <f>$U$14*$S$13/$R$13</f>
        <v>0</v>
      </c>
      <c r="Y13" s="14">
        <f>$T$15*$V13</f>
        <v>2.67</v>
      </c>
      <c r="Z13" s="14">
        <f>$U$15*$S$13/$R$13</f>
        <v>3</v>
      </c>
      <c r="AA13" s="14">
        <f>$T$16*$V13</f>
        <v>3.9160000000000004</v>
      </c>
      <c r="AB13" s="14">
        <f>$U$16*$S$13/$R$13</f>
        <v>7.5</v>
      </c>
      <c r="AC13" s="14">
        <f>$T$17*$V13</f>
        <v>5.34</v>
      </c>
      <c r="AD13" s="14">
        <f>$U$17*$S$13/$R$13</f>
        <v>30</v>
      </c>
      <c r="AG13" s="30" t="s">
        <v>49</v>
      </c>
      <c r="AH13" s="30"/>
      <c r="AI13" s="30"/>
      <c r="AJ13" s="30"/>
      <c r="AK13" s="30"/>
      <c r="AL13" s="30"/>
      <c r="AM13" s="30"/>
      <c r="AN13" s="30"/>
      <c r="AO13" s="30"/>
      <c r="AP13" s="30"/>
    </row>
    <row r="14" spans="2:42" x14ac:dyDescent="0.3">
      <c r="B14" s="3" t="s">
        <v>26</v>
      </c>
      <c r="C14" s="1" t="s">
        <v>18</v>
      </c>
      <c r="D14" s="31"/>
      <c r="E14" s="31"/>
      <c r="F14" s="32"/>
      <c r="G14" s="1">
        <v>21.3</v>
      </c>
      <c r="H14" s="4">
        <f>0.18*G14</f>
        <v>3.8340000000000001</v>
      </c>
      <c r="I14" s="4">
        <f t="shared" ref="I14:I17" si="22">((10*$E$13/G14)*H14)/$D$13</f>
        <v>5.3999999999999995</v>
      </c>
      <c r="J14" s="1">
        <f t="shared" si="21"/>
        <v>21.3</v>
      </c>
      <c r="K14" s="4">
        <f t="shared" ref="K14:K17" si="23">((58.7/$D$13*$E$13/G14)*(J14-H14)+I14)</f>
        <v>149.80200000000002</v>
      </c>
      <c r="P14" s="26" t="s">
        <v>26</v>
      </c>
      <c r="Q14" s="27" t="s">
        <v>18</v>
      </c>
      <c r="R14" s="35"/>
      <c r="S14" s="35"/>
      <c r="T14" s="27">
        <v>0.01</v>
      </c>
      <c r="U14" s="27">
        <v>0</v>
      </c>
      <c r="V14" s="28">
        <v>21.3</v>
      </c>
      <c r="W14" s="14">
        <f t="shared" ref="W14:W17" si="24">$T$14*$V14</f>
        <v>0.21300000000000002</v>
      </c>
      <c r="X14" s="15">
        <f t="shared" ref="X14:X17" si="25">$U$14*$S$13/$R$13</f>
        <v>0</v>
      </c>
      <c r="Y14" s="14">
        <f t="shared" ref="Y14:Y16" si="26">$T$15*$V14</f>
        <v>3.1949999999999998</v>
      </c>
      <c r="Z14" s="14">
        <f t="shared" ref="Z14:Z17" si="27">$U$15*$S$13/$R$13</f>
        <v>3</v>
      </c>
      <c r="AA14" s="14">
        <f t="shared" ref="AA14:AA17" si="28">$T$16*$V14</f>
        <v>4.6859999999999999</v>
      </c>
      <c r="AB14" s="14">
        <f t="shared" ref="AB14:AB17" si="29">$U$16*$S$13/$R$13</f>
        <v>7.5</v>
      </c>
      <c r="AC14" s="14">
        <f t="shared" ref="AC14:AC17" si="30">$T$17*$V14</f>
        <v>6.39</v>
      </c>
      <c r="AD14" s="14">
        <f t="shared" ref="AD14:AD16" si="31">$U$17*$S$13/$R$13</f>
        <v>30</v>
      </c>
      <c r="AG14" s="29" t="s">
        <v>16</v>
      </c>
      <c r="AH14" s="29"/>
      <c r="AI14" s="29" t="s">
        <v>18</v>
      </c>
      <c r="AJ14" s="29"/>
      <c r="AK14" s="29" t="s">
        <v>19</v>
      </c>
      <c r="AL14" s="29"/>
      <c r="AM14" s="29" t="s">
        <v>20</v>
      </c>
      <c r="AN14" s="29"/>
      <c r="AO14" s="29" t="s">
        <v>21</v>
      </c>
      <c r="AP14" s="29"/>
    </row>
    <row r="15" spans="2:42" x14ac:dyDescent="0.3">
      <c r="B15" s="3"/>
      <c r="C15" s="1" t="s">
        <v>19</v>
      </c>
      <c r="D15" s="31"/>
      <c r="E15" s="31"/>
      <c r="F15" s="32"/>
      <c r="G15" s="1">
        <v>19.850000000000001</v>
      </c>
      <c r="H15" s="4">
        <f t="shared" ref="H15:H17" si="32">0.18*G15</f>
        <v>3.573</v>
      </c>
      <c r="I15" s="4">
        <f t="shared" si="22"/>
        <v>5.3999999999999995</v>
      </c>
      <c r="J15" s="1">
        <f t="shared" si="21"/>
        <v>19.850000000000001</v>
      </c>
      <c r="K15" s="4">
        <f t="shared" si="23"/>
        <v>149.80200000000002</v>
      </c>
      <c r="P15" s="26"/>
      <c r="Q15" s="27" t="s">
        <v>19</v>
      </c>
      <c r="R15" s="35"/>
      <c r="S15" s="35"/>
      <c r="T15" s="27">
        <v>0.15</v>
      </c>
      <c r="U15" s="27">
        <v>1</v>
      </c>
      <c r="V15" s="28">
        <v>19.850000000000001</v>
      </c>
      <c r="W15" s="14">
        <f>$T$14*$V15</f>
        <v>0.19850000000000001</v>
      </c>
      <c r="X15" s="15">
        <f t="shared" si="25"/>
        <v>0</v>
      </c>
      <c r="Y15" s="14">
        <f t="shared" si="26"/>
        <v>2.9775</v>
      </c>
      <c r="Z15" s="14">
        <f t="shared" si="27"/>
        <v>3</v>
      </c>
      <c r="AA15" s="14">
        <f t="shared" si="28"/>
        <v>4.367</v>
      </c>
      <c r="AB15" s="14">
        <f t="shared" si="29"/>
        <v>7.5</v>
      </c>
      <c r="AC15" s="14">
        <f t="shared" si="30"/>
        <v>5.9550000000000001</v>
      </c>
      <c r="AD15" s="14">
        <f t="shared" si="31"/>
        <v>30</v>
      </c>
      <c r="AG15" s="25" t="s">
        <v>45</v>
      </c>
      <c r="AH15" s="25" t="s">
        <v>46</v>
      </c>
      <c r="AI15" s="25" t="s">
        <v>45</v>
      </c>
      <c r="AJ15" s="25" t="s">
        <v>46</v>
      </c>
      <c r="AK15" s="25" t="s">
        <v>45</v>
      </c>
      <c r="AL15" s="25" t="s">
        <v>46</v>
      </c>
      <c r="AM15" s="25" t="s">
        <v>45</v>
      </c>
      <c r="AN15" s="25" t="s">
        <v>46</v>
      </c>
      <c r="AO15" s="25" t="s">
        <v>45</v>
      </c>
      <c r="AP15" s="25" t="s">
        <v>46</v>
      </c>
    </row>
    <row r="16" spans="2:42" x14ac:dyDescent="0.3">
      <c r="B16" s="3"/>
      <c r="C16" s="1" t="s">
        <v>20</v>
      </c>
      <c r="D16" s="31"/>
      <c r="E16" s="31"/>
      <c r="F16" s="32"/>
      <c r="G16" s="1">
        <v>20.84</v>
      </c>
      <c r="H16" s="4">
        <f t="shared" si="32"/>
        <v>3.7511999999999999</v>
      </c>
      <c r="I16" s="4">
        <f t="shared" si="22"/>
        <v>5.3999999999999995</v>
      </c>
      <c r="J16" s="1">
        <f t="shared" si="21"/>
        <v>20.84</v>
      </c>
      <c r="K16" s="4">
        <f t="shared" si="23"/>
        <v>149.80200000000002</v>
      </c>
      <c r="P16" s="26"/>
      <c r="Q16" s="27" t="s">
        <v>20</v>
      </c>
      <c r="R16" s="35"/>
      <c r="S16" s="35"/>
      <c r="T16" s="27">
        <v>0.22</v>
      </c>
      <c r="U16" s="27">
        <v>2.5</v>
      </c>
      <c r="V16" s="28">
        <v>20.84</v>
      </c>
      <c r="W16" s="14">
        <f t="shared" si="24"/>
        <v>0.2084</v>
      </c>
      <c r="X16" s="15">
        <f t="shared" si="25"/>
        <v>0</v>
      </c>
      <c r="Y16" s="14">
        <f t="shared" si="26"/>
        <v>3.1259999999999999</v>
      </c>
      <c r="Z16" s="14">
        <f t="shared" si="27"/>
        <v>3</v>
      </c>
      <c r="AA16" s="14">
        <f t="shared" si="28"/>
        <v>4.5848000000000004</v>
      </c>
      <c r="AB16" s="14">
        <f t="shared" si="29"/>
        <v>7.5</v>
      </c>
      <c r="AC16" s="14">
        <f t="shared" si="30"/>
        <v>6.2519999999999998</v>
      </c>
      <c r="AD16" s="14">
        <f t="shared" si="31"/>
        <v>30</v>
      </c>
      <c r="AG16" s="25">
        <v>0.1802</v>
      </c>
      <c r="AH16" s="25">
        <v>0</v>
      </c>
      <c r="AI16" s="25">
        <v>0.10300000000000001</v>
      </c>
      <c r="AJ16" s="25">
        <v>0</v>
      </c>
      <c r="AK16" s="25">
        <v>5.4000000000000006E-2</v>
      </c>
      <c r="AL16" s="25">
        <v>0</v>
      </c>
      <c r="AM16" s="25">
        <v>7.0999999999999994E-2</v>
      </c>
      <c r="AN16" s="25">
        <v>0</v>
      </c>
      <c r="AO16" s="25">
        <v>0.105</v>
      </c>
      <c r="AP16" s="25">
        <v>0</v>
      </c>
    </row>
    <row r="17" spans="2:42" x14ac:dyDescent="0.3">
      <c r="B17" s="3"/>
      <c r="C17" s="1" t="s">
        <v>21</v>
      </c>
      <c r="D17" s="31"/>
      <c r="E17" s="31"/>
      <c r="F17" s="32"/>
      <c r="G17" s="1">
        <v>19.66</v>
      </c>
      <c r="H17" s="4">
        <f t="shared" si="32"/>
        <v>3.5387999999999997</v>
      </c>
      <c r="I17" s="4">
        <f t="shared" si="22"/>
        <v>5.3999999999999995</v>
      </c>
      <c r="J17" s="1">
        <f t="shared" si="21"/>
        <v>19.66</v>
      </c>
      <c r="K17" s="4">
        <f t="shared" si="23"/>
        <v>149.80200000000002</v>
      </c>
      <c r="P17" s="26"/>
      <c r="Q17" s="27" t="s">
        <v>21</v>
      </c>
      <c r="R17" s="35"/>
      <c r="S17" s="35"/>
      <c r="T17" s="27">
        <v>0.3</v>
      </c>
      <c r="U17" s="27">
        <v>10</v>
      </c>
      <c r="V17" s="28">
        <v>19.66</v>
      </c>
      <c r="W17" s="14">
        <f t="shared" si="24"/>
        <v>0.1966</v>
      </c>
      <c r="X17" s="15">
        <f t="shared" si="25"/>
        <v>0</v>
      </c>
      <c r="Y17" s="14">
        <f>$T$15*$V17</f>
        <v>2.9489999999999998</v>
      </c>
      <c r="Z17" s="14">
        <f t="shared" si="27"/>
        <v>3</v>
      </c>
      <c r="AA17" s="14">
        <f t="shared" si="28"/>
        <v>4.3251999999999997</v>
      </c>
      <c r="AB17" s="14">
        <f t="shared" si="29"/>
        <v>7.5</v>
      </c>
      <c r="AC17" s="14">
        <f t="shared" si="30"/>
        <v>5.8979999999999997</v>
      </c>
      <c r="AD17" s="14">
        <f>$U$17*$S$13/$R$13</f>
        <v>30</v>
      </c>
      <c r="AG17" s="25">
        <v>1.802</v>
      </c>
      <c r="AH17" s="25">
        <v>4.8262500000000008</v>
      </c>
      <c r="AI17" s="25">
        <v>1.03</v>
      </c>
      <c r="AJ17" s="25">
        <v>4.8262500000000008</v>
      </c>
      <c r="AK17" s="25">
        <v>0.54</v>
      </c>
      <c r="AL17" s="25">
        <v>4.8262500000000008</v>
      </c>
      <c r="AM17" s="25">
        <v>0.71</v>
      </c>
      <c r="AN17" s="25">
        <v>4.8262500000000008</v>
      </c>
      <c r="AO17" s="25">
        <v>1.05</v>
      </c>
      <c r="AP17" s="25">
        <v>4.8262500000000008</v>
      </c>
    </row>
    <row r="18" spans="2:42" ht="28.8" x14ac:dyDescent="0.3">
      <c r="B18" s="3" t="s">
        <v>27</v>
      </c>
      <c r="C18" s="1" t="s">
        <v>28</v>
      </c>
      <c r="D18" s="1">
        <v>9</v>
      </c>
      <c r="E18" s="1">
        <v>14.4</v>
      </c>
      <c r="F18" s="2" t="s">
        <v>29</v>
      </c>
      <c r="P18" s="3" t="s">
        <v>27</v>
      </c>
      <c r="Q18" s="1" t="s">
        <v>16</v>
      </c>
      <c r="R18" s="31">
        <v>4</v>
      </c>
      <c r="S18" s="31">
        <v>14.4</v>
      </c>
      <c r="T18" s="1" t="s">
        <v>39</v>
      </c>
      <c r="U18" s="1" t="s">
        <v>40</v>
      </c>
      <c r="V18" s="8">
        <v>12.41</v>
      </c>
      <c r="W18" s="4">
        <f>$T$19*$V18</f>
        <v>0.1241</v>
      </c>
      <c r="X18" s="12">
        <f>$U$19*$S$18/$R$18</f>
        <v>0</v>
      </c>
      <c r="Y18" s="4">
        <f>$T$20*$V18</f>
        <v>1.8614999999999999</v>
      </c>
      <c r="Z18" s="4">
        <f>$U$20*$S$18/$R$18</f>
        <v>3.6</v>
      </c>
      <c r="AA18" s="4">
        <f>$T$21*$V18</f>
        <v>2.7302</v>
      </c>
      <c r="AB18" s="4">
        <f>$U$21*$S$18/$R$18</f>
        <v>9</v>
      </c>
      <c r="AC18" s="4">
        <f>$T$22*$V18</f>
        <v>3.7229999999999999</v>
      </c>
      <c r="AD18" s="4">
        <f>$U$22*$S$18/$R$18</f>
        <v>36</v>
      </c>
      <c r="AG18" s="25">
        <v>3.6040000000000001</v>
      </c>
      <c r="AH18" s="25">
        <v>10.53</v>
      </c>
      <c r="AI18" s="25">
        <v>2.06</v>
      </c>
      <c r="AJ18" s="25">
        <v>10.53</v>
      </c>
      <c r="AK18" s="25">
        <v>1.08</v>
      </c>
      <c r="AL18" s="25">
        <v>10.53</v>
      </c>
      <c r="AM18" s="25">
        <v>1.42</v>
      </c>
      <c r="AN18" s="25">
        <v>10.53</v>
      </c>
      <c r="AO18" s="25">
        <v>2.1</v>
      </c>
      <c r="AP18" s="25">
        <v>10.53</v>
      </c>
    </row>
    <row r="19" spans="2:42" x14ac:dyDescent="0.3">
      <c r="B19" s="3"/>
      <c r="C19" s="1"/>
      <c r="D19" s="1"/>
      <c r="E19" s="1"/>
      <c r="F19" s="2"/>
      <c r="P19" s="3"/>
      <c r="Q19" s="1" t="s">
        <v>18</v>
      </c>
      <c r="R19" s="31"/>
      <c r="S19" s="31"/>
      <c r="T19" s="1">
        <v>0.01</v>
      </c>
      <c r="U19" s="1">
        <v>0</v>
      </c>
      <c r="V19" s="8">
        <v>8.6999999999999993</v>
      </c>
      <c r="W19" s="4">
        <f t="shared" ref="W19:W22" si="33">$T$19*$V19</f>
        <v>8.6999999999999994E-2</v>
      </c>
      <c r="X19" s="12">
        <f t="shared" ref="X19:X22" si="34">$U$19*$S$18/$R$18</f>
        <v>0</v>
      </c>
      <c r="Y19" s="4">
        <f t="shared" ref="Y19:Y22" si="35">$T$20*$V19</f>
        <v>1.3049999999999999</v>
      </c>
      <c r="Z19" s="4">
        <f t="shared" ref="Z19:Z22" si="36">$U$20*$S$18/$R$18</f>
        <v>3.6</v>
      </c>
      <c r="AA19" s="4">
        <f t="shared" ref="AA19:AA22" si="37">$T$21*$V19</f>
        <v>1.9139999999999999</v>
      </c>
      <c r="AB19" s="4">
        <f t="shared" ref="AB19:AB22" si="38">$U$21*$S$18/$R$18</f>
        <v>9</v>
      </c>
      <c r="AC19" s="4">
        <f t="shared" ref="AC19:AC22" si="39">$T$22*$V19</f>
        <v>2.61</v>
      </c>
      <c r="AD19" s="4">
        <f t="shared" ref="AD19:AD22" si="40">$U$22*$S$18/$R$18</f>
        <v>36</v>
      </c>
      <c r="AG19" s="25">
        <v>10.811999999999999</v>
      </c>
      <c r="AH19" s="25">
        <v>48.262500000000003</v>
      </c>
      <c r="AI19" s="25">
        <v>6.1800000000000006</v>
      </c>
      <c r="AJ19" s="25">
        <v>48.262500000000003</v>
      </c>
      <c r="AK19" s="25">
        <v>3.24</v>
      </c>
      <c r="AL19" s="25">
        <v>48.262500000000003</v>
      </c>
      <c r="AM19" s="25">
        <v>4.26</v>
      </c>
      <c r="AN19" s="25">
        <v>48.262500000000003</v>
      </c>
      <c r="AO19" s="25">
        <v>6.3</v>
      </c>
      <c r="AP19" s="25">
        <v>48.262500000000003</v>
      </c>
    </row>
    <row r="20" spans="2:42" x14ac:dyDescent="0.3">
      <c r="B20" s="3"/>
      <c r="C20" s="1"/>
      <c r="D20" s="1"/>
      <c r="E20" s="1"/>
      <c r="F20" s="2"/>
      <c r="P20" s="3"/>
      <c r="Q20" s="1" t="s">
        <v>19</v>
      </c>
      <c r="R20" s="31"/>
      <c r="S20" s="31"/>
      <c r="T20" s="1">
        <v>0.15</v>
      </c>
      <c r="U20" s="1">
        <v>1</v>
      </c>
      <c r="V20" s="8">
        <v>5.27</v>
      </c>
      <c r="W20" s="4">
        <f t="shared" si="33"/>
        <v>5.2699999999999997E-2</v>
      </c>
      <c r="X20" s="12">
        <f t="shared" si="34"/>
        <v>0</v>
      </c>
      <c r="Y20" s="4">
        <f t="shared" si="35"/>
        <v>0.79049999999999987</v>
      </c>
      <c r="Z20" s="4">
        <f t="shared" si="36"/>
        <v>3.6</v>
      </c>
      <c r="AA20" s="4">
        <f t="shared" si="37"/>
        <v>1.1594</v>
      </c>
      <c r="AB20" s="4">
        <f t="shared" si="38"/>
        <v>9</v>
      </c>
      <c r="AC20" s="4">
        <f t="shared" si="39"/>
        <v>1.5809999999999997</v>
      </c>
      <c r="AD20" s="4">
        <f t="shared" si="40"/>
        <v>36</v>
      </c>
    </row>
    <row r="21" spans="2:42" x14ac:dyDescent="0.3">
      <c r="B21" s="3"/>
      <c r="C21" s="1"/>
      <c r="D21" s="1"/>
      <c r="E21" s="1"/>
      <c r="F21" s="2"/>
      <c r="P21" s="3"/>
      <c r="Q21" s="1" t="s">
        <v>20</v>
      </c>
      <c r="R21" s="31"/>
      <c r="S21" s="31"/>
      <c r="T21" s="1">
        <v>0.22</v>
      </c>
      <c r="U21" s="1">
        <v>2.5</v>
      </c>
      <c r="V21" s="8">
        <v>6.19</v>
      </c>
      <c r="W21" s="4">
        <f t="shared" si="33"/>
        <v>6.1900000000000004E-2</v>
      </c>
      <c r="X21" s="12">
        <f t="shared" si="34"/>
        <v>0</v>
      </c>
      <c r="Y21" s="4">
        <f t="shared" si="35"/>
        <v>0.92849999999999999</v>
      </c>
      <c r="Z21" s="4">
        <f t="shared" si="36"/>
        <v>3.6</v>
      </c>
      <c r="AA21" s="4">
        <f t="shared" si="37"/>
        <v>1.3618000000000001</v>
      </c>
      <c r="AB21" s="4">
        <f t="shared" si="38"/>
        <v>9</v>
      </c>
      <c r="AC21" s="4">
        <f t="shared" si="39"/>
        <v>1.857</v>
      </c>
      <c r="AD21" s="4">
        <f t="shared" si="40"/>
        <v>36</v>
      </c>
    </row>
    <row r="22" spans="2:42" x14ac:dyDescent="0.3">
      <c r="B22" s="3"/>
      <c r="C22" s="1"/>
      <c r="D22" s="1"/>
      <c r="E22" s="1"/>
      <c r="F22" s="2"/>
      <c r="P22" s="3"/>
      <c r="Q22" s="1" t="s">
        <v>21</v>
      </c>
      <c r="R22" s="31"/>
      <c r="S22" s="31"/>
      <c r="T22" s="1">
        <v>0.3</v>
      </c>
      <c r="U22" s="1">
        <v>10</v>
      </c>
      <c r="V22" s="8">
        <v>5.19</v>
      </c>
      <c r="W22" s="4">
        <f t="shared" si="33"/>
        <v>5.1900000000000002E-2</v>
      </c>
      <c r="X22" s="12">
        <f t="shared" si="34"/>
        <v>0</v>
      </c>
      <c r="Y22" s="4">
        <f t="shared" si="35"/>
        <v>0.77850000000000008</v>
      </c>
      <c r="Z22" s="4">
        <f t="shared" si="36"/>
        <v>3.6</v>
      </c>
      <c r="AA22" s="4">
        <f t="shared" si="37"/>
        <v>1.1418000000000001</v>
      </c>
      <c r="AB22" s="4">
        <f t="shared" si="38"/>
        <v>9</v>
      </c>
      <c r="AC22" s="4">
        <f t="shared" si="39"/>
        <v>1.5570000000000002</v>
      </c>
      <c r="AD22" s="4">
        <f t="shared" si="40"/>
        <v>36</v>
      </c>
      <c r="AG22" s="30" t="s">
        <v>50</v>
      </c>
      <c r="AH22" s="30"/>
      <c r="AI22" s="30"/>
      <c r="AJ22" s="30"/>
      <c r="AK22" s="30"/>
      <c r="AL22" s="30"/>
      <c r="AM22" s="30"/>
      <c r="AN22" s="30"/>
      <c r="AO22" s="30"/>
      <c r="AP22" s="30"/>
    </row>
    <row r="23" spans="2:42" x14ac:dyDescent="0.3">
      <c r="B23" s="3" t="s">
        <v>30</v>
      </c>
      <c r="C23" s="1" t="s">
        <v>28</v>
      </c>
      <c r="D23" s="1">
        <v>9</v>
      </c>
      <c r="E23" s="1">
        <v>24</v>
      </c>
      <c r="F23" s="2" t="s">
        <v>28</v>
      </c>
      <c r="P23" s="3" t="s">
        <v>30</v>
      </c>
      <c r="Q23" s="1" t="s">
        <v>28</v>
      </c>
      <c r="R23" s="1">
        <v>9</v>
      </c>
      <c r="S23" s="1">
        <v>24</v>
      </c>
      <c r="T23" s="32" t="s">
        <v>28</v>
      </c>
      <c r="U23" s="32"/>
      <c r="V23" s="9"/>
      <c r="W23" s="11"/>
      <c r="X23" s="13"/>
      <c r="Y23" s="11"/>
      <c r="Z23" s="11"/>
      <c r="AA23" s="11"/>
      <c r="AB23" s="11"/>
      <c r="AC23" s="11"/>
      <c r="AD23" s="11"/>
      <c r="AG23" s="29" t="s">
        <v>16</v>
      </c>
      <c r="AH23" s="29"/>
      <c r="AI23" s="29" t="s">
        <v>18</v>
      </c>
      <c r="AJ23" s="29"/>
      <c r="AK23" s="29" t="s">
        <v>19</v>
      </c>
      <c r="AL23" s="29"/>
      <c r="AM23" s="29" t="s">
        <v>20</v>
      </c>
      <c r="AN23" s="29"/>
      <c r="AO23" s="29" t="s">
        <v>21</v>
      </c>
      <c r="AP23" s="29"/>
    </row>
    <row r="24" spans="2:42" ht="29.25" customHeight="1" x14ac:dyDescent="0.3">
      <c r="B24" s="3" t="s">
        <v>31</v>
      </c>
      <c r="C24" s="1" t="s">
        <v>28</v>
      </c>
      <c r="D24" s="1">
        <v>6</v>
      </c>
      <c r="E24" s="1">
        <v>36</v>
      </c>
      <c r="F24" s="2" t="s">
        <v>32</v>
      </c>
      <c r="P24" s="3" t="s">
        <v>31</v>
      </c>
      <c r="Q24" s="1" t="s">
        <v>28</v>
      </c>
      <c r="R24" s="1">
        <v>6</v>
      </c>
      <c r="S24" s="1">
        <v>36</v>
      </c>
      <c r="T24" s="32" t="s">
        <v>28</v>
      </c>
      <c r="U24" s="32"/>
      <c r="V24" s="9"/>
      <c r="W24" s="11"/>
      <c r="X24" s="13"/>
      <c r="Y24" s="11"/>
      <c r="Z24" s="11"/>
      <c r="AA24" s="11"/>
      <c r="AB24" s="11"/>
      <c r="AC24" s="11"/>
      <c r="AD24" s="11"/>
      <c r="AG24" s="25" t="s">
        <v>45</v>
      </c>
      <c r="AH24" s="25" t="s">
        <v>46</v>
      </c>
      <c r="AI24" s="25" t="s">
        <v>45</v>
      </c>
      <c r="AJ24" s="25" t="s">
        <v>46</v>
      </c>
      <c r="AK24" s="25" t="s">
        <v>45</v>
      </c>
      <c r="AL24" s="25" t="s">
        <v>46</v>
      </c>
      <c r="AM24" s="25" t="s">
        <v>45</v>
      </c>
      <c r="AN24" s="25" t="s">
        <v>46</v>
      </c>
      <c r="AO24" s="25" t="s">
        <v>45</v>
      </c>
      <c r="AP24" s="25" t="s">
        <v>46</v>
      </c>
    </row>
    <row r="25" spans="2:42" ht="30" customHeight="1" x14ac:dyDescent="0.3">
      <c r="B25" s="3" t="s">
        <v>33</v>
      </c>
      <c r="C25" s="1" t="s">
        <v>16</v>
      </c>
      <c r="D25" s="31">
        <v>5</v>
      </c>
      <c r="E25" s="31">
        <v>84.2</v>
      </c>
      <c r="F25" s="32" t="s">
        <v>34</v>
      </c>
      <c r="G25" s="1">
        <v>20.9</v>
      </c>
      <c r="H25" s="4">
        <f>0.062*G25</f>
        <v>1.2957999999999998</v>
      </c>
      <c r="I25" s="4">
        <f>((15*$E$25/G25)*H25)/$D$25</f>
        <v>15.661199999999999</v>
      </c>
      <c r="J25" s="4">
        <f>G25</f>
        <v>20.9</v>
      </c>
      <c r="K25" s="4">
        <f>((19.5/$D$25*$E$25/G25)*(J25-H25)+I25)</f>
        <v>323.68164000000002</v>
      </c>
      <c r="P25" s="3" t="s">
        <v>33</v>
      </c>
      <c r="Q25" s="1" t="s">
        <v>16</v>
      </c>
      <c r="R25" s="31">
        <v>5</v>
      </c>
      <c r="S25" s="31">
        <v>84.2</v>
      </c>
      <c r="T25" s="1" t="s">
        <v>39</v>
      </c>
      <c r="U25" s="1" t="s">
        <v>40</v>
      </c>
      <c r="V25" s="8">
        <v>20.9</v>
      </c>
      <c r="W25" s="4">
        <f>$T$26*$V25</f>
        <v>0.20899999999999999</v>
      </c>
      <c r="X25" s="12">
        <f>$U$26*$S$25/$R$25</f>
        <v>0</v>
      </c>
      <c r="Y25" s="4">
        <f>$T$27*$V25</f>
        <v>7.3149999999999986</v>
      </c>
      <c r="Z25" s="4">
        <f>$U$27*$S$25/$R$25</f>
        <v>16.84</v>
      </c>
      <c r="AA25" s="4">
        <f>$T$28*$V25</f>
        <v>9.4049999999999994</v>
      </c>
      <c r="AB25" s="4">
        <f>$U$28*$S$25/$R$25</f>
        <v>42.1</v>
      </c>
      <c r="AC25" s="4">
        <f>$T$29*$V25</f>
        <v>12.121999999999998</v>
      </c>
      <c r="AD25" s="4">
        <f>$U$29*$S$25/$R$25</f>
        <v>168.4</v>
      </c>
      <c r="AG25" s="25">
        <v>0.17800000000000002</v>
      </c>
      <c r="AH25" s="25">
        <v>0</v>
      </c>
      <c r="AI25" s="25">
        <v>0.21300000000000002</v>
      </c>
      <c r="AJ25" s="25">
        <v>0</v>
      </c>
      <c r="AK25" s="25">
        <v>0.19850000000000001</v>
      </c>
      <c r="AL25" s="25">
        <v>0</v>
      </c>
      <c r="AM25" s="25">
        <v>0.2084</v>
      </c>
      <c r="AN25" s="25">
        <v>0</v>
      </c>
      <c r="AO25" s="25">
        <v>0.1966</v>
      </c>
      <c r="AP25" s="25">
        <v>0</v>
      </c>
    </row>
    <row r="26" spans="2:42" x14ac:dyDescent="0.3">
      <c r="C26" s="1" t="s">
        <v>18</v>
      </c>
      <c r="D26" s="31"/>
      <c r="E26" s="31"/>
      <c r="F26" s="32"/>
      <c r="G26" s="1">
        <v>17.7</v>
      </c>
      <c r="H26" s="4">
        <f t="shared" ref="H26:H29" si="41">0.062*G26</f>
        <v>1.0973999999999999</v>
      </c>
      <c r="I26" s="4">
        <f>((15*$E$25/G26)*H26)/$D$25</f>
        <v>15.661199999999999</v>
      </c>
      <c r="J26" s="4">
        <f t="shared" ref="J26:J29" si="42">G26</f>
        <v>17.7</v>
      </c>
      <c r="K26" s="4">
        <f>((19.5/$D$25*$E$25/G26)*(J26-H26)+I26)</f>
        <v>323.68163999999996</v>
      </c>
      <c r="Q26" s="1" t="s">
        <v>18</v>
      </c>
      <c r="R26" s="31"/>
      <c r="S26" s="31"/>
      <c r="T26" s="1">
        <v>0.01</v>
      </c>
      <c r="U26" s="2">
        <v>0</v>
      </c>
      <c r="V26" s="8">
        <v>17.7</v>
      </c>
      <c r="W26" s="4">
        <f t="shared" ref="W26:W29" si="43">$T$26*$V26</f>
        <v>0.17699999999999999</v>
      </c>
      <c r="X26" s="12">
        <f t="shared" ref="X26:X29" si="44">$U$26*$S$25/$R$25</f>
        <v>0</v>
      </c>
      <c r="Y26" s="4">
        <f t="shared" ref="Y26:Y29" si="45">$T$27*$V26</f>
        <v>6.1949999999999994</v>
      </c>
      <c r="Z26" s="4">
        <f t="shared" ref="Z26:Z29" si="46">$U$27*$S$25/$R$25</f>
        <v>16.84</v>
      </c>
      <c r="AA26" s="4">
        <f t="shared" ref="AA26:AA29" si="47">$T$28*$V26</f>
        <v>7.9649999999999999</v>
      </c>
      <c r="AB26" s="4">
        <f t="shared" ref="AB26:AB29" si="48">$U$28*$S$25/$R$25</f>
        <v>42.1</v>
      </c>
      <c r="AC26" s="4">
        <f t="shared" ref="AC26:AC29" si="49">$T$29*$V26</f>
        <v>10.265999999999998</v>
      </c>
      <c r="AD26" s="4">
        <f t="shared" ref="AD26:AD29" si="50">$U$29*$S$25/$R$25</f>
        <v>168.4</v>
      </c>
      <c r="AG26" s="25">
        <v>2.67</v>
      </c>
      <c r="AH26" s="25">
        <v>3</v>
      </c>
      <c r="AI26" s="25">
        <v>3.1949999999999998</v>
      </c>
      <c r="AJ26" s="25">
        <v>3</v>
      </c>
      <c r="AK26" s="25">
        <v>2.9775</v>
      </c>
      <c r="AL26" s="25">
        <v>3</v>
      </c>
      <c r="AM26" s="25">
        <v>3.1259999999999999</v>
      </c>
      <c r="AN26" s="25">
        <v>3</v>
      </c>
      <c r="AO26" s="25">
        <v>2.9489999999999998</v>
      </c>
      <c r="AP26" s="25">
        <v>3</v>
      </c>
    </row>
    <row r="27" spans="2:42" x14ac:dyDescent="0.3">
      <c r="C27" s="1" t="s">
        <v>19</v>
      </c>
      <c r="D27" s="31"/>
      <c r="E27" s="31"/>
      <c r="F27" s="32"/>
      <c r="G27" s="1">
        <v>9.01</v>
      </c>
      <c r="H27" s="4">
        <f t="shared" si="41"/>
        <v>0.55862000000000001</v>
      </c>
      <c r="I27" s="1">
        <f>((15*$E$25/G27)*H27)/$D$25</f>
        <v>15.661199999999999</v>
      </c>
      <c r="J27" s="1">
        <f t="shared" si="42"/>
        <v>9.01</v>
      </c>
      <c r="K27" s="4">
        <f>((19.5/$D$25*$E$25/G27)*(J27-H27)+I27)</f>
        <v>323.68164000000007</v>
      </c>
      <c r="Q27" s="1" t="s">
        <v>19</v>
      </c>
      <c r="R27" s="31"/>
      <c r="S27" s="31"/>
      <c r="T27" s="1">
        <v>0.35</v>
      </c>
      <c r="U27" s="2">
        <v>1</v>
      </c>
      <c r="V27" s="8">
        <v>9.01</v>
      </c>
      <c r="W27" s="4">
        <f t="shared" si="43"/>
        <v>9.01E-2</v>
      </c>
      <c r="X27" s="12">
        <f t="shared" si="44"/>
        <v>0</v>
      </c>
      <c r="Y27" s="4">
        <f t="shared" si="45"/>
        <v>3.1534999999999997</v>
      </c>
      <c r="Z27" s="4">
        <f t="shared" si="46"/>
        <v>16.84</v>
      </c>
      <c r="AA27" s="4">
        <f t="shared" si="47"/>
        <v>4.0545</v>
      </c>
      <c r="AB27" s="4">
        <f t="shared" si="48"/>
        <v>42.1</v>
      </c>
      <c r="AC27" s="4">
        <f t="shared" si="49"/>
        <v>5.2257999999999996</v>
      </c>
      <c r="AD27" s="4">
        <f t="shared" si="50"/>
        <v>168.4</v>
      </c>
      <c r="AG27" s="25">
        <v>3.9160000000000004</v>
      </c>
      <c r="AH27" s="25">
        <v>7.5</v>
      </c>
      <c r="AI27" s="25">
        <v>4.6859999999999999</v>
      </c>
      <c r="AJ27" s="25">
        <v>7.5</v>
      </c>
      <c r="AK27" s="25">
        <v>4.367</v>
      </c>
      <c r="AL27" s="25">
        <v>7.5</v>
      </c>
      <c r="AM27" s="25">
        <v>4.5848000000000004</v>
      </c>
      <c r="AN27" s="25">
        <v>7.5</v>
      </c>
      <c r="AO27" s="25">
        <v>4.3251999999999997</v>
      </c>
      <c r="AP27" s="25">
        <v>7.5</v>
      </c>
    </row>
    <row r="28" spans="2:42" x14ac:dyDescent="0.3">
      <c r="C28" s="1" t="s">
        <v>20</v>
      </c>
      <c r="D28" s="31"/>
      <c r="E28" s="31"/>
      <c r="F28" s="32"/>
      <c r="G28" s="1">
        <v>8.8000000000000007</v>
      </c>
      <c r="H28" s="4">
        <f t="shared" si="41"/>
        <v>0.54560000000000008</v>
      </c>
      <c r="I28" s="1">
        <f>((15*$E$25/G28)*H28)/$D$25</f>
        <v>15.661199999999999</v>
      </c>
      <c r="J28" s="1">
        <f t="shared" si="42"/>
        <v>8.8000000000000007</v>
      </c>
      <c r="K28" s="4">
        <f>((19.5/$D$25*$E$25/G28)*(J28-H28)+I28)</f>
        <v>323.68164000000002</v>
      </c>
      <c r="Q28" s="1" t="s">
        <v>20</v>
      </c>
      <c r="R28" s="31"/>
      <c r="S28" s="31"/>
      <c r="T28" s="1">
        <v>0.45</v>
      </c>
      <c r="U28" s="2">
        <v>2.5</v>
      </c>
      <c r="V28" s="8">
        <v>8.8000000000000007</v>
      </c>
      <c r="W28" s="4">
        <f t="shared" si="43"/>
        <v>8.8000000000000009E-2</v>
      </c>
      <c r="X28" s="12">
        <f t="shared" si="44"/>
        <v>0</v>
      </c>
      <c r="Y28" s="4">
        <f t="shared" si="45"/>
        <v>3.08</v>
      </c>
      <c r="Z28" s="4">
        <f t="shared" si="46"/>
        <v>16.84</v>
      </c>
      <c r="AA28" s="4">
        <f t="shared" si="47"/>
        <v>3.9600000000000004</v>
      </c>
      <c r="AB28" s="4">
        <f t="shared" si="48"/>
        <v>42.1</v>
      </c>
      <c r="AC28" s="4">
        <f t="shared" si="49"/>
        <v>5.1040000000000001</v>
      </c>
      <c r="AD28" s="4">
        <f t="shared" si="50"/>
        <v>168.4</v>
      </c>
      <c r="AG28" s="25">
        <v>5.34</v>
      </c>
      <c r="AH28" s="25">
        <v>30</v>
      </c>
      <c r="AI28" s="25">
        <v>6.39</v>
      </c>
      <c r="AJ28" s="25">
        <v>30</v>
      </c>
      <c r="AK28" s="25">
        <v>5.9550000000000001</v>
      </c>
      <c r="AL28" s="25">
        <v>30</v>
      </c>
      <c r="AM28" s="25">
        <v>6.2519999999999998</v>
      </c>
      <c r="AN28" s="25">
        <v>30</v>
      </c>
      <c r="AO28" s="25">
        <v>5.8979999999999997</v>
      </c>
      <c r="AP28" s="25">
        <v>30</v>
      </c>
    </row>
    <row r="29" spans="2:42" x14ac:dyDescent="0.3">
      <c r="C29" s="1" t="s">
        <v>21</v>
      </c>
      <c r="D29" s="31"/>
      <c r="E29" s="31"/>
      <c r="F29" s="32"/>
      <c r="G29" s="1">
        <v>11.5</v>
      </c>
      <c r="H29" s="4">
        <f t="shared" si="41"/>
        <v>0.71299999999999997</v>
      </c>
      <c r="I29" s="1">
        <f>((15*$E$25/G29)*H29)/$D$25</f>
        <v>15.661199999999999</v>
      </c>
      <c r="J29" s="1">
        <f t="shared" si="42"/>
        <v>11.5</v>
      </c>
      <c r="K29" s="4">
        <f>((19.5/$D$25*$E$25/G29)*(J29-H29)+I29)</f>
        <v>323.68164000000002</v>
      </c>
      <c r="Q29" s="1" t="s">
        <v>21</v>
      </c>
      <c r="R29" s="31"/>
      <c r="S29" s="31"/>
      <c r="T29" s="1">
        <v>0.57999999999999996</v>
      </c>
      <c r="U29" s="2">
        <v>10</v>
      </c>
      <c r="V29" s="8">
        <v>11.5</v>
      </c>
      <c r="W29" s="4">
        <f t="shared" si="43"/>
        <v>0.115</v>
      </c>
      <c r="X29" s="12">
        <f t="shared" si="44"/>
        <v>0</v>
      </c>
      <c r="Y29" s="4">
        <f t="shared" si="45"/>
        <v>4.0249999999999995</v>
      </c>
      <c r="Z29" s="4">
        <f t="shared" si="46"/>
        <v>16.84</v>
      </c>
      <c r="AA29" s="4">
        <f t="shared" si="47"/>
        <v>5.1749999999999998</v>
      </c>
      <c r="AB29" s="4">
        <f t="shared" si="48"/>
        <v>42.1</v>
      </c>
      <c r="AC29" s="4">
        <f t="shared" si="49"/>
        <v>6.67</v>
      </c>
      <c r="AD29" s="4">
        <f t="shared" si="50"/>
        <v>168.4</v>
      </c>
    </row>
    <row r="30" spans="2:42" x14ac:dyDescent="0.3">
      <c r="B30" s="3" t="s">
        <v>35</v>
      </c>
      <c r="C30" s="1" t="s">
        <v>16</v>
      </c>
      <c r="D30" s="1">
        <v>2</v>
      </c>
      <c r="E30" s="1">
        <f>4*18</f>
        <v>72</v>
      </c>
      <c r="F30" s="2" t="s">
        <v>36</v>
      </c>
      <c r="G30" s="1">
        <v>30.9</v>
      </c>
      <c r="H30" s="4">
        <f>G30</f>
        <v>30.9</v>
      </c>
      <c r="I30" s="1">
        <f>((397*$E$30/G30)*H30)/$D$30</f>
        <v>14292</v>
      </c>
      <c r="J30" s="1"/>
      <c r="K30" s="4"/>
      <c r="P30" s="3" t="s">
        <v>35</v>
      </c>
      <c r="Q30" s="1" t="s">
        <v>16</v>
      </c>
      <c r="R30" s="1">
        <v>2</v>
      </c>
      <c r="S30" s="1">
        <f>4*18</f>
        <v>72</v>
      </c>
      <c r="T30" s="1"/>
      <c r="U30" s="2" t="s">
        <v>36</v>
      </c>
      <c r="V30" s="8">
        <v>30.9</v>
      </c>
      <c r="W30" s="4">
        <f>0.01*V30</f>
        <v>0.309</v>
      </c>
      <c r="X30" s="12">
        <v>0</v>
      </c>
      <c r="Y30" s="4">
        <f>V30</f>
        <v>30.9</v>
      </c>
      <c r="Z30" s="4">
        <f>((397*$S$30/V30)*Y30)/$R$30</f>
        <v>14292</v>
      </c>
      <c r="AA30" s="11"/>
      <c r="AB30" s="11"/>
      <c r="AC30" s="11"/>
      <c r="AD30" s="11"/>
    </row>
    <row r="31" spans="2:42" x14ac:dyDescent="0.3">
      <c r="B31" s="6" t="s">
        <v>37</v>
      </c>
      <c r="C31" s="1" t="s">
        <v>38</v>
      </c>
      <c r="D31" s="1">
        <v>2</v>
      </c>
      <c r="E31" s="1">
        <f>4*18</f>
        <v>72</v>
      </c>
      <c r="F31" s="2" t="s">
        <v>36</v>
      </c>
      <c r="G31" s="1">
        <v>26.7</v>
      </c>
      <c r="H31" s="4">
        <f>G31</f>
        <v>26.7</v>
      </c>
      <c r="I31" s="1">
        <f>((397*$E$31/G31)*H31)/$D$31</f>
        <v>14292</v>
      </c>
      <c r="P31" s="6" t="s">
        <v>37</v>
      </c>
      <c r="Q31" s="1" t="s">
        <v>38</v>
      </c>
      <c r="R31" s="1">
        <v>2</v>
      </c>
      <c r="S31" s="1">
        <f>4*18</f>
        <v>72</v>
      </c>
      <c r="T31" s="1"/>
      <c r="U31" s="2" t="s">
        <v>36</v>
      </c>
      <c r="V31" s="10">
        <v>26.7</v>
      </c>
      <c r="W31" s="4">
        <f>0.01*V31</f>
        <v>0.26700000000000002</v>
      </c>
      <c r="X31" s="12">
        <v>0</v>
      </c>
      <c r="Y31" s="4">
        <f>V31</f>
        <v>26.7</v>
      </c>
      <c r="Z31" s="4">
        <f>((397*$S$31/V31)*Y31)/$R$31</f>
        <v>14292</v>
      </c>
      <c r="AA31" s="11"/>
      <c r="AB31" s="11"/>
      <c r="AC31" s="11"/>
      <c r="AD31" s="11"/>
    </row>
    <row r="32" spans="2:42" x14ac:dyDescent="0.3">
      <c r="D32" s="3"/>
      <c r="E32" s="3"/>
      <c r="F32" s="5"/>
    </row>
    <row r="33" spans="4:38" x14ac:dyDescent="0.3">
      <c r="D33" s="3"/>
      <c r="E33" s="3"/>
      <c r="F33" s="5"/>
    </row>
    <row r="34" spans="4:38" x14ac:dyDescent="0.3">
      <c r="D34" s="3"/>
      <c r="E34" s="3"/>
      <c r="F34" s="5"/>
    </row>
    <row r="35" spans="4:38" x14ac:dyDescent="0.3">
      <c r="AF35" s="36"/>
      <c r="AG35" s="37"/>
      <c r="AH35" s="37"/>
      <c r="AI35" s="37"/>
      <c r="AJ35" s="37"/>
      <c r="AK35" s="37"/>
      <c r="AL35" s="38"/>
    </row>
    <row r="36" spans="4:38" x14ac:dyDescent="0.3">
      <c r="AF36" s="39"/>
      <c r="AG36" s="40" t="s">
        <v>51</v>
      </c>
      <c r="AH36" s="40"/>
      <c r="AI36" s="40"/>
      <c r="AJ36" s="40"/>
      <c r="AK36" s="40"/>
      <c r="AL36" s="41"/>
    </row>
    <row r="37" spans="4:38" ht="43.2" x14ac:dyDescent="0.3">
      <c r="AF37" s="39"/>
      <c r="AG37" s="40" t="s">
        <v>5</v>
      </c>
      <c r="AH37" s="42" t="s">
        <v>55</v>
      </c>
      <c r="AI37" s="40" t="s">
        <v>60</v>
      </c>
      <c r="AJ37" s="40" t="s">
        <v>59</v>
      </c>
      <c r="AK37" s="40"/>
      <c r="AL37" s="41"/>
    </row>
    <row r="38" spans="4:38" ht="28.8" x14ac:dyDescent="0.3">
      <c r="AF38" s="39"/>
      <c r="AG38" s="40" t="s">
        <v>53</v>
      </c>
      <c r="AH38" s="43" t="s">
        <v>17</v>
      </c>
      <c r="AI38" s="40">
        <v>30</v>
      </c>
      <c r="AJ38" s="40">
        <v>3</v>
      </c>
      <c r="AK38" s="40"/>
      <c r="AL38" s="41"/>
    </row>
    <row r="39" spans="4:38" ht="27.6" customHeight="1" x14ac:dyDescent="0.3">
      <c r="Q39" s="3"/>
      <c r="AF39" s="39"/>
      <c r="AG39" s="40" t="s">
        <v>52</v>
      </c>
      <c r="AH39" s="43" t="s">
        <v>23</v>
      </c>
      <c r="AI39" s="40">
        <v>40</v>
      </c>
      <c r="AJ39" s="40">
        <v>4</v>
      </c>
      <c r="AK39" s="40"/>
      <c r="AL39" s="41"/>
    </row>
    <row r="40" spans="4:38" ht="27" customHeight="1" x14ac:dyDescent="0.3">
      <c r="Q40" s="3"/>
      <c r="AF40" s="39"/>
      <c r="AG40" s="40" t="s">
        <v>54</v>
      </c>
      <c r="AH40" s="43" t="s">
        <v>25</v>
      </c>
      <c r="AI40" s="40" t="s">
        <v>57</v>
      </c>
      <c r="AJ40" s="40" t="s">
        <v>58</v>
      </c>
      <c r="AK40" s="40"/>
      <c r="AL40" s="41"/>
    </row>
    <row r="41" spans="4:38" x14ac:dyDescent="0.3">
      <c r="Q41" s="3"/>
      <c r="AF41" s="39"/>
      <c r="AG41" s="40" t="s">
        <v>56</v>
      </c>
      <c r="AH41" s="43"/>
      <c r="AI41" s="40"/>
      <c r="AJ41" s="40"/>
      <c r="AK41" s="40"/>
      <c r="AL41" s="41"/>
    </row>
    <row r="42" spans="4:38" x14ac:dyDescent="0.3">
      <c r="AF42" s="44"/>
      <c r="AG42" s="45"/>
      <c r="AH42" s="46"/>
      <c r="AI42" s="45"/>
      <c r="AJ42" s="45"/>
      <c r="AK42" s="45"/>
      <c r="AL42" s="47"/>
    </row>
    <row r="43" spans="4:38" x14ac:dyDescent="0.3">
      <c r="AH43" s="5"/>
    </row>
    <row r="44" spans="4:38" x14ac:dyDescent="0.3">
      <c r="AH44" s="5"/>
    </row>
  </sheetData>
  <mergeCells count="43">
    <mergeCell ref="T2:U2"/>
    <mergeCell ref="T23:U23"/>
    <mergeCell ref="T24:U24"/>
    <mergeCell ref="R18:R22"/>
    <mergeCell ref="S18:S22"/>
    <mergeCell ref="S3:S7"/>
    <mergeCell ref="R3:R7"/>
    <mergeCell ref="R8:R12"/>
    <mergeCell ref="S8:S12"/>
    <mergeCell ref="S13:S17"/>
    <mergeCell ref="R13:R17"/>
    <mergeCell ref="F3:F7"/>
    <mergeCell ref="E3:E7"/>
    <mergeCell ref="D3:D7"/>
    <mergeCell ref="D25:D29"/>
    <mergeCell ref="E25:E29"/>
    <mergeCell ref="F25:F29"/>
    <mergeCell ref="D8:D12"/>
    <mergeCell ref="E8:E12"/>
    <mergeCell ref="F8:F12"/>
    <mergeCell ref="D13:D17"/>
    <mergeCell ref="E13:E17"/>
    <mergeCell ref="F13:F17"/>
    <mergeCell ref="R25:R29"/>
    <mergeCell ref="S25:S29"/>
    <mergeCell ref="AG14:AH14"/>
    <mergeCell ref="AI14:AJ14"/>
    <mergeCell ref="AK14:AL14"/>
    <mergeCell ref="AG22:AP22"/>
    <mergeCell ref="AG23:AH23"/>
    <mergeCell ref="AI23:AJ23"/>
    <mergeCell ref="AK23:AL23"/>
    <mergeCell ref="AM23:AN23"/>
    <mergeCell ref="AO23:AP23"/>
    <mergeCell ref="AM14:AN14"/>
    <mergeCell ref="AO14:AP14"/>
    <mergeCell ref="AG13:AP13"/>
    <mergeCell ref="AG2:AP2"/>
    <mergeCell ref="AG3:AH3"/>
    <mergeCell ref="AI3:AJ3"/>
    <mergeCell ref="AK3:AL3"/>
    <mergeCell ref="AM3:AN3"/>
    <mergeCell ref="AO3:AP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Murray</dc:creator>
  <cp:keywords/>
  <dc:description/>
  <cp:lastModifiedBy>Siril Dukkipati</cp:lastModifiedBy>
  <cp:revision/>
  <dcterms:created xsi:type="dcterms:W3CDTF">2024-04-13T03:23:25Z</dcterms:created>
  <dcterms:modified xsi:type="dcterms:W3CDTF">2024-05-16T00:14:39Z</dcterms:modified>
  <cp:category/>
  <cp:contentStatus/>
</cp:coreProperties>
</file>