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v\Downloads\magang_res_cloned\data_suhu\oktober\"/>
    </mc:Choice>
  </mc:AlternateContent>
  <xr:revisionPtr revIDLastSave="0" documentId="13_ncr:1_{42EFB830-F479-4680-8237-399A57C600A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emplate" sheetId="2" r:id="rId1"/>
  </sheets>
  <calcPr calcId="191029"/>
</workbook>
</file>

<file path=xl/calcChain.xml><?xml version="1.0" encoding="utf-8"?>
<calcChain xmlns="http://schemas.openxmlformats.org/spreadsheetml/2006/main">
  <c r="AZ13" i="2" l="1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AZ52" i="2"/>
  <c r="AZ53" i="2"/>
  <c r="AZ54" i="2"/>
  <c r="AZ55" i="2"/>
  <c r="AZ56" i="2"/>
  <c r="AZ57" i="2"/>
  <c r="AZ58" i="2"/>
  <c r="AZ59" i="2"/>
  <c r="AZ60" i="2"/>
  <c r="AZ61" i="2"/>
  <c r="AZ62" i="2"/>
  <c r="AZ63" i="2"/>
  <c r="AZ64" i="2"/>
  <c r="AZ65" i="2"/>
  <c r="AZ66" i="2"/>
  <c r="AZ67" i="2"/>
  <c r="AZ68" i="2"/>
  <c r="AZ69" i="2"/>
  <c r="AZ70" i="2"/>
  <c r="AZ71" i="2"/>
  <c r="AZ72" i="2"/>
  <c r="AZ73" i="2"/>
  <c r="AZ74" i="2"/>
  <c r="AZ75" i="2"/>
  <c r="AZ76" i="2"/>
  <c r="AZ77" i="2"/>
  <c r="AZ78" i="2"/>
  <c r="AZ79" i="2"/>
  <c r="AZ80" i="2"/>
  <c r="AZ81" i="2"/>
  <c r="AZ82" i="2"/>
  <c r="AZ83" i="2"/>
  <c r="AZ84" i="2"/>
  <c r="AZ85" i="2"/>
  <c r="AZ86" i="2"/>
  <c r="AZ87" i="2"/>
  <c r="AZ88" i="2"/>
  <c r="AZ89" i="2"/>
  <c r="AZ90" i="2"/>
  <c r="AZ91" i="2"/>
  <c r="AZ92" i="2"/>
  <c r="AZ93" i="2"/>
  <c r="AZ94" i="2"/>
  <c r="AZ95" i="2"/>
  <c r="AZ96" i="2"/>
  <c r="AZ12" i="2"/>
  <c r="AR17" i="2" l="1"/>
  <c r="AS17" i="2"/>
  <c r="N17" i="2"/>
  <c r="O17" i="2"/>
  <c r="CC17" i="2"/>
  <c r="W17" i="2"/>
  <c r="X17" i="2"/>
  <c r="CF17" i="2"/>
  <c r="H17" i="2"/>
  <c r="I17" i="2"/>
  <c r="BI17" i="2"/>
  <c r="CK13" i="2" l="1"/>
  <c r="CK14" i="2"/>
  <c r="CK15" i="2"/>
  <c r="CK16" i="2"/>
  <c r="CK12" i="2"/>
  <c r="AL13" i="2"/>
  <c r="AM13" i="2"/>
  <c r="AL14" i="2"/>
  <c r="AM14" i="2"/>
  <c r="AL15" i="2"/>
  <c r="AM15" i="2"/>
  <c r="AL16" i="2"/>
  <c r="AM16" i="2"/>
  <c r="AM12" i="2"/>
  <c r="AL12" i="2"/>
  <c r="AL10" i="2"/>
  <c r="BD13" i="2"/>
  <c r="BD14" i="2"/>
  <c r="BD15" i="2"/>
  <c r="BD16" i="2"/>
  <c r="BD12" i="2"/>
  <c r="BO13" i="2"/>
  <c r="BO14" i="2"/>
  <c r="BO15" i="2"/>
  <c r="BO16" i="2"/>
  <c r="BO12" i="2"/>
  <c r="H13" i="2"/>
  <c r="BE13" i="2" s="1"/>
  <c r="I13" i="2"/>
  <c r="BF13" i="2" s="1"/>
  <c r="K13" i="2"/>
  <c r="L13" i="2"/>
  <c r="N13" i="2"/>
  <c r="O13" i="2"/>
  <c r="Q13" i="2"/>
  <c r="R13" i="2"/>
  <c r="T13" i="2"/>
  <c r="U13" i="2"/>
  <c r="W13" i="2"/>
  <c r="X13" i="2"/>
  <c r="Z13" i="2"/>
  <c r="AA13" i="2"/>
  <c r="AC13" i="2"/>
  <c r="AD13" i="2"/>
  <c r="AF13" i="2"/>
  <c r="AG13" i="2"/>
  <c r="AI13" i="2"/>
  <c r="AJ13" i="2"/>
  <c r="AO13" i="2"/>
  <c r="AP13" i="2"/>
  <c r="AR13" i="2"/>
  <c r="AS13" i="2"/>
  <c r="AU13" i="2"/>
  <c r="AV13" i="2"/>
  <c r="H14" i="2"/>
  <c r="BE14" i="2" s="1"/>
  <c r="I14" i="2"/>
  <c r="K14" i="2"/>
  <c r="L14" i="2"/>
  <c r="N14" i="2"/>
  <c r="O14" i="2"/>
  <c r="BF14" i="2" s="1"/>
  <c r="Q14" i="2"/>
  <c r="R14" i="2"/>
  <c r="T14" i="2"/>
  <c r="U14" i="2"/>
  <c r="W14" i="2"/>
  <c r="X14" i="2"/>
  <c r="Z14" i="2"/>
  <c r="AA14" i="2"/>
  <c r="AC14" i="2"/>
  <c r="AD14" i="2"/>
  <c r="AF14" i="2"/>
  <c r="AG14" i="2"/>
  <c r="AI14" i="2"/>
  <c r="AJ14" i="2"/>
  <c r="AO14" i="2"/>
  <c r="AP14" i="2"/>
  <c r="AR14" i="2"/>
  <c r="AS14" i="2"/>
  <c r="AU14" i="2"/>
  <c r="AV14" i="2"/>
  <c r="H15" i="2"/>
  <c r="BE15" i="2" s="1"/>
  <c r="I15" i="2"/>
  <c r="BF15" i="2" s="1"/>
  <c r="K15" i="2"/>
  <c r="L15" i="2"/>
  <c r="N15" i="2"/>
  <c r="O15" i="2"/>
  <c r="Q15" i="2"/>
  <c r="R15" i="2"/>
  <c r="T15" i="2"/>
  <c r="U15" i="2"/>
  <c r="W15" i="2"/>
  <c r="X15" i="2"/>
  <c r="Z15" i="2"/>
  <c r="AA15" i="2"/>
  <c r="AC15" i="2"/>
  <c r="AD15" i="2"/>
  <c r="AF15" i="2"/>
  <c r="AG15" i="2"/>
  <c r="AI15" i="2"/>
  <c r="AJ15" i="2"/>
  <c r="AO15" i="2"/>
  <c r="AP15" i="2"/>
  <c r="AR15" i="2"/>
  <c r="AS15" i="2"/>
  <c r="AU15" i="2"/>
  <c r="AV15" i="2"/>
  <c r="H16" i="2"/>
  <c r="I16" i="2"/>
  <c r="BF16" i="2" s="1"/>
  <c r="K16" i="2"/>
  <c r="L16" i="2"/>
  <c r="N16" i="2"/>
  <c r="O16" i="2"/>
  <c r="Q16" i="2"/>
  <c r="BE16" i="2" s="1"/>
  <c r="R16" i="2"/>
  <c r="T16" i="2"/>
  <c r="U16" i="2"/>
  <c r="W16" i="2"/>
  <c r="X16" i="2"/>
  <c r="Z16" i="2"/>
  <c r="AA16" i="2"/>
  <c r="AC16" i="2"/>
  <c r="AD16" i="2"/>
  <c r="AF16" i="2"/>
  <c r="AG16" i="2"/>
  <c r="AI16" i="2"/>
  <c r="AJ16" i="2"/>
  <c r="AO16" i="2"/>
  <c r="AP16" i="2"/>
  <c r="AR16" i="2"/>
  <c r="AS16" i="2"/>
  <c r="AU16" i="2"/>
  <c r="AV16" i="2"/>
  <c r="CB13" i="2"/>
  <c r="CL13" i="2" s="1"/>
  <c r="CC13" i="2"/>
  <c r="CD13" i="2"/>
  <c r="CE13" i="2"/>
  <c r="CF13" i="2"/>
  <c r="CG13" i="2"/>
  <c r="CH13" i="2"/>
  <c r="CI13" i="2"/>
  <c r="CJ13" i="2"/>
  <c r="CB14" i="2"/>
  <c r="CL14" i="2" s="1"/>
  <c r="CC14" i="2"/>
  <c r="CD14" i="2"/>
  <c r="CE14" i="2"/>
  <c r="CF14" i="2"/>
  <c r="CG14" i="2"/>
  <c r="CH14" i="2"/>
  <c r="CI14" i="2"/>
  <c r="CJ14" i="2"/>
  <c r="CB15" i="2"/>
  <c r="CL15" i="2" s="1"/>
  <c r="CC15" i="2"/>
  <c r="CD15" i="2"/>
  <c r="CE15" i="2"/>
  <c r="CF15" i="2"/>
  <c r="CG15" i="2"/>
  <c r="CH15" i="2"/>
  <c r="CI15" i="2"/>
  <c r="CJ15" i="2"/>
  <c r="CB16" i="2"/>
  <c r="CL16" i="2" s="1"/>
  <c r="CC16" i="2"/>
  <c r="CD16" i="2"/>
  <c r="CE16" i="2"/>
  <c r="CF16" i="2"/>
  <c r="CG16" i="2"/>
  <c r="CH16" i="2"/>
  <c r="CI16" i="2"/>
  <c r="CJ16" i="2"/>
  <c r="CG12" i="2"/>
  <c r="CE12" i="2"/>
  <c r="CI12" i="2"/>
  <c r="CH12" i="2"/>
  <c r="CF12" i="2"/>
  <c r="CD12" i="2"/>
  <c r="CC12" i="2"/>
  <c r="CB12" i="2"/>
  <c r="CL12" i="2" s="1"/>
  <c r="CJ12" i="2"/>
  <c r="AJ12" i="2"/>
  <c r="AI12" i="2"/>
  <c r="I12" i="2"/>
  <c r="BF12" i="2" s="1"/>
  <c r="H12" i="2"/>
  <c r="BE12" i="2" s="1"/>
  <c r="H10" i="2"/>
  <c r="AV12" i="2"/>
  <c r="AU12" i="2"/>
  <c r="AS12" i="2"/>
  <c r="AR12" i="2"/>
  <c r="AP12" i="2"/>
  <c r="AO12" i="2"/>
  <c r="AG12" i="2"/>
  <c r="AF12" i="2"/>
  <c r="AD12" i="2"/>
  <c r="AC12" i="2"/>
  <c r="AA12" i="2"/>
  <c r="Z12" i="2"/>
  <c r="X12" i="2"/>
  <c r="W12" i="2"/>
  <c r="U12" i="2"/>
  <c r="T12" i="2"/>
  <c r="R12" i="2"/>
  <c r="Q12" i="2"/>
  <c r="O12" i="2"/>
  <c r="N12" i="2"/>
  <c r="L12" i="2"/>
  <c r="K12" i="2"/>
  <c r="AP10" i="2"/>
  <c r="AS10" i="2"/>
  <c r="AV10" i="2"/>
  <c r="BI12" i="2"/>
  <c r="BS12" i="2"/>
  <c r="BT12" i="2" s="1"/>
  <c r="BH12" i="2"/>
  <c r="BH13" i="2"/>
  <c r="BH14" i="2"/>
  <c r="BH15" i="2"/>
  <c r="BH16" i="2"/>
  <c r="B2" i="2"/>
  <c r="BI13" i="2"/>
  <c r="BI14" i="2"/>
  <c r="BI15" i="2"/>
  <c r="BI16" i="2"/>
  <c r="B5" i="2"/>
  <c r="BG16" i="2" l="1"/>
  <c r="BJ16" i="2" s="1"/>
  <c r="BG15" i="2"/>
  <c r="BJ15" i="2" s="1"/>
  <c r="BG14" i="2"/>
  <c r="BJ14" i="2" s="1"/>
  <c r="BG13" i="2"/>
  <c r="BJ13" i="2" s="1"/>
  <c r="CM16" i="2"/>
  <c r="CN16" i="2" s="1"/>
  <c r="CO16" i="2" s="1"/>
  <c r="CQ15" i="2"/>
  <c r="CR15" i="2" s="1"/>
  <c r="CS15" i="2" s="1"/>
  <c r="CQ14" i="2"/>
  <c r="CR14" i="2" s="1"/>
  <c r="CS14" i="2" s="1"/>
  <c r="CQ13" i="2"/>
  <c r="CR13" i="2" s="1"/>
  <c r="CS13" i="2" s="1"/>
  <c r="CQ12" i="2"/>
  <c r="CR12" i="2" s="1"/>
  <c r="CS12" i="2" s="1"/>
  <c r="BG12" i="2"/>
  <c r="BJ12" i="2" s="1"/>
  <c r="BS13" i="2"/>
  <c r="BT13" i="2" s="1"/>
  <c r="BZ14" i="2" l="1"/>
  <c r="CA14" i="2" s="1"/>
  <c r="BK14" i="2"/>
  <c r="BM12" i="2"/>
  <c r="BN12" i="2" s="1"/>
  <c r="BR12" i="2" s="1"/>
  <c r="BU12" i="2" s="1"/>
  <c r="BV12" i="2" s="1"/>
  <c r="BK12" i="2"/>
  <c r="BZ15" i="2"/>
  <c r="CA15" i="2" s="1"/>
  <c r="BK15" i="2"/>
  <c r="BZ13" i="2"/>
  <c r="CA13" i="2" s="1"/>
  <c r="BK13" i="2"/>
  <c r="BM16" i="2"/>
  <c r="BN16" i="2" s="1"/>
  <c r="BP16" i="2" s="1"/>
  <c r="BK16" i="2"/>
  <c r="CQ16" i="2"/>
  <c r="CR16" i="2" s="1"/>
  <c r="CS16" i="2" s="1"/>
  <c r="CM14" i="2"/>
  <c r="CN14" i="2" s="1"/>
  <c r="CP14" i="2" s="1"/>
  <c r="CM12" i="2"/>
  <c r="CN12" i="2" s="1"/>
  <c r="CP12" i="2" s="1"/>
  <c r="CM15" i="2"/>
  <c r="CN15" i="2" s="1"/>
  <c r="CO15" i="2" s="1"/>
  <c r="BZ12" i="2"/>
  <c r="CA12" i="2" s="1"/>
  <c r="CM13" i="2"/>
  <c r="CN13" i="2" s="1"/>
  <c r="CP13" i="2" s="1"/>
  <c r="CP16" i="2"/>
  <c r="BM13" i="2"/>
  <c r="BN13" i="2" s="1"/>
  <c r="BP13" i="2" s="1"/>
  <c r="BM14" i="2"/>
  <c r="BN14" i="2" s="1"/>
  <c r="BM15" i="2"/>
  <c r="BZ16" i="2"/>
  <c r="CA16" i="2" s="1"/>
  <c r="BS14" i="2"/>
  <c r="BT14" i="2" s="1"/>
  <c r="BP12" i="2" l="1"/>
  <c r="CO12" i="2"/>
  <c r="CP15" i="2"/>
  <c r="CO14" i="2"/>
  <c r="CO13" i="2"/>
  <c r="BW12" i="2"/>
  <c r="BN15" i="2"/>
  <c r="BP15" i="2" s="1"/>
  <c r="BR13" i="2"/>
  <c r="BU13" i="2" s="1"/>
  <c r="BV13" i="2" s="1"/>
  <c r="BR14" i="2"/>
  <c r="BP14" i="2"/>
  <c r="BX12" i="2" l="1"/>
  <c r="BW13" i="2"/>
  <c r="BU14" i="2"/>
  <c r="BV14" i="2" s="1"/>
  <c r="BW14" i="2" l="1"/>
  <c r="BW15" i="2" s="1"/>
  <c r="BW16" i="2" s="1"/>
  <c r="BS15" i="2"/>
  <c r="BT15" i="2" s="1"/>
  <c r="BR15" i="2"/>
  <c r="BX13" i="2" l="1"/>
  <c r="BU15" i="2"/>
  <c r="BV15" i="2" s="1"/>
  <c r="BX15" i="2"/>
  <c r="BX14" i="2"/>
  <c r="BS16" i="2" l="1"/>
  <c r="BT16" i="2" s="1"/>
  <c r="BR16" i="2"/>
  <c r="BX16" i="2"/>
  <c r="BU16" i="2" l="1"/>
  <c r="BV16" i="2" s="1"/>
</calcChain>
</file>

<file path=xl/sharedStrings.xml><?xml version="1.0" encoding="utf-8"?>
<sst xmlns="http://schemas.openxmlformats.org/spreadsheetml/2006/main" count="167" uniqueCount="124">
  <si>
    <t>Day</t>
  </si>
  <si>
    <t>Time</t>
  </si>
  <si>
    <t>Zone</t>
  </si>
  <si>
    <t>CL-stand</t>
  </si>
  <si>
    <t>CL-sit</t>
  </si>
  <si>
    <t>num-stand</t>
  </si>
  <si>
    <t>num-sit</t>
  </si>
  <si>
    <t>num-walk</t>
  </si>
  <si>
    <t>CL-walk</t>
  </si>
  <si>
    <t>num-squat</t>
  </si>
  <si>
    <t>CL-squat</t>
  </si>
  <si>
    <t>num-read</t>
  </si>
  <si>
    <t>CL-read</t>
  </si>
  <si>
    <t>num-talk</t>
  </si>
  <si>
    <t>CL-talk</t>
  </si>
  <si>
    <t>num-write</t>
  </si>
  <si>
    <t>CL-write</t>
  </si>
  <si>
    <t>num-computer</t>
  </si>
  <si>
    <t>CL-computer</t>
  </si>
  <si>
    <t>CL-occupant</t>
  </si>
  <si>
    <t>Num-occupant</t>
  </si>
  <si>
    <t>1 horsepower (HP) is equivalent to 745.7 watts (W).</t>
  </si>
  <si>
    <t>CL-zone</t>
  </si>
  <si>
    <t>Activity of Occupant</t>
  </si>
  <si>
    <t>Month</t>
  </si>
  <si>
    <t>Week</t>
  </si>
  <si>
    <t>RPM1</t>
  </si>
  <si>
    <t>RPM2</t>
  </si>
  <si>
    <t>initial of RPM
RPM=1,000</t>
  </si>
  <si>
    <t>Celcius (C)</t>
  </si>
  <si>
    <t>%</t>
  </si>
  <si>
    <t>Pa</t>
  </si>
  <si>
    <t>changes of static pressure
SP2=(RPM2/RPM1)^2 x SP1</t>
  </si>
  <si>
    <t>SP1</t>
  </si>
  <si>
    <t>SP2</t>
  </si>
  <si>
    <t>Airflow1</t>
  </si>
  <si>
    <t>Airflow2</t>
  </si>
  <si>
    <t>changes of RPM
RPM2=(Airflow2/Airflow1) X RPM1</t>
  </si>
  <si>
    <t xml:space="preserve">Percent-VAV-box </t>
  </si>
  <si>
    <t>100-((Airflow1/Airflow2)*100)
IF = 0 THEN 30
units %</t>
  </si>
  <si>
    <t>requirement of airflow (CFM)</t>
  </si>
  <si>
    <t>units watt</t>
  </si>
  <si>
    <t>units Kw</t>
  </si>
  <si>
    <t>initial of hourse power
HP1=5</t>
  </si>
  <si>
    <t>Room 
air-pressure</t>
  </si>
  <si>
    <t>Room 
temperature</t>
  </si>
  <si>
    <t>Room
humidity</t>
  </si>
  <si>
    <t>Watt-default-HP-VAV</t>
  </si>
  <si>
    <t>default of percent VAV box (50%)
const condition=Airflow1 X 2</t>
  </si>
  <si>
    <t>Occupancy Method
20 CFM/person</t>
  </si>
  <si>
    <t>length: 5, width: 5, height: 2, vol= 25 m3
Area + Air Change Method</t>
  </si>
  <si>
    <t xml:space="preserve">Default </t>
  </si>
  <si>
    <t>Max RPM2= RPM1 X 2</t>
  </si>
  <si>
    <t>Capacity</t>
  </si>
  <si>
    <t>Min</t>
  </si>
  <si>
    <t>Volume</t>
  </si>
  <si>
    <t>m3</t>
  </si>
  <si>
    <t>person</t>
  </si>
  <si>
    <t>V</t>
  </si>
  <si>
    <t>CFM person = person X 20</t>
  </si>
  <si>
    <t>initial of static pressure
SP1=Air pressure</t>
  </si>
  <si>
    <t>BHP2</t>
  </si>
  <si>
    <t>BHP1</t>
  </si>
  <si>
    <t>changes of hourse power
BHP2=(RPM2/RPM1)^3 x BHP1</t>
  </si>
  <si>
    <t>Watt-of-BHP1</t>
  </si>
  <si>
    <t>Watt-of-BHP2</t>
  </si>
  <si>
    <t>1 horsepower (BHP) is equivalent to 745.7 watts (W).</t>
  </si>
  <si>
    <t>Vent-Air</t>
  </si>
  <si>
    <t>Qtotal = Qocc+Qact+Qapl</t>
  </si>
  <si>
    <t>CFM=Qtotal / (4840 * (hum out-hum in)</t>
  </si>
  <si>
    <t xml:space="preserve">CFM area=vol X 1 CFM
CFM air change=(vol X 20)/60
CFM area + air change + (30% capacity) </t>
  </si>
  <si>
    <t>CFM=area + air change + person + vent-air</t>
  </si>
  <si>
    <t>External 
temperature</t>
  </si>
  <si>
    <t>External
humidity</t>
  </si>
  <si>
    <t>m2</t>
  </si>
  <si>
    <t>num-stand
70</t>
  </si>
  <si>
    <t>num-sit
60</t>
  </si>
  <si>
    <t>num-walk
100</t>
  </si>
  <si>
    <t>num-squat
60</t>
  </si>
  <si>
    <t>num-talk
70</t>
  </si>
  <si>
    <t>num-write
60</t>
  </si>
  <si>
    <t>Oxygen-consumed</t>
  </si>
  <si>
    <t>kcal/min = (Kcal/day) / 1440</t>
  </si>
  <si>
    <t>1 kcal = 0.239005736 LO₂ (liter of oxygen)</t>
  </si>
  <si>
    <t>Metabolic-rate (MR)</t>
  </si>
  <si>
    <t>BSA</t>
  </si>
  <si>
    <t>kcal/day = (W/m^2) X BSA (m2) X (0.000239006 kcal/s) X (86,400 s/day)</t>
  </si>
  <si>
    <r>
      <rPr>
        <b/>
        <sz val="11"/>
        <color theme="1"/>
        <rFont val="Calibri"/>
        <family val="2"/>
        <scheme val="minor"/>
      </rPr>
      <t xml:space="preserve">Kcal/hour </t>
    </r>
    <r>
      <rPr>
        <sz val="11"/>
        <color theme="1"/>
        <rFont val="Calibri"/>
        <family val="2"/>
        <scheme val="minor"/>
      </rPr>
      <t>= Watts X 0,86</t>
    </r>
  </si>
  <si>
    <r>
      <rPr>
        <b/>
        <sz val="11"/>
        <color theme="1"/>
        <rFont val="Calibri"/>
        <family val="2"/>
        <scheme val="minor"/>
      </rPr>
      <t>kcal/min</t>
    </r>
    <r>
      <rPr>
        <sz val="11"/>
        <color theme="1"/>
        <rFont val="Calibri"/>
        <family val="2"/>
        <scheme val="minor"/>
      </rPr>
      <t xml:space="preserve"> = (kcal/hour) / 60</t>
    </r>
  </si>
  <si>
    <r>
      <rPr>
        <b/>
        <sz val="11"/>
        <color theme="1"/>
        <rFont val="Calibri"/>
        <family val="2"/>
        <scheme val="minor"/>
      </rPr>
      <t>kcal/day</t>
    </r>
    <r>
      <rPr>
        <sz val="11"/>
        <color theme="1"/>
        <rFont val="Calibri"/>
        <family val="2"/>
        <scheme val="minor"/>
      </rPr>
      <t xml:space="preserve"> = (kcal/hour) X 24</t>
    </r>
  </si>
  <si>
    <r>
      <t xml:space="preserve">1 watt = 1 joule/second
1 joule = 0.000239006 kcal
</t>
    </r>
    <r>
      <rPr>
        <b/>
        <sz val="11"/>
        <color theme="1"/>
        <rFont val="Calibri"/>
        <family val="2"/>
        <scheme val="minor"/>
      </rPr>
      <t>units: Kcal/day</t>
    </r>
  </si>
  <si>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Kcal/min</t>
    </r>
  </si>
  <si>
    <r>
      <t xml:space="preserve">Oxygen Consumpt 
(day) LO₂/day = (kcal/day) X 0.239 LO₂/kcal
(min) LO₂/min = (day) / 1440  
</t>
    </r>
    <r>
      <rPr>
        <b/>
        <sz val="11"/>
        <color theme="1"/>
        <rFont val="Calibri"/>
        <family val="2"/>
        <scheme val="minor"/>
      </rPr>
      <t>units: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LO₂/min</t>
    </r>
  </si>
  <si>
    <t>Total MET (W/m^2)</t>
  </si>
  <si>
    <r>
      <rPr>
        <b/>
        <sz val="11"/>
        <color theme="1"/>
        <rFont val="Calibri"/>
        <family val="2"/>
        <scheme val="minor"/>
      </rPr>
      <t>Watts</t>
    </r>
    <r>
      <rPr>
        <sz val="11"/>
        <color theme="1"/>
        <rFont val="Calibri"/>
        <family val="2"/>
        <scheme val="minor"/>
      </rPr>
      <t xml:space="preserve"> =
MR X BSA</t>
    </r>
  </si>
  <si>
    <t>Kilocalories based on metabolic rate</t>
  </si>
  <si>
    <t>(Body Surface Area)</t>
  </si>
  <si>
    <t>(Room volume)</t>
  </si>
  <si>
    <t>(Room max capacity)</t>
  </si>
  <si>
    <t>num-sleep</t>
  </si>
  <si>
    <t>CL-sleep</t>
  </si>
  <si>
    <t>W/m^2</t>
  </si>
  <si>
    <t>Btu/h.ft^2</t>
  </si>
  <si>
    <t>num-read
55</t>
  </si>
  <si>
    <t>External 
air-pressure</t>
  </si>
  <si>
    <t>num-headphone</t>
  </si>
  <si>
    <t>num-mp</t>
  </si>
  <si>
    <t>CL-headphone</t>
  </si>
  <si>
    <t>CL-mobilephone</t>
  </si>
  <si>
    <t>Appliance Operation by Occupant
1 watt=3.412 BTU/h</t>
  </si>
  <si>
    <t>Watt</t>
  </si>
  <si>
    <t>Btu/h</t>
  </si>
  <si>
    <t>Watts</t>
  </si>
  <si>
    <t>num-typing</t>
  </si>
  <si>
    <t>CL-typing</t>
  </si>
  <si>
    <t>num-sleep
40</t>
  </si>
  <si>
    <t>num-typing
65</t>
  </si>
  <si>
    <r>
      <rPr>
        <b/>
        <sz val="11"/>
        <color theme="1"/>
        <rFont val="Calibri"/>
        <family val="2"/>
        <scheme val="minor"/>
      </rPr>
      <t>ASHRAE Standard 55-2010
default units</t>
    </r>
    <r>
      <rPr>
        <sz val="11"/>
        <color theme="1"/>
        <rFont val="Calibri"/>
        <family val="2"/>
        <scheme val="minor"/>
      </rPr>
      <t>: watts per square meter (W/m^2)</t>
    </r>
  </si>
  <si>
    <t>mPa</t>
  </si>
  <si>
    <r>
      <rPr>
        <b/>
        <sz val="11"/>
        <color theme="1"/>
        <rFont val="Calibri"/>
        <family val="2"/>
        <scheme val="minor"/>
      </rPr>
      <t xml:space="preserve">units: </t>
    </r>
    <r>
      <rPr>
        <sz val="11"/>
        <color theme="1"/>
        <rFont val="Calibri"/>
        <family val="2"/>
        <scheme val="minor"/>
      </rPr>
      <t>m^3/h
1 cfm = 1.69901 m^3/h</t>
    </r>
  </si>
  <si>
    <t>1 BTU/h ≈ 0.293071 watts</t>
  </si>
  <si>
    <t>num-light-work</t>
  </si>
  <si>
    <t>CL-light-work</t>
  </si>
  <si>
    <t>num-light-work
67,40633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</si>
</sst>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/>
    </xf>
    <xf numFmtId="0" fontId="1" fillId="6" borderId="11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3" fontId="0" fillId="0" borderId="0" xfId="0" applyNumberForma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0" fontId="0" fillId="0" borderId="0" xfId="0" applyNumberFormat="1" applyAlignment="1">
      <alignment horizontal="center"/>
    </xf>
    <xf numFmtId="0" fontId="0" fillId="6" borderId="14" xfId="0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0" fillId="6" borderId="3" xfId="0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3" fontId="5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0" fontId="0" fillId="0" borderId="0" xfId="0" applyAlignment="1">
      <alignment horizontal="center" wrapText="1"/>
    </xf>
    <xf numFmtId="0" fontId="0" fillId="0" borderId="14" xfId="0" applyBorder="1" applyAlignment="1">
      <alignment horizontal="center" vertical="center"/>
    </xf>
    <xf numFmtId="164" fontId="4" fillId="0" borderId="0" xfId="0" applyNumberFormat="1" applyFont="1" applyAlignment="1">
      <alignment horizontal="center"/>
    </xf>
    <xf numFmtId="0" fontId="0" fillId="2" borderId="14" xfId="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" fontId="0" fillId="0" borderId="0" xfId="0" applyNumberFormat="1" applyAlignment="1">
      <alignment horizontal="right"/>
    </xf>
    <xf numFmtId="0" fontId="1" fillId="0" borderId="14" xfId="0" applyFont="1" applyBorder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10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8" borderId="9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15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/>
    </xf>
    <xf numFmtId="0" fontId="1" fillId="6" borderId="19" xfId="0" applyFont="1" applyFill="1" applyBorder="1" applyAlignment="1">
      <alignment horizontal="center" vertical="center"/>
    </xf>
    <xf numFmtId="0" fontId="1" fillId="6" borderId="13" xfId="0" applyFont="1" applyFill="1" applyBorder="1" applyAlignment="1">
      <alignment horizontal="center" vertical="center"/>
    </xf>
    <xf numFmtId="0" fontId="1" fillId="4" borderId="14" xfId="0" applyFont="1" applyFill="1" applyBorder="1" applyAlignment="1">
      <alignment horizontal="center" vertical="center" wrapText="1"/>
    </xf>
    <xf numFmtId="0" fontId="1" fillId="6" borderId="9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0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16" xfId="0" applyFill="1" applyBorder="1" applyAlignment="1">
      <alignment horizontal="center" vertical="center" wrapText="1"/>
    </xf>
    <xf numFmtId="0" fontId="0" fillId="6" borderId="17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7" borderId="14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1" fillId="5" borderId="18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 wrapText="1"/>
    </xf>
    <xf numFmtId="0" fontId="1" fillId="8" borderId="20" xfId="0" applyFont="1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3" borderId="21" xfId="0" quotePrefix="1" applyFill="1" applyBorder="1" applyAlignment="1">
      <alignment horizontal="center" vertical="center" wrapText="1"/>
    </xf>
    <xf numFmtId="0" fontId="0" fillId="3" borderId="15" xfId="0" quotePrefix="1" applyFill="1" applyBorder="1" applyAlignment="1">
      <alignment horizontal="center" vertical="center" wrapText="1"/>
    </xf>
    <xf numFmtId="0" fontId="1" fillId="3" borderId="21" xfId="0" applyFont="1" applyFill="1" applyBorder="1" applyAlignment="1">
      <alignment horizontal="center" vertical="center" wrapText="1"/>
    </xf>
    <xf numFmtId="0" fontId="1" fillId="6" borderId="18" xfId="0" applyFont="1" applyFill="1" applyBorder="1" applyAlignment="1">
      <alignment horizontal="center" vertical="center" wrapText="1"/>
    </xf>
    <xf numFmtId="0" fontId="1" fillId="6" borderId="13" xfId="0" applyFont="1" applyFill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97</xdr:col>
      <xdr:colOff>600636</xdr:colOff>
      <xdr:row>2</xdr:row>
      <xdr:rowOff>7171</xdr:rowOff>
    </xdr:from>
    <xdr:ext cx="8664488" cy="609013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8481130" y="186465"/>
          <a:ext cx="8664488" cy="609013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(1) https://doi.org/10.1002/clc.4960130809</a:t>
          </a:r>
        </a:p>
        <a:p>
          <a:r>
            <a:rPr lang="en-US" sz="1100"/>
            <a:t>(2) https://www.ashrae.org/File%20Library/Technical%20Resources/Standards%20and%20Guidelines/Standards%20Addenda/55_2010_g_Final.pdf</a:t>
          </a:r>
        </a:p>
        <a:p>
          <a:r>
            <a:rPr lang="en-US" sz="1100"/>
            <a:t>(3) http://www.ditar.cl/archivos/Normas_ASHRAE/T0080ASHRAE-55-2004-ThermalEnviromCondiHO.pdf</a:t>
          </a:r>
        </a:p>
      </xdr:txBody>
    </xdr:sp>
    <xdr:clientData/>
  </xdr:oneCellAnchor>
  <xdr:twoCellAnchor editAs="oneCell">
    <xdr:from>
      <xdr:col>97</xdr:col>
      <xdr:colOff>594360</xdr:colOff>
      <xdr:row>5</xdr:row>
      <xdr:rowOff>175260</xdr:rowOff>
    </xdr:from>
    <xdr:to>
      <xdr:col>109</xdr:col>
      <xdr:colOff>1345</xdr:colOff>
      <xdr:row>23</xdr:row>
      <xdr:rowOff>49877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929300" y="723900"/>
          <a:ext cx="6865620" cy="3802380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97</xdr:col>
      <xdr:colOff>591672</xdr:colOff>
      <xdr:row>23</xdr:row>
      <xdr:rowOff>161361</xdr:rowOff>
    </xdr:from>
    <xdr:to>
      <xdr:col>108</xdr:col>
      <xdr:colOff>368900</xdr:colOff>
      <xdr:row>46</xdr:row>
      <xdr:rowOff>168085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761343" y="4894726"/>
          <a:ext cx="6626262" cy="4130488"/>
        </a:xfrm>
        <a:prstGeom prst="rect">
          <a:avLst/>
        </a:prstGeom>
        <a:noFill/>
        <a:ln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S96"/>
  <sheetViews>
    <sheetView tabSelected="1" topLeftCell="A77" zoomScale="84" zoomScaleNormal="84" workbookViewId="0">
      <selection activeCell="AW12" sqref="AW12:AY96"/>
    </sheetView>
  </sheetViews>
  <sheetFormatPr defaultRowHeight="15" x14ac:dyDescent="0.25"/>
  <cols>
    <col min="1" max="1" width="8" style="1" customWidth="1"/>
    <col min="2" max="2" width="6.7109375" style="1" customWidth="1"/>
    <col min="3" max="3" width="8.5703125" style="1" customWidth="1"/>
    <col min="4" max="4" width="8.7109375" style="1" customWidth="1"/>
    <col min="5" max="5" width="9.42578125" style="1" customWidth="1"/>
    <col min="6" max="6" width="9.7109375" style="1" customWidth="1"/>
    <col min="7" max="7" width="10.28515625" style="31" hidden="1" customWidth="1"/>
    <col min="8" max="9" width="10.140625" style="1" hidden="1" customWidth="1"/>
    <col min="10" max="10" width="7.5703125" style="31" hidden="1" customWidth="1"/>
    <col min="11" max="11" width="8.7109375" style="1" hidden="1" customWidth="1"/>
    <col min="12" max="12" width="9.85546875" style="1" hidden="1" customWidth="1"/>
    <col min="13" max="13" width="7.7109375" style="31" hidden="1" customWidth="1"/>
    <col min="14" max="14" width="7.7109375" style="1" hidden="1" customWidth="1"/>
    <col min="15" max="15" width="9.7109375" style="1" hidden="1" customWidth="1"/>
    <col min="16" max="16" width="10" style="31" hidden="1" customWidth="1"/>
    <col min="17" max="18" width="9.28515625" style="1" hidden="1" customWidth="1"/>
    <col min="19" max="19" width="9.7109375" style="31" hidden="1" customWidth="1"/>
    <col min="20" max="20" width="8.42578125" style="1" hidden="1" customWidth="1"/>
    <col min="21" max="21" width="10" style="1" hidden="1" customWidth="1"/>
    <col min="22" max="22" width="9.28515625" style="31" hidden="1" customWidth="1"/>
    <col min="23" max="23" width="8.7109375" style="1" hidden="1" customWidth="1"/>
    <col min="24" max="24" width="10.42578125" style="1" hidden="1" customWidth="1"/>
    <col min="25" max="25" width="8.42578125" style="31" hidden="1" customWidth="1"/>
    <col min="26" max="26" width="6.85546875" style="1" hidden="1" customWidth="1"/>
    <col min="27" max="27" width="9.5703125" style="1" hidden="1" customWidth="1"/>
    <col min="28" max="28" width="8.7109375" style="31" hidden="1" customWidth="1"/>
    <col min="29" max="29" width="7.7109375" style="1" hidden="1" customWidth="1"/>
    <col min="30" max="30" width="10.140625" style="1" hidden="1" customWidth="1"/>
    <col min="31" max="31" width="9.42578125" style="31" hidden="1" customWidth="1"/>
    <col min="32" max="32" width="8.85546875" style="1" hidden="1" customWidth="1"/>
    <col min="33" max="33" width="11.85546875" style="1" hidden="1" customWidth="1"/>
    <col min="34" max="34" width="11.85546875" style="31" hidden="1" customWidth="1"/>
    <col min="35" max="36" width="11.85546875" style="1" hidden="1" customWidth="1"/>
    <col min="37" max="37" width="11.85546875" style="31" hidden="1" customWidth="1"/>
    <col min="38" max="39" width="11.85546875" style="1" hidden="1" customWidth="1"/>
    <col min="40" max="40" width="11.85546875" style="31" hidden="1" customWidth="1"/>
    <col min="41" max="41" width="9.5703125" style="1" hidden="1" customWidth="1"/>
    <col min="42" max="42" width="10.28515625" style="1" hidden="1" customWidth="1"/>
    <col min="43" max="43" width="8.42578125" style="31" hidden="1" customWidth="1"/>
    <col min="44" max="44" width="8.28515625" style="1" hidden="1" customWidth="1"/>
    <col min="45" max="45" width="9.28515625" style="1" hidden="1" customWidth="1"/>
    <col min="46" max="46" width="9" style="31" hidden="1" customWidth="1"/>
    <col min="47" max="48" width="10.140625" style="1" hidden="1" customWidth="1"/>
    <col min="49" max="49" width="12" style="31" customWidth="1"/>
    <col min="50" max="50" width="9.140625" style="31" bestFit="1" customWidth="1"/>
    <col min="51" max="52" width="11.28515625" style="31" customWidth="1"/>
    <col min="53" max="53" width="12.28515625" style="31" customWidth="1"/>
    <col min="54" max="56" width="11.28515625" style="31" customWidth="1"/>
    <col min="57" max="57" width="11.28515625" style="1" customWidth="1"/>
    <col min="58" max="58" width="11.5703125" style="1" customWidth="1"/>
    <col min="59" max="59" width="14.85546875" style="1" customWidth="1"/>
    <col min="60" max="60" width="27.140625" style="1" customWidth="1"/>
    <col min="61" max="61" width="14.5703125" style="1" customWidth="1"/>
    <col min="62" max="63" width="15.7109375" style="1" customWidth="1"/>
    <col min="64" max="64" width="11.85546875" style="1" bestFit="1" customWidth="1"/>
    <col min="65" max="65" width="14.140625" style="1" customWidth="1"/>
    <col min="66" max="66" width="15.5703125" style="1" customWidth="1"/>
    <col min="67" max="67" width="17.7109375" style="1" customWidth="1"/>
    <col min="68" max="68" width="18.7109375" style="1" customWidth="1"/>
    <col min="69" max="69" width="14.42578125" style="1" customWidth="1"/>
    <col min="70" max="70" width="22.42578125" style="1" customWidth="1"/>
    <col min="71" max="71" width="9.28515625" style="1" customWidth="1"/>
    <col min="72" max="72" width="8" style="1" customWidth="1"/>
    <col min="73" max="73" width="9.140625" style="1" bestFit="1" customWidth="1"/>
    <col min="74" max="74" width="7.7109375" style="1" bestFit="1" customWidth="1"/>
    <col min="75" max="75" width="13.42578125" style="1" customWidth="1"/>
    <col min="76" max="76" width="15" style="1" customWidth="1"/>
    <col min="77" max="77" width="9.140625" style="1" customWidth="1"/>
    <col min="78" max="78" width="10.140625" style="1" customWidth="1"/>
    <col min="79" max="79" width="12.28515625" style="3" customWidth="1"/>
    <col min="80" max="80" width="9.85546875" style="3" bestFit="1" customWidth="1"/>
    <col min="81" max="81" width="7.28515625" style="3" bestFit="1" customWidth="1"/>
    <col min="82" max="82" width="9.140625" style="3" bestFit="1" customWidth="1"/>
    <col min="83" max="83" width="9.85546875" style="3" bestFit="1" customWidth="1"/>
    <col min="84" max="84" width="9" style="3" bestFit="1" customWidth="1"/>
    <col min="85" max="85" width="8.28515625" style="3" bestFit="1" customWidth="1"/>
    <col min="86" max="86" width="9.5703125" style="3" bestFit="1" customWidth="1"/>
    <col min="87" max="87" width="8.28515625" style="1" bestFit="1" customWidth="1"/>
    <col min="88" max="90" width="8.28515625" style="1" customWidth="1"/>
    <col min="91" max="91" width="9.140625" style="1" bestFit="1" customWidth="1"/>
    <col min="92" max="94" width="10.7109375" style="1" customWidth="1"/>
    <col min="95" max="95" width="25.140625" style="1" customWidth="1"/>
    <col min="96" max="96" width="12.42578125" style="1" customWidth="1"/>
    <col min="97" max="97" width="38.42578125" style="1" bestFit="1" customWidth="1"/>
    <col min="98" max="98" width="11" customWidth="1"/>
  </cols>
  <sheetData>
    <row r="1" spans="1:97" hidden="1" x14ac:dyDescent="0.25">
      <c r="A1" s="36" t="s">
        <v>120</v>
      </c>
      <c r="G1" s="1"/>
      <c r="J1" s="1"/>
      <c r="M1" s="1"/>
      <c r="P1" s="1"/>
      <c r="S1" s="1"/>
      <c r="V1" s="1"/>
      <c r="Y1" s="1"/>
      <c r="AB1" s="1"/>
      <c r="AE1" s="1"/>
      <c r="AH1" s="1"/>
      <c r="AK1" s="1"/>
      <c r="AN1" s="1"/>
      <c r="AQ1" s="1"/>
      <c r="AT1" s="1"/>
      <c r="AW1" s="1"/>
      <c r="AX1" s="1"/>
      <c r="AY1" s="1"/>
      <c r="AZ1" s="1"/>
      <c r="BA1" s="1"/>
      <c r="BB1" s="1"/>
      <c r="BC1" s="1"/>
      <c r="BD1" s="1"/>
    </row>
    <row r="2" spans="1:97" hidden="1" x14ac:dyDescent="0.25">
      <c r="A2" s="34" t="s">
        <v>85</v>
      </c>
      <c r="B2" s="35">
        <f>0.007184*(1.75)^0.725*(65)^0.425</f>
        <v>6.3541444796402669E-2</v>
      </c>
      <c r="C2" s="35" t="s">
        <v>74</v>
      </c>
      <c r="D2" s="75" t="s">
        <v>96</v>
      </c>
      <c r="E2" s="75"/>
      <c r="F2" s="75"/>
      <c r="G2" s="75"/>
      <c r="J2" s="1"/>
      <c r="M2" s="1"/>
      <c r="P2" s="1"/>
      <c r="S2" s="1"/>
      <c r="V2" s="1"/>
      <c r="Y2" s="1"/>
      <c r="AB2" s="1"/>
      <c r="AE2" s="1"/>
      <c r="AH2" s="1"/>
      <c r="AK2" s="1"/>
      <c r="AN2" s="1"/>
      <c r="AQ2" s="1"/>
      <c r="AT2" s="1"/>
      <c r="AW2" s="1"/>
      <c r="AX2" s="1"/>
      <c r="AY2" s="1"/>
      <c r="AZ2" s="1"/>
      <c r="BA2" s="1"/>
      <c r="BB2" s="1"/>
      <c r="BC2" s="1"/>
      <c r="BD2" s="1"/>
    </row>
    <row r="3" spans="1:97" hidden="1" x14ac:dyDescent="0.25">
      <c r="A3" s="34" t="s">
        <v>55</v>
      </c>
      <c r="B3" s="35">
        <v>50</v>
      </c>
      <c r="C3" s="35" t="s">
        <v>56</v>
      </c>
      <c r="D3" s="36" t="s">
        <v>97</v>
      </c>
      <c r="G3" s="1"/>
      <c r="J3" s="1"/>
      <c r="M3" s="1"/>
      <c r="P3" s="1"/>
      <c r="S3" s="1"/>
      <c r="V3" s="1"/>
      <c r="Y3" s="1"/>
      <c r="AB3" s="1"/>
      <c r="AE3" s="1"/>
      <c r="AH3" s="1"/>
      <c r="AK3" s="1"/>
      <c r="AN3" s="1"/>
      <c r="AQ3" s="1"/>
      <c r="AT3" s="1"/>
      <c r="AW3" s="1"/>
      <c r="AX3" s="1"/>
      <c r="AY3" s="1"/>
      <c r="AZ3" s="1"/>
      <c r="BA3" s="1"/>
      <c r="BB3" s="1"/>
      <c r="BC3" s="1"/>
      <c r="BD3" s="1"/>
    </row>
    <row r="4" spans="1:97" hidden="1" x14ac:dyDescent="0.25">
      <c r="A4" s="34" t="s">
        <v>53</v>
      </c>
      <c r="B4" s="35">
        <v>6</v>
      </c>
      <c r="C4" s="35" t="s">
        <v>57</v>
      </c>
      <c r="D4" s="36" t="s">
        <v>98</v>
      </c>
      <c r="G4" s="1"/>
      <c r="J4" s="1"/>
      <c r="M4" s="1"/>
      <c r="P4" s="1"/>
      <c r="S4" s="1"/>
      <c r="V4" s="1"/>
      <c r="Y4" s="1"/>
      <c r="AB4" s="1"/>
      <c r="AE4" s="1"/>
      <c r="AH4" s="1"/>
      <c r="AK4" s="1"/>
      <c r="AN4" s="1"/>
      <c r="AQ4" s="1"/>
      <c r="AT4" s="1"/>
      <c r="AW4" s="1"/>
      <c r="AX4" s="1"/>
      <c r="AY4" s="1"/>
      <c r="AZ4" s="1"/>
      <c r="BA4" s="1"/>
      <c r="BB4" s="1"/>
      <c r="BC4" s="1"/>
      <c r="BD4" s="1"/>
    </row>
    <row r="5" spans="1:97" hidden="1" x14ac:dyDescent="0.25">
      <c r="A5" s="34" t="s">
        <v>54</v>
      </c>
      <c r="B5" s="37">
        <f>B4*0.3</f>
        <v>1.7999999999999998</v>
      </c>
      <c r="C5" s="35" t="s">
        <v>57</v>
      </c>
      <c r="G5" s="1"/>
      <c r="J5" s="1"/>
      <c r="M5" s="1"/>
      <c r="P5" s="1"/>
      <c r="S5" s="1"/>
      <c r="V5" s="1"/>
      <c r="Y5" s="1"/>
      <c r="AB5" s="1"/>
      <c r="AE5" s="1"/>
      <c r="AH5" s="1"/>
      <c r="AK5" s="1"/>
      <c r="AN5" s="1"/>
      <c r="AQ5" s="1"/>
      <c r="AT5" s="1"/>
      <c r="AW5" s="1"/>
      <c r="AX5" s="1"/>
      <c r="AY5" s="1"/>
      <c r="AZ5" s="1"/>
      <c r="BA5" s="1"/>
      <c r="BB5" s="1"/>
      <c r="BC5" s="1"/>
      <c r="BD5" s="1"/>
      <c r="CR5" s="26"/>
    </row>
    <row r="6" spans="1:97" hidden="1" x14ac:dyDescent="0.25">
      <c r="G6" s="1"/>
      <c r="J6" s="1"/>
      <c r="M6" s="1"/>
      <c r="P6" s="1"/>
      <c r="S6" s="1"/>
      <c r="V6" s="1"/>
      <c r="Y6" s="1"/>
      <c r="AB6" s="1"/>
      <c r="AE6" s="1"/>
      <c r="AH6" s="1"/>
      <c r="AK6" s="1"/>
      <c r="AN6" s="1"/>
      <c r="AQ6" s="1"/>
      <c r="AT6" s="1"/>
      <c r="AW6" s="1"/>
      <c r="AX6" s="1"/>
      <c r="AY6" s="1"/>
      <c r="AZ6" s="1"/>
      <c r="BA6" s="1"/>
      <c r="BB6" s="1"/>
      <c r="BC6" s="1"/>
      <c r="BD6" s="1"/>
      <c r="BE6" s="22" t="s">
        <v>58</v>
      </c>
      <c r="BF6" s="22"/>
      <c r="BG6" s="22" t="s">
        <v>58</v>
      </c>
      <c r="BJ6" s="22" t="s">
        <v>58</v>
      </c>
      <c r="BK6" s="22"/>
      <c r="BN6" s="22" t="s">
        <v>58</v>
      </c>
      <c r="BP6" s="22" t="s">
        <v>58</v>
      </c>
      <c r="BR6" s="22"/>
      <c r="BV6" s="22" t="s">
        <v>58</v>
      </c>
      <c r="CA6" s="23" t="s">
        <v>58</v>
      </c>
      <c r="CB6" s="23"/>
      <c r="CC6" s="23"/>
      <c r="CD6" s="23"/>
      <c r="CE6" s="23"/>
      <c r="CF6" s="23"/>
      <c r="CG6" s="23"/>
      <c r="CH6" s="23"/>
      <c r="CL6" s="22" t="s">
        <v>58</v>
      </c>
      <c r="CR6" s="22" t="s">
        <v>58</v>
      </c>
      <c r="CS6" s="22" t="s">
        <v>58</v>
      </c>
    </row>
    <row r="7" spans="1:97" s="2" customFormat="1" ht="37.9" customHeight="1" x14ac:dyDescent="0.25">
      <c r="A7" s="91" t="s">
        <v>24</v>
      </c>
      <c r="B7" s="91" t="s">
        <v>25</v>
      </c>
      <c r="C7" s="91" t="s">
        <v>0</v>
      </c>
      <c r="D7" s="105" t="s">
        <v>1</v>
      </c>
      <c r="E7" s="103"/>
      <c r="F7" s="103" t="s">
        <v>2</v>
      </c>
      <c r="G7" s="77" t="s">
        <v>20</v>
      </c>
      <c r="H7" s="76" t="s">
        <v>19</v>
      </c>
      <c r="I7" s="76"/>
      <c r="J7" s="82" t="s">
        <v>23</v>
      </c>
      <c r="K7" s="83"/>
      <c r="L7" s="83"/>
      <c r="M7" s="83"/>
      <c r="N7" s="83"/>
      <c r="O7" s="83"/>
      <c r="P7" s="83"/>
      <c r="Q7" s="83"/>
      <c r="R7" s="83"/>
      <c r="S7" s="83"/>
      <c r="T7" s="83"/>
      <c r="U7" s="83"/>
      <c r="V7" s="83"/>
      <c r="W7" s="83"/>
      <c r="X7" s="83"/>
      <c r="Y7" s="83"/>
      <c r="Z7" s="83"/>
      <c r="AA7" s="83"/>
      <c r="AB7" s="83"/>
      <c r="AC7" s="83"/>
      <c r="AD7" s="83"/>
      <c r="AE7" s="83"/>
      <c r="AF7" s="83"/>
      <c r="AG7" s="83"/>
      <c r="AH7" s="83"/>
      <c r="AI7" s="83"/>
      <c r="AJ7" s="83"/>
      <c r="AK7" s="83"/>
      <c r="AL7" s="83"/>
      <c r="AM7" s="84"/>
      <c r="AN7" s="60" t="s">
        <v>109</v>
      </c>
      <c r="AO7" s="60"/>
      <c r="AP7" s="60"/>
      <c r="AQ7" s="60"/>
      <c r="AR7" s="60"/>
      <c r="AS7" s="60"/>
      <c r="AT7" s="60"/>
      <c r="AU7" s="60"/>
      <c r="AV7" s="60"/>
      <c r="AW7" s="77" t="s">
        <v>45</v>
      </c>
      <c r="AX7" s="77" t="s">
        <v>46</v>
      </c>
      <c r="AY7" s="44" t="s">
        <v>44</v>
      </c>
      <c r="AZ7" s="45"/>
      <c r="BA7" s="93" t="s">
        <v>72</v>
      </c>
      <c r="BB7" s="93" t="s">
        <v>73</v>
      </c>
      <c r="BC7" s="48" t="s">
        <v>104</v>
      </c>
      <c r="BD7" s="49"/>
      <c r="BE7" s="61" t="s">
        <v>22</v>
      </c>
      <c r="BF7" s="62"/>
      <c r="BG7" s="91" t="s">
        <v>67</v>
      </c>
      <c r="BH7" s="12" t="s">
        <v>35</v>
      </c>
      <c r="BI7" s="57" t="s">
        <v>36</v>
      </c>
      <c r="BJ7" s="58"/>
      <c r="BK7" s="59"/>
      <c r="BL7" s="5" t="s">
        <v>26</v>
      </c>
      <c r="BM7" s="99" t="s">
        <v>27</v>
      </c>
      <c r="BN7" s="100"/>
      <c r="BO7" s="11" t="s">
        <v>33</v>
      </c>
      <c r="BP7" s="4" t="s">
        <v>34</v>
      </c>
      <c r="BQ7" s="5" t="s">
        <v>62</v>
      </c>
      <c r="BR7" s="5" t="s">
        <v>61</v>
      </c>
      <c r="BS7" s="105" t="s">
        <v>64</v>
      </c>
      <c r="BT7" s="103"/>
      <c r="BU7" s="61" t="s">
        <v>65</v>
      </c>
      <c r="BV7" s="62"/>
      <c r="BW7" s="109" t="s">
        <v>47</v>
      </c>
      <c r="BX7" s="110"/>
      <c r="BY7" s="57" t="s">
        <v>38</v>
      </c>
      <c r="BZ7" s="58"/>
      <c r="CA7" s="59"/>
      <c r="CB7" s="85" t="s">
        <v>84</v>
      </c>
      <c r="CC7" s="86"/>
      <c r="CD7" s="86"/>
      <c r="CE7" s="86"/>
      <c r="CF7" s="86"/>
      <c r="CG7" s="86"/>
      <c r="CH7" s="86"/>
      <c r="CI7" s="86"/>
      <c r="CJ7" s="86"/>
      <c r="CK7" s="86"/>
      <c r="CL7" s="86"/>
      <c r="CM7" s="86"/>
      <c r="CN7" s="86"/>
      <c r="CO7" s="86"/>
      <c r="CP7" s="86"/>
      <c r="CQ7" s="86"/>
      <c r="CR7" s="87"/>
      <c r="CS7" s="38" t="s">
        <v>81</v>
      </c>
    </row>
    <row r="8" spans="1:97" s="2" customFormat="1" ht="18.75" customHeight="1" thickBot="1" x14ac:dyDescent="0.3">
      <c r="A8" s="101"/>
      <c r="B8" s="101"/>
      <c r="C8" s="101"/>
      <c r="D8" s="106"/>
      <c r="E8" s="104"/>
      <c r="F8" s="104"/>
      <c r="G8" s="78"/>
      <c r="H8" s="80" t="s">
        <v>112</v>
      </c>
      <c r="I8" s="80" t="s">
        <v>111</v>
      </c>
      <c r="J8" s="39" t="s">
        <v>5</v>
      </c>
      <c r="K8" s="41" t="s">
        <v>3</v>
      </c>
      <c r="L8" s="42"/>
      <c r="M8" s="39" t="s">
        <v>6</v>
      </c>
      <c r="N8" s="41" t="s">
        <v>4</v>
      </c>
      <c r="O8" s="42"/>
      <c r="P8" s="39" t="s">
        <v>7</v>
      </c>
      <c r="Q8" s="41" t="s">
        <v>8</v>
      </c>
      <c r="R8" s="42"/>
      <c r="S8" s="39" t="s">
        <v>9</v>
      </c>
      <c r="T8" s="41" t="s">
        <v>10</v>
      </c>
      <c r="U8" s="42"/>
      <c r="V8" s="39" t="s">
        <v>11</v>
      </c>
      <c r="W8" s="41" t="s">
        <v>12</v>
      </c>
      <c r="X8" s="42"/>
      <c r="Y8" s="39" t="s">
        <v>13</v>
      </c>
      <c r="Z8" s="41" t="s">
        <v>14</v>
      </c>
      <c r="AA8" s="42"/>
      <c r="AB8" s="39" t="s">
        <v>15</v>
      </c>
      <c r="AC8" s="41" t="s">
        <v>16</v>
      </c>
      <c r="AD8" s="42"/>
      <c r="AE8" s="39" t="s">
        <v>99</v>
      </c>
      <c r="AF8" s="41" t="s">
        <v>100</v>
      </c>
      <c r="AG8" s="42"/>
      <c r="AH8" s="39" t="s">
        <v>113</v>
      </c>
      <c r="AI8" s="41" t="s">
        <v>114</v>
      </c>
      <c r="AJ8" s="42"/>
      <c r="AK8" s="39" t="s">
        <v>121</v>
      </c>
      <c r="AL8" s="41" t="s">
        <v>122</v>
      </c>
      <c r="AM8" s="42"/>
      <c r="AN8" s="39" t="s">
        <v>105</v>
      </c>
      <c r="AO8" s="41" t="s">
        <v>107</v>
      </c>
      <c r="AP8" s="42"/>
      <c r="AQ8" s="39" t="s">
        <v>106</v>
      </c>
      <c r="AR8" s="41" t="s">
        <v>108</v>
      </c>
      <c r="AS8" s="42"/>
      <c r="AT8" s="39" t="s">
        <v>17</v>
      </c>
      <c r="AU8" s="95" t="s">
        <v>18</v>
      </c>
      <c r="AV8" s="95"/>
      <c r="AW8" s="102"/>
      <c r="AX8" s="102"/>
      <c r="AY8" s="46"/>
      <c r="AZ8" s="47"/>
      <c r="BA8" s="94"/>
      <c r="BB8" s="94"/>
      <c r="BC8" s="50"/>
      <c r="BD8" s="51"/>
      <c r="BE8" s="63"/>
      <c r="BF8" s="64"/>
      <c r="BG8" s="92"/>
      <c r="BH8" s="18" t="s">
        <v>50</v>
      </c>
      <c r="BI8" s="17" t="s">
        <v>49</v>
      </c>
      <c r="BJ8" s="53" t="s">
        <v>40</v>
      </c>
      <c r="BK8" s="54"/>
      <c r="BL8" s="43" t="s">
        <v>28</v>
      </c>
      <c r="BM8" s="53" t="s">
        <v>37</v>
      </c>
      <c r="BN8" s="54"/>
      <c r="BO8" s="43" t="s">
        <v>60</v>
      </c>
      <c r="BP8" s="68" t="s">
        <v>32</v>
      </c>
      <c r="BQ8" s="43" t="s">
        <v>43</v>
      </c>
      <c r="BR8" s="43" t="s">
        <v>63</v>
      </c>
      <c r="BS8" s="43" t="s">
        <v>21</v>
      </c>
      <c r="BT8" s="43"/>
      <c r="BU8" s="56" t="s">
        <v>66</v>
      </c>
      <c r="BV8" s="56"/>
      <c r="BW8" s="43" t="s">
        <v>48</v>
      </c>
      <c r="BX8" s="43"/>
      <c r="BY8" s="56" t="s">
        <v>51</v>
      </c>
      <c r="BZ8" s="111" t="s">
        <v>39</v>
      </c>
      <c r="CA8" s="112"/>
      <c r="CB8" s="88" t="s">
        <v>117</v>
      </c>
      <c r="CC8" s="89"/>
      <c r="CD8" s="89"/>
      <c r="CE8" s="89"/>
      <c r="CF8" s="89"/>
      <c r="CG8" s="89"/>
      <c r="CH8" s="89"/>
      <c r="CI8" s="89"/>
      <c r="CJ8" s="89"/>
      <c r="CK8" s="89"/>
      <c r="CL8" s="90"/>
      <c r="CM8" s="88" t="s">
        <v>95</v>
      </c>
      <c r="CN8" s="89"/>
      <c r="CO8" s="89"/>
      <c r="CP8" s="90"/>
      <c r="CQ8" s="13" t="s">
        <v>86</v>
      </c>
      <c r="CR8" s="13" t="s">
        <v>82</v>
      </c>
      <c r="CS8" s="13" t="s">
        <v>83</v>
      </c>
    </row>
    <row r="9" spans="1:97" s="2" customFormat="1" ht="27.75" customHeight="1" thickTop="1" x14ac:dyDescent="0.25">
      <c r="A9" s="101"/>
      <c r="B9" s="101"/>
      <c r="C9" s="101"/>
      <c r="D9" s="106"/>
      <c r="E9" s="104"/>
      <c r="F9" s="104"/>
      <c r="G9" s="79"/>
      <c r="H9" s="81"/>
      <c r="I9" s="81"/>
      <c r="J9" s="40"/>
      <c r="K9" s="29" t="s">
        <v>101</v>
      </c>
      <c r="L9" s="29" t="s">
        <v>102</v>
      </c>
      <c r="M9" s="40"/>
      <c r="N9" s="29" t="s">
        <v>101</v>
      </c>
      <c r="O9" s="29" t="s">
        <v>102</v>
      </c>
      <c r="P9" s="40"/>
      <c r="Q9" s="29" t="s">
        <v>101</v>
      </c>
      <c r="R9" s="29" t="s">
        <v>102</v>
      </c>
      <c r="S9" s="40"/>
      <c r="T9" s="29" t="s">
        <v>101</v>
      </c>
      <c r="U9" s="29" t="s">
        <v>102</v>
      </c>
      <c r="V9" s="40"/>
      <c r="W9" s="29" t="s">
        <v>101</v>
      </c>
      <c r="X9" s="29" t="s">
        <v>102</v>
      </c>
      <c r="Y9" s="40"/>
      <c r="Z9" s="29" t="s">
        <v>101</v>
      </c>
      <c r="AA9" s="29" t="s">
        <v>102</v>
      </c>
      <c r="AB9" s="40"/>
      <c r="AC9" s="29" t="s">
        <v>101</v>
      </c>
      <c r="AD9" s="29" t="s">
        <v>102</v>
      </c>
      <c r="AE9" s="40"/>
      <c r="AF9" s="29" t="s">
        <v>101</v>
      </c>
      <c r="AG9" s="29" t="s">
        <v>102</v>
      </c>
      <c r="AH9" s="40"/>
      <c r="AI9" s="29" t="s">
        <v>101</v>
      </c>
      <c r="AJ9" s="29" t="s">
        <v>102</v>
      </c>
      <c r="AK9" s="40"/>
      <c r="AL9" s="29" t="s">
        <v>101</v>
      </c>
      <c r="AM9" s="29" t="s">
        <v>102</v>
      </c>
      <c r="AN9" s="40"/>
      <c r="AO9" s="29" t="s">
        <v>110</v>
      </c>
      <c r="AP9" s="29" t="s">
        <v>111</v>
      </c>
      <c r="AQ9" s="40"/>
      <c r="AR9" s="29" t="s">
        <v>110</v>
      </c>
      <c r="AS9" s="29" t="s">
        <v>111</v>
      </c>
      <c r="AT9" s="40"/>
      <c r="AU9" s="29" t="s">
        <v>110</v>
      </c>
      <c r="AV9" s="29" t="s">
        <v>111</v>
      </c>
      <c r="AW9" s="96" t="s">
        <v>29</v>
      </c>
      <c r="AX9" s="98" t="s">
        <v>30</v>
      </c>
      <c r="AY9" s="52" t="s">
        <v>118</v>
      </c>
      <c r="AZ9" s="52" t="s">
        <v>31</v>
      </c>
      <c r="BA9" s="96" t="s">
        <v>29</v>
      </c>
      <c r="BB9" s="98" t="s">
        <v>30</v>
      </c>
      <c r="BC9" s="52" t="s">
        <v>118</v>
      </c>
      <c r="BD9" s="52" t="s">
        <v>31</v>
      </c>
      <c r="BE9" s="55" t="s">
        <v>68</v>
      </c>
      <c r="BF9" s="55"/>
      <c r="BG9" s="65" t="s">
        <v>69</v>
      </c>
      <c r="BH9" s="65" t="s">
        <v>70</v>
      </c>
      <c r="BI9" s="67" t="s">
        <v>59</v>
      </c>
      <c r="BJ9" s="55" t="s">
        <v>71</v>
      </c>
      <c r="BK9" s="55" t="s">
        <v>119</v>
      </c>
      <c r="BL9" s="43"/>
      <c r="BM9" s="71" t="s">
        <v>52</v>
      </c>
      <c r="BN9" s="72"/>
      <c r="BO9" s="43"/>
      <c r="BP9" s="69"/>
      <c r="BQ9" s="43"/>
      <c r="BR9" s="43"/>
      <c r="BS9" s="43" t="s">
        <v>41</v>
      </c>
      <c r="BT9" s="43" t="s">
        <v>42</v>
      </c>
      <c r="BU9" s="56" t="s">
        <v>41</v>
      </c>
      <c r="BV9" s="56" t="s">
        <v>42</v>
      </c>
      <c r="BW9" s="43" t="s">
        <v>41</v>
      </c>
      <c r="BX9" s="43" t="s">
        <v>42</v>
      </c>
      <c r="BY9" s="56"/>
      <c r="BZ9" s="113"/>
      <c r="CA9" s="114"/>
      <c r="CB9" s="43" t="s">
        <v>75</v>
      </c>
      <c r="CC9" s="43" t="s">
        <v>76</v>
      </c>
      <c r="CD9" s="43" t="s">
        <v>77</v>
      </c>
      <c r="CE9" s="43" t="s">
        <v>78</v>
      </c>
      <c r="CF9" s="43" t="s">
        <v>103</v>
      </c>
      <c r="CG9" s="43" t="s">
        <v>79</v>
      </c>
      <c r="CH9" s="43" t="s">
        <v>80</v>
      </c>
      <c r="CI9" s="43" t="s">
        <v>115</v>
      </c>
      <c r="CJ9" s="43" t="s">
        <v>116</v>
      </c>
      <c r="CK9" s="70" t="s">
        <v>123</v>
      </c>
      <c r="CL9" s="70" t="s">
        <v>93</v>
      </c>
      <c r="CM9" s="43" t="s">
        <v>94</v>
      </c>
      <c r="CN9" s="43" t="s">
        <v>87</v>
      </c>
      <c r="CO9" s="43" t="s">
        <v>88</v>
      </c>
      <c r="CP9" s="43" t="s">
        <v>89</v>
      </c>
      <c r="CQ9" s="70" t="s">
        <v>90</v>
      </c>
      <c r="CR9" s="70" t="s">
        <v>91</v>
      </c>
      <c r="CS9" s="70" t="s">
        <v>92</v>
      </c>
    </row>
    <row r="10" spans="1:97" s="2" customFormat="1" ht="15.75" customHeight="1" x14ac:dyDescent="0.25">
      <c r="A10" s="101"/>
      <c r="B10" s="101"/>
      <c r="C10" s="101"/>
      <c r="D10" s="107"/>
      <c r="E10" s="108"/>
      <c r="F10" s="104"/>
      <c r="G10" s="32"/>
      <c r="H10" s="27">
        <f>I10*0.293</f>
        <v>73.25</v>
      </c>
      <c r="I10" s="27">
        <v>250</v>
      </c>
      <c r="J10" s="32"/>
      <c r="K10" s="27">
        <v>70</v>
      </c>
      <c r="L10" s="27">
        <v>22</v>
      </c>
      <c r="M10" s="32"/>
      <c r="N10" s="27">
        <v>60</v>
      </c>
      <c r="O10" s="27">
        <v>18</v>
      </c>
      <c r="P10" s="32"/>
      <c r="Q10" s="27">
        <v>100</v>
      </c>
      <c r="R10" s="27">
        <v>31</v>
      </c>
      <c r="S10" s="32"/>
      <c r="T10" s="27">
        <v>60</v>
      </c>
      <c r="U10" s="27">
        <v>18</v>
      </c>
      <c r="V10" s="32"/>
      <c r="W10" s="27">
        <v>55</v>
      </c>
      <c r="X10" s="27">
        <v>18</v>
      </c>
      <c r="Y10" s="32"/>
      <c r="Z10" s="27">
        <v>70</v>
      </c>
      <c r="AA10" s="27">
        <v>22</v>
      </c>
      <c r="AB10" s="32"/>
      <c r="AC10" s="27">
        <v>60</v>
      </c>
      <c r="AD10" s="27">
        <v>18</v>
      </c>
      <c r="AE10" s="32"/>
      <c r="AF10" s="27">
        <v>40</v>
      </c>
      <c r="AG10" s="27">
        <v>13</v>
      </c>
      <c r="AH10" s="32"/>
      <c r="AI10" s="27">
        <v>65</v>
      </c>
      <c r="AJ10" s="27">
        <v>20</v>
      </c>
      <c r="AK10" s="32"/>
      <c r="AL10" s="27">
        <f>AM10*0.293071</f>
        <v>67.406330000000011</v>
      </c>
      <c r="AM10" s="27">
        <v>230</v>
      </c>
      <c r="AN10" s="32"/>
      <c r="AO10" s="27">
        <v>0.5</v>
      </c>
      <c r="AP10" s="27">
        <f>AO10*3.412</f>
        <v>1.706</v>
      </c>
      <c r="AQ10" s="32"/>
      <c r="AR10" s="27">
        <v>4</v>
      </c>
      <c r="AS10" s="27">
        <f>AR10*3.412</f>
        <v>13.648</v>
      </c>
      <c r="AT10" s="32"/>
      <c r="AU10" s="27">
        <v>50</v>
      </c>
      <c r="AV10" s="30">
        <f>AU10*3.412</f>
        <v>170.6</v>
      </c>
      <c r="AW10" s="97"/>
      <c r="AX10" s="79"/>
      <c r="AY10" s="40"/>
      <c r="AZ10" s="40"/>
      <c r="BA10" s="97"/>
      <c r="BB10" s="79"/>
      <c r="BC10" s="40"/>
      <c r="BD10" s="40"/>
      <c r="BE10" s="10" t="s">
        <v>112</v>
      </c>
      <c r="BF10" s="10" t="s">
        <v>111</v>
      </c>
      <c r="BG10" s="66"/>
      <c r="BH10" s="66"/>
      <c r="BI10" s="55"/>
      <c r="BJ10" s="56"/>
      <c r="BK10" s="56"/>
      <c r="BL10" s="43"/>
      <c r="BM10" s="73"/>
      <c r="BN10" s="74"/>
      <c r="BO10" s="43"/>
      <c r="BP10" s="55"/>
      <c r="BQ10" s="43"/>
      <c r="BR10" s="43"/>
      <c r="BS10" s="43"/>
      <c r="BT10" s="43"/>
      <c r="BU10" s="56"/>
      <c r="BV10" s="56"/>
      <c r="BW10" s="43"/>
      <c r="BX10" s="43"/>
      <c r="BY10" s="56"/>
      <c r="BZ10" s="73"/>
      <c r="CA10" s="74"/>
      <c r="CB10" s="43"/>
      <c r="CC10" s="43"/>
      <c r="CD10" s="43"/>
      <c r="CE10" s="43"/>
      <c r="CF10" s="43"/>
      <c r="CG10" s="43"/>
      <c r="CH10" s="43"/>
      <c r="CI10" s="43"/>
      <c r="CJ10" s="43"/>
      <c r="CK10" s="66"/>
      <c r="CL10" s="66"/>
      <c r="CM10" s="43"/>
      <c r="CN10" s="43"/>
      <c r="CO10" s="43"/>
      <c r="CP10" s="43"/>
      <c r="CQ10" s="66"/>
      <c r="CR10" s="66"/>
      <c r="CS10" s="66"/>
    </row>
    <row r="11" spans="1:97" s="8" customFormat="1" ht="15" customHeight="1" thickBot="1" x14ac:dyDescent="0.3">
      <c r="A11" s="7">
        <v>1</v>
      </c>
      <c r="B11" s="7">
        <v>2</v>
      </c>
      <c r="C11" s="7">
        <v>3</v>
      </c>
      <c r="D11" s="7">
        <v>4</v>
      </c>
      <c r="E11" s="7">
        <v>5</v>
      </c>
      <c r="F11" s="7">
        <v>6</v>
      </c>
      <c r="G11" s="33">
        <v>7</v>
      </c>
      <c r="H11" s="7">
        <v>8</v>
      </c>
      <c r="I11" s="7">
        <v>9</v>
      </c>
      <c r="J11" s="33">
        <v>10</v>
      </c>
      <c r="K11" s="7">
        <v>11</v>
      </c>
      <c r="L11" s="7">
        <v>12</v>
      </c>
      <c r="M11" s="33">
        <v>13</v>
      </c>
      <c r="N11" s="7">
        <v>14</v>
      </c>
      <c r="O11" s="7">
        <v>15</v>
      </c>
      <c r="P11" s="33">
        <v>16</v>
      </c>
      <c r="Q11" s="7">
        <v>17</v>
      </c>
      <c r="R11" s="7">
        <v>18</v>
      </c>
      <c r="S11" s="33">
        <v>19</v>
      </c>
      <c r="T11" s="7">
        <v>20</v>
      </c>
      <c r="U11" s="7">
        <v>21</v>
      </c>
      <c r="V11" s="33">
        <v>22</v>
      </c>
      <c r="W11" s="7">
        <v>23</v>
      </c>
      <c r="X11" s="7">
        <v>24</v>
      </c>
      <c r="Y11" s="33">
        <v>25</v>
      </c>
      <c r="Z11" s="7">
        <v>26</v>
      </c>
      <c r="AA11" s="7">
        <v>27</v>
      </c>
      <c r="AB11" s="33">
        <v>28</v>
      </c>
      <c r="AC11" s="7">
        <v>29</v>
      </c>
      <c r="AD11" s="7">
        <v>30</v>
      </c>
      <c r="AE11" s="33">
        <v>31</v>
      </c>
      <c r="AF11" s="7">
        <v>32</v>
      </c>
      <c r="AG11" s="7">
        <v>33</v>
      </c>
      <c r="AH11" s="33">
        <v>34</v>
      </c>
      <c r="AI11" s="7">
        <v>35</v>
      </c>
      <c r="AJ11" s="7">
        <v>36</v>
      </c>
      <c r="AK11" s="33">
        <v>37</v>
      </c>
      <c r="AL11" s="7">
        <v>38</v>
      </c>
      <c r="AM11" s="7">
        <v>39</v>
      </c>
      <c r="AN11" s="7">
        <v>40</v>
      </c>
      <c r="AO11" s="7">
        <v>41</v>
      </c>
      <c r="AP11" s="7">
        <v>42</v>
      </c>
      <c r="AQ11" s="7">
        <v>43</v>
      </c>
      <c r="AR11" s="7">
        <v>44</v>
      </c>
      <c r="AS11" s="7">
        <v>45</v>
      </c>
      <c r="AT11" s="7">
        <v>46</v>
      </c>
      <c r="AU11" s="7">
        <v>47</v>
      </c>
      <c r="AV11" s="7">
        <v>48</v>
      </c>
      <c r="AW11" s="7">
        <v>49</v>
      </c>
      <c r="AX11" s="7">
        <v>50</v>
      </c>
      <c r="AY11" s="7">
        <v>51</v>
      </c>
      <c r="AZ11" s="7">
        <v>52</v>
      </c>
      <c r="BA11" s="7">
        <v>53</v>
      </c>
      <c r="BB11" s="7">
        <v>54</v>
      </c>
      <c r="BC11" s="7">
        <v>55</v>
      </c>
      <c r="BD11" s="7">
        <v>56</v>
      </c>
      <c r="BE11" s="7">
        <v>57</v>
      </c>
      <c r="BF11" s="7">
        <v>58</v>
      </c>
      <c r="BG11" s="7">
        <v>59</v>
      </c>
      <c r="BH11" s="7">
        <v>60</v>
      </c>
      <c r="BI11" s="7">
        <v>61</v>
      </c>
      <c r="BJ11" s="7">
        <v>62</v>
      </c>
      <c r="BK11" s="7">
        <v>63</v>
      </c>
      <c r="BL11" s="7">
        <v>64</v>
      </c>
      <c r="BM11" s="7">
        <v>65</v>
      </c>
      <c r="BN11" s="7">
        <v>66</v>
      </c>
      <c r="BO11" s="7">
        <v>67</v>
      </c>
      <c r="BP11" s="7">
        <v>68</v>
      </c>
      <c r="BQ11" s="7">
        <v>69</v>
      </c>
      <c r="BR11" s="7">
        <v>70</v>
      </c>
      <c r="BS11" s="7">
        <v>71</v>
      </c>
      <c r="BT11" s="7">
        <v>72</v>
      </c>
      <c r="BU11" s="7">
        <v>73</v>
      </c>
      <c r="BV11" s="7">
        <v>74</v>
      </c>
      <c r="BW11" s="7">
        <v>75</v>
      </c>
      <c r="BX11" s="7">
        <v>76</v>
      </c>
      <c r="BY11" s="7">
        <v>77</v>
      </c>
      <c r="BZ11" s="7">
        <v>78</v>
      </c>
      <c r="CA11" s="7">
        <v>79</v>
      </c>
      <c r="CB11" s="7">
        <v>80</v>
      </c>
      <c r="CC11" s="7">
        <v>81</v>
      </c>
      <c r="CD11" s="7">
        <v>82</v>
      </c>
      <c r="CE11" s="7">
        <v>83</v>
      </c>
      <c r="CF11" s="7">
        <v>84</v>
      </c>
      <c r="CG11" s="7">
        <v>85</v>
      </c>
      <c r="CH11" s="7">
        <v>86</v>
      </c>
      <c r="CI11" s="7">
        <v>87</v>
      </c>
      <c r="CJ11" s="7">
        <v>88</v>
      </c>
      <c r="CK11" s="7">
        <v>89</v>
      </c>
      <c r="CL11" s="7">
        <v>90</v>
      </c>
      <c r="CM11" s="7">
        <v>91</v>
      </c>
      <c r="CN11" s="7">
        <v>92</v>
      </c>
      <c r="CO11" s="7">
        <v>93</v>
      </c>
      <c r="CP11" s="7">
        <v>94</v>
      </c>
      <c r="CQ11" s="7">
        <v>95</v>
      </c>
      <c r="CR11" s="7">
        <v>96</v>
      </c>
      <c r="CS11" s="7">
        <v>97</v>
      </c>
    </row>
    <row r="12" spans="1:97" ht="15.75" thickTop="1" x14ac:dyDescent="0.25">
      <c r="A12" s="1">
        <v>1</v>
      </c>
      <c r="B12" s="1">
        <v>3</v>
      </c>
      <c r="C12" s="1">
        <v>15</v>
      </c>
      <c r="D12" s="1">
        <v>0</v>
      </c>
      <c r="E12" s="9">
        <v>0.33333333333333331</v>
      </c>
      <c r="F12" s="1">
        <v>2</v>
      </c>
      <c r="G12" s="31">
        <v>0</v>
      </c>
      <c r="H12" s="1">
        <f>G12*73.25</f>
        <v>0</v>
      </c>
      <c r="I12" s="1">
        <f>G12*250</f>
        <v>0</v>
      </c>
      <c r="J12" s="31">
        <v>0</v>
      </c>
      <c r="K12" s="1">
        <f>J12*70</f>
        <v>0</v>
      </c>
      <c r="L12" s="1">
        <f>J12*22</f>
        <v>0</v>
      </c>
      <c r="M12" s="31">
        <v>0</v>
      </c>
      <c r="N12" s="1">
        <f>M12*60</f>
        <v>0</v>
      </c>
      <c r="O12" s="1">
        <f>M12*18</f>
        <v>0</v>
      </c>
      <c r="P12" s="31">
        <v>0</v>
      </c>
      <c r="Q12" s="1">
        <f>P12*100</f>
        <v>0</v>
      </c>
      <c r="R12" s="1">
        <f>P12*31</f>
        <v>0</v>
      </c>
      <c r="S12" s="31">
        <v>0</v>
      </c>
      <c r="T12" s="1">
        <f>S12*60</f>
        <v>0</v>
      </c>
      <c r="U12" s="1">
        <f>S12*18</f>
        <v>0</v>
      </c>
      <c r="V12" s="31">
        <v>0</v>
      </c>
      <c r="W12" s="1">
        <f>V12*55</f>
        <v>0</v>
      </c>
      <c r="X12" s="1">
        <f>V12*18</f>
        <v>0</v>
      </c>
      <c r="Y12" s="31">
        <v>0</v>
      </c>
      <c r="Z12" s="1">
        <f>Y12*70</f>
        <v>0</v>
      </c>
      <c r="AA12" s="1">
        <f>Y12*22</f>
        <v>0</v>
      </c>
      <c r="AB12" s="31">
        <v>0</v>
      </c>
      <c r="AC12" s="1">
        <f>AB12*60</f>
        <v>0</v>
      </c>
      <c r="AD12" s="1">
        <f>AB12*18</f>
        <v>0</v>
      </c>
      <c r="AE12" s="31">
        <v>0</v>
      </c>
      <c r="AF12" s="1">
        <f>AE12*40</f>
        <v>0</v>
      </c>
      <c r="AG12" s="1">
        <f>AE12*13</f>
        <v>0</v>
      </c>
      <c r="AH12" s="31">
        <v>0</v>
      </c>
      <c r="AI12" s="1">
        <f>AH12*65</f>
        <v>0</v>
      </c>
      <c r="AJ12" s="1">
        <f>AH12*20</f>
        <v>0</v>
      </c>
      <c r="AK12" s="31">
        <v>0</v>
      </c>
      <c r="AL12" s="1">
        <f>AK12*67.40633</f>
        <v>0</v>
      </c>
      <c r="AM12" s="1">
        <f>AK12*23</f>
        <v>0</v>
      </c>
      <c r="AN12" s="31">
        <v>0</v>
      </c>
      <c r="AO12" s="1">
        <f>AN12*0.5</f>
        <v>0</v>
      </c>
      <c r="AP12" s="1">
        <f>AN12*1.706</f>
        <v>0</v>
      </c>
      <c r="AQ12" s="31">
        <v>0</v>
      </c>
      <c r="AR12" s="1">
        <f>AQ12*4</f>
        <v>0</v>
      </c>
      <c r="AS12" s="1">
        <f>AQ12*13.648</f>
        <v>0</v>
      </c>
      <c r="AT12" s="31">
        <v>0</v>
      </c>
      <c r="AU12" s="1">
        <f>AT12*50</f>
        <v>0</v>
      </c>
      <c r="AV12" s="1">
        <f>AT12*170.6</f>
        <v>0</v>
      </c>
      <c r="AW12" s="31">
        <v>28.74</v>
      </c>
      <c r="AX12" s="31">
        <v>49.75</v>
      </c>
      <c r="AY12" s="31">
        <v>1009.76</v>
      </c>
      <c r="AZ12" s="31">
        <f>AY12/100</f>
        <v>10.0976</v>
      </c>
      <c r="BA12" s="31">
        <v>29</v>
      </c>
      <c r="BB12" s="31">
        <v>41</v>
      </c>
      <c r="BC12" s="31">
        <v>1010</v>
      </c>
      <c r="BD12" s="31">
        <f>BC12/100</f>
        <v>10.1</v>
      </c>
      <c r="BE12" s="16">
        <f>H12+K12+N12+Q12+T12+W12+Z12+AC12+AF12+AI12+AL12+AO12+AR12+AU12</f>
        <v>0</v>
      </c>
      <c r="BF12" s="16">
        <f>I12+L12+O12+R12+U12+X12+AA12+AD12+AG12+AJ12+AM12+AP12+AS12+AV12</f>
        <v>0</v>
      </c>
      <c r="BG12" s="19">
        <f>BE12/(4840*ABS((BB12-AX12)))</f>
        <v>0</v>
      </c>
      <c r="BH12" s="19">
        <f>(25+8.3+(2*20))</f>
        <v>73.3</v>
      </c>
      <c r="BI12" s="1">
        <f t="shared" ref="BI12:BI17" si="0">IF((G12*20)&gt;($B$4*20),$B$4*20,G12*20)</f>
        <v>0</v>
      </c>
      <c r="BJ12" s="25">
        <f t="shared" ref="BJ12:BJ16" si="1">BH12+BI12+BG12</f>
        <v>73.3</v>
      </c>
      <c r="BK12" s="25">
        <f>BJ12*1.69901</f>
        <v>124.53743299999999</v>
      </c>
      <c r="BL12" s="1">
        <v>750</v>
      </c>
      <c r="BM12" s="1">
        <f>(BJ12/BH12)*BL12</f>
        <v>750</v>
      </c>
      <c r="BN12" s="25">
        <f>IF(BM12&lt;(BL12*2),BM12,(BL12*2))</f>
        <v>750</v>
      </c>
      <c r="BO12" s="1">
        <f>AZ12</f>
        <v>10.0976</v>
      </c>
      <c r="BP12" s="25">
        <f>((BN12/BL12)^2)*BO12</f>
        <v>10.0976</v>
      </c>
      <c r="BQ12" s="3">
        <v>5</v>
      </c>
      <c r="BR12" s="6">
        <f>((BN12/BL12)^3)*BQ12</f>
        <v>5</v>
      </c>
      <c r="BS12" s="6">
        <f>BQ12*745.7</f>
        <v>3728.5</v>
      </c>
      <c r="BT12" s="6">
        <f>BS12/1000</f>
        <v>3.7284999999999999</v>
      </c>
      <c r="BU12" s="6">
        <f>BR12*745.7</f>
        <v>3728.5</v>
      </c>
      <c r="BV12" s="15">
        <f>BU12/1000</f>
        <v>3.7284999999999999</v>
      </c>
      <c r="BW12" s="6">
        <f>(((BN12/((BJ12/(BH12*2))*BL12))^3)*BR12)*745.7</f>
        <v>29828</v>
      </c>
      <c r="BX12" s="20">
        <f>BW12/1000</f>
        <v>29.827999999999999</v>
      </c>
      <c r="BY12" s="20">
        <v>70</v>
      </c>
      <c r="BZ12" s="3">
        <f>100-((BH12/BJ12)*100)</f>
        <v>0</v>
      </c>
      <c r="CA12" s="14">
        <f>IF(BZ12&lt;30,30,IF(BZ12&gt;60,70,BZ12))</f>
        <v>30</v>
      </c>
      <c r="CB12" s="3">
        <f>J12*70</f>
        <v>0</v>
      </c>
      <c r="CC12" s="3">
        <f t="shared" ref="CC12:CC17" si="2">M12*60</f>
        <v>0</v>
      </c>
      <c r="CD12" s="3">
        <f>P12*100</f>
        <v>0</v>
      </c>
      <c r="CE12" s="3">
        <f>S12*60</f>
        <v>0</v>
      </c>
      <c r="CF12" s="3">
        <f t="shared" ref="CF12:CF17" si="3">V12*55</f>
        <v>0</v>
      </c>
      <c r="CG12" s="3">
        <f>Y12*70</f>
        <v>0</v>
      </c>
      <c r="CH12" s="3">
        <f>AB12*60</f>
        <v>0</v>
      </c>
      <c r="CI12" s="3">
        <f>AE12*40</f>
        <v>0</v>
      </c>
      <c r="CJ12" s="3">
        <f>AH12*65</f>
        <v>0</v>
      </c>
      <c r="CK12" s="3">
        <f>AK12*67.40633</f>
        <v>0</v>
      </c>
      <c r="CL12" s="14">
        <f>SUM(CB12:CK12)</f>
        <v>0</v>
      </c>
      <c r="CM12" s="28">
        <f>CL12*$B$2</f>
        <v>0</v>
      </c>
      <c r="CN12" s="28">
        <f>CM12*0.86</f>
        <v>0</v>
      </c>
      <c r="CO12" s="28">
        <f>CN12/60</f>
        <v>0</v>
      </c>
      <c r="CP12" s="28">
        <f>CN12*24</f>
        <v>0</v>
      </c>
      <c r="CQ12" s="24">
        <f>CL12*$B$2*0.000239006*86400</f>
        <v>0</v>
      </c>
      <c r="CR12" s="21">
        <f>CQ12/1440</f>
        <v>0</v>
      </c>
      <c r="CS12" s="21">
        <f>CR12*0.239</f>
        <v>0</v>
      </c>
    </row>
    <row r="13" spans="1:97" x14ac:dyDescent="0.25">
      <c r="A13" s="1">
        <v>1</v>
      </c>
      <c r="B13" s="1">
        <v>3</v>
      </c>
      <c r="C13" s="1">
        <v>15</v>
      </c>
      <c r="D13" s="1">
        <v>2</v>
      </c>
      <c r="E13" s="9">
        <v>0.33680555555555558</v>
      </c>
      <c r="F13" s="1">
        <v>2</v>
      </c>
      <c r="G13" s="31">
        <v>0</v>
      </c>
      <c r="H13" s="1">
        <f t="shared" ref="H13:H17" si="4">G13*73.25</f>
        <v>0</v>
      </c>
      <c r="I13" s="1">
        <f t="shared" ref="I13:I17" si="5">G13*250</f>
        <v>0</v>
      </c>
      <c r="J13" s="31">
        <v>0</v>
      </c>
      <c r="K13" s="1">
        <f t="shared" ref="K13:K16" si="6">J13*70</f>
        <v>0</v>
      </c>
      <c r="L13" s="1">
        <f t="shared" ref="L13:L16" si="7">J13*22</f>
        <v>0</v>
      </c>
      <c r="M13" s="31">
        <v>0</v>
      </c>
      <c r="N13" s="1">
        <f t="shared" ref="N13:N17" si="8">M13*60</f>
        <v>0</v>
      </c>
      <c r="O13" s="1">
        <f t="shared" ref="O13:O17" si="9">M13*18</f>
        <v>0</v>
      </c>
      <c r="P13" s="31">
        <v>0</v>
      </c>
      <c r="Q13" s="1">
        <f t="shared" ref="Q13:Q16" si="10">P13*100</f>
        <v>0</v>
      </c>
      <c r="R13" s="1">
        <f t="shared" ref="R13:R16" si="11">P13*31</f>
        <v>0</v>
      </c>
      <c r="S13" s="31">
        <v>0</v>
      </c>
      <c r="T13" s="1">
        <f t="shared" ref="T13:T16" si="12">S13*60</f>
        <v>0</v>
      </c>
      <c r="U13" s="1">
        <f t="shared" ref="U13:U16" si="13">S13*18</f>
        <v>0</v>
      </c>
      <c r="V13" s="31">
        <v>0</v>
      </c>
      <c r="W13" s="1">
        <f t="shared" ref="W13:W17" si="14">V13*55</f>
        <v>0</v>
      </c>
      <c r="X13" s="1">
        <f t="shared" ref="X13:X17" si="15">V13*18</f>
        <v>0</v>
      </c>
      <c r="Y13" s="31">
        <v>0</v>
      </c>
      <c r="Z13" s="1">
        <f t="shared" ref="Z13:Z16" si="16">Y13*70</f>
        <v>0</v>
      </c>
      <c r="AA13" s="1">
        <f t="shared" ref="AA13:AA16" si="17">Y13*22</f>
        <v>0</v>
      </c>
      <c r="AB13" s="31">
        <v>0</v>
      </c>
      <c r="AC13" s="1">
        <f t="shared" ref="AC13:AC16" si="18">AB13*60</f>
        <v>0</v>
      </c>
      <c r="AD13" s="1">
        <f t="shared" ref="AD13:AD16" si="19">AB13*18</f>
        <v>0</v>
      </c>
      <c r="AE13" s="31">
        <v>0</v>
      </c>
      <c r="AF13" s="1">
        <f t="shared" ref="AF13:AF16" si="20">AE13*40</f>
        <v>0</v>
      </c>
      <c r="AG13" s="1">
        <f t="shared" ref="AG13:AG16" si="21">AE13*13</f>
        <v>0</v>
      </c>
      <c r="AH13" s="31">
        <v>0</v>
      </c>
      <c r="AI13" s="1">
        <f t="shared" ref="AI13:AI16" si="22">AH13*65</f>
        <v>0</v>
      </c>
      <c r="AJ13" s="1">
        <f t="shared" ref="AJ13:AJ16" si="23">AH13*20</f>
        <v>0</v>
      </c>
      <c r="AK13" s="31">
        <v>0</v>
      </c>
      <c r="AL13" s="1">
        <f t="shared" ref="AL13:AL16" si="24">AK13*67.40633</f>
        <v>0</v>
      </c>
      <c r="AM13" s="1">
        <f t="shared" ref="AM13:AM16" si="25">AK13*23</f>
        <v>0</v>
      </c>
      <c r="AN13" s="31">
        <v>0</v>
      </c>
      <c r="AO13" s="1">
        <f t="shared" ref="AO13:AO16" si="26">AN13*0.5</f>
        <v>0</v>
      </c>
      <c r="AP13" s="1">
        <f t="shared" ref="AP13:AP16" si="27">AN13*1.706</f>
        <v>0</v>
      </c>
      <c r="AQ13" s="31">
        <v>0</v>
      </c>
      <c r="AR13" s="1">
        <f t="shared" ref="AR13:AR17" si="28">AQ13*4</f>
        <v>0</v>
      </c>
      <c r="AS13" s="1">
        <f t="shared" ref="AS13:AS17" si="29">AQ13*13.648</f>
        <v>0</v>
      </c>
      <c r="AT13" s="31">
        <v>0</v>
      </c>
      <c r="AU13" s="1">
        <f t="shared" ref="AU13:AU16" si="30">AT13*50</f>
        <v>0</v>
      </c>
      <c r="AV13" s="1">
        <f t="shared" ref="AV13:AV16" si="31">AT13*170.6</f>
        <v>0</v>
      </c>
      <c r="AW13" s="31">
        <v>28.74</v>
      </c>
      <c r="AX13" s="31">
        <v>49.75</v>
      </c>
      <c r="AY13" s="31">
        <v>1009.76</v>
      </c>
      <c r="AZ13" s="31">
        <f t="shared" ref="AZ13:AZ76" si="32">AY13/100</f>
        <v>10.0976</v>
      </c>
      <c r="BA13" s="31">
        <v>29</v>
      </c>
      <c r="BB13" s="31">
        <v>41</v>
      </c>
      <c r="BC13" s="31">
        <v>1010</v>
      </c>
      <c r="BD13" s="31">
        <f t="shared" ref="BD13:BD16" si="33">BC13/100</f>
        <v>10.1</v>
      </c>
      <c r="BE13" s="16">
        <f t="shared" ref="BE13:BE16" si="34">H13+K13+N13+Q13+T13+W13+Z13+AC13+AF13+AI13+AL13+AO13+AR13+AU13</f>
        <v>0</v>
      </c>
      <c r="BF13" s="16">
        <f t="shared" ref="BF13:BF16" si="35">I13+L13+O13+R13+U13+X13+AA13+AD13+AG13+AJ13+AM13+AP13+AS13+AV13</f>
        <v>0</v>
      </c>
      <c r="BG13" s="19">
        <f>BE13/(4840*ABS((BB13-AX13)))</f>
        <v>0</v>
      </c>
      <c r="BH13" s="19">
        <f t="shared" ref="BH13:BH16" si="36">(25+8.3+(2*20))</f>
        <v>73.3</v>
      </c>
      <c r="BI13" s="1">
        <f t="shared" si="0"/>
        <v>0</v>
      </c>
      <c r="BJ13" s="25">
        <f t="shared" si="1"/>
        <v>73.3</v>
      </c>
      <c r="BK13" s="25">
        <f t="shared" ref="BK13:BK16" si="37">BJ13*1.69901</f>
        <v>124.53743299999999</v>
      </c>
      <c r="BL13" s="1">
        <v>750</v>
      </c>
      <c r="BM13" s="1">
        <f t="shared" ref="BM13:BM15" si="38">(BJ13/BH13)*BL13</f>
        <v>750</v>
      </c>
      <c r="BN13" s="25">
        <f t="shared" ref="BN13:BN16" si="39">IF(BM13&lt;(BL13*2),BM13,(BL13*2))</f>
        <v>750</v>
      </c>
      <c r="BO13" s="1">
        <f t="shared" ref="BO13:BO16" si="40">AZ13</f>
        <v>10.0976</v>
      </c>
      <c r="BP13" s="25">
        <f>((BN13/BL13)^2)*BO13</f>
        <v>10.0976</v>
      </c>
      <c r="BQ13" s="3">
        <v>5</v>
      </c>
      <c r="BR13" s="6">
        <f>((BN13/BL13)^3)*BQ13</f>
        <v>5</v>
      </c>
      <c r="BS13" s="6">
        <f>BQ13*745.7</f>
        <v>3728.5</v>
      </c>
      <c r="BT13" s="6">
        <f t="shared" ref="BT13:BT15" si="41">BS13/1000</f>
        <v>3.7284999999999999</v>
      </c>
      <c r="BU13" s="6">
        <f>BR13*745.7</f>
        <v>3728.5</v>
      </c>
      <c r="BV13" s="15">
        <f t="shared" ref="BV13:BV15" si="42">BU13/1000</f>
        <v>3.7284999999999999</v>
      </c>
      <c r="BW13" s="6">
        <f>BW12</f>
        <v>29828</v>
      </c>
      <c r="BX13" s="20">
        <f t="shared" ref="BX13:BX15" si="43">BW13/1000</f>
        <v>29.827999999999999</v>
      </c>
      <c r="BY13" s="20">
        <v>70</v>
      </c>
      <c r="BZ13" s="3">
        <f>100-((BH13/BJ13)*100)</f>
        <v>0</v>
      </c>
      <c r="CA13" s="14">
        <f t="shared" ref="CA13:CA16" si="44">IF(BZ13&lt;30,30,IF(BZ13&gt;60,70,BZ13))</f>
        <v>30</v>
      </c>
      <c r="CB13" s="3">
        <f>J13*70</f>
        <v>0</v>
      </c>
      <c r="CC13" s="3">
        <f t="shared" si="2"/>
        <v>0</v>
      </c>
      <c r="CD13" s="3">
        <f>P13*100</f>
        <v>0</v>
      </c>
      <c r="CE13" s="3">
        <f>S13*60</f>
        <v>0</v>
      </c>
      <c r="CF13" s="3">
        <f t="shared" si="3"/>
        <v>0</v>
      </c>
      <c r="CG13" s="3">
        <f>Y13*70</f>
        <v>0</v>
      </c>
      <c r="CH13" s="3">
        <f>AB13*60</f>
        <v>0</v>
      </c>
      <c r="CI13" s="3">
        <f>AE13*40</f>
        <v>0</v>
      </c>
      <c r="CJ13" s="3">
        <f>AH13*65</f>
        <v>0</v>
      </c>
      <c r="CK13" s="3">
        <f t="shared" ref="CK13:CK16" si="45">AK13*67.40633</f>
        <v>0</v>
      </c>
      <c r="CL13" s="14">
        <f t="shared" ref="CL13:CL16" si="46">SUM(CB13:CK13)</f>
        <v>0</v>
      </c>
      <c r="CM13" s="28">
        <f>CL13*$B$2</f>
        <v>0</v>
      </c>
      <c r="CN13" s="28">
        <f t="shared" ref="CN13:CN16" si="47">CM13*0.86</f>
        <v>0</v>
      </c>
      <c r="CO13" s="28">
        <f t="shared" ref="CO13:CO16" si="48">CN13/60</f>
        <v>0</v>
      </c>
      <c r="CP13" s="28">
        <f t="shared" ref="CP13:CP16" si="49">CN13*24</f>
        <v>0</v>
      </c>
      <c r="CQ13" s="24">
        <f>CL13*$B$2*0.000239006*86400</f>
        <v>0</v>
      </c>
      <c r="CR13" s="21">
        <f t="shared" ref="CR13:CR16" si="50">CQ13/1440</f>
        <v>0</v>
      </c>
      <c r="CS13" s="21">
        <f t="shared" ref="CS13:CS16" si="51">CR13*0.239</f>
        <v>0</v>
      </c>
    </row>
    <row r="14" spans="1:97" x14ac:dyDescent="0.25">
      <c r="A14" s="1">
        <v>1</v>
      </c>
      <c r="B14" s="1">
        <v>3</v>
      </c>
      <c r="C14" s="1">
        <v>15</v>
      </c>
      <c r="D14" s="1">
        <v>3</v>
      </c>
      <c r="E14" s="9">
        <v>0.34027777777777773</v>
      </c>
      <c r="F14" s="1">
        <v>2</v>
      </c>
      <c r="G14" s="31">
        <v>1</v>
      </c>
      <c r="H14" s="1">
        <f t="shared" si="4"/>
        <v>73.25</v>
      </c>
      <c r="I14" s="1">
        <f t="shared" si="5"/>
        <v>250</v>
      </c>
      <c r="J14" s="31">
        <v>1</v>
      </c>
      <c r="K14" s="1">
        <f t="shared" si="6"/>
        <v>70</v>
      </c>
      <c r="L14" s="1">
        <f t="shared" si="7"/>
        <v>22</v>
      </c>
      <c r="M14" s="31">
        <v>0</v>
      </c>
      <c r="N14" s="1">
        <f t="shared" si="8"/>
        <v>0</v>
      </c>
      <c r="O14" s="1">
        <f t="shared" si="9"/>
        <v>0</v>
      </c>
      <c r="P14" s="31">
        <v>0</v>
      </c>
      <c r="Q14" s="1">
        <f t="shared" si="10"/>
        <v>0</v>
      </c>
      <c r="R14" s="1">
        <f t="shared" si="11"/>
        <v>0</v>
      </c>
      <c r="S14" s="31">
        <v>0</v>
      </c>
      <c r="T14" s="1">
        <f t="shared" si="12"/>
        <v>0</v>
      </c>
      <c r="U14" s="1">
        <f t="shared" si="13"/>
        <v>0</v>
      </c>
      <c r="V14" s="31">
        <v>0</v>
      </c>
      <c r="W14" s="1">
        <f t="shared" si="14"/>
        <v>0</v>
      </c>
      <c r="X14" s="1">
        <f t="shared" si="15"/>
        <v>0</v>
      </c>
      <c r="Y14" s="31">
        <v>0</v>
      </c>
      <c r="Z14" s="1">
        <f t="shared" si="16"/>
        <v>0</v>
      </c>
      <c r="AA14" s="1">
        <f t="shared" si="17"/>
        <v>0</v>
      </c>
      <c r="AB14" s="31">
        <v>0</v>
      </c>
      <c r="AC14" s="1">
        <f t="shared" si="18"/>
        <v>0</v>
      </c>
      <c r="AD14" s="1">
        <f t="shared" si="19"/>
        <v>0</v>
      </c>
      <c r="AE14" s="31">
        <v>0</v>
      </c>
      <c r="AF14" s="1">
        <f t="shared" si="20"/>
        <v>0</v>
      </c>
      <c r="AG14" s="1">
        <f t="shared" si="21"/>
        <v>0</v>
      </c>
      <c r="AH14" s="31">
        <v>0</v>
      </c>
      <c r="AI14" s="1">
        <f t="shared" si="22"/>
        <v>0</v>
      </c>
      <c r="AJ14" s="1">
        <f t="shared" si="23"/>
        <v>0</v>
      </c>
      <c r="AK14" s="31">
        <v>0</v>
      </c>
      <c r="AL14" s="1">
        <f t="shared" si="24"/>
        <v>0</v>
      </c>
      <c r="AM14" s="1">
        <f t="shared" si="25"/>
        <v>0</v>
      </c>
      <c r="AN14" s="31">
        <v>1</v>
      </c>
      <c r="AO14" s="1">
        <f t="shared" si="26"/>
        <v>0.5</v>
      </c>
      <c r="AP14" s="1">
        <f t="shared" si="27"/>
        <v>1.706</v>
      </c>
      <c r="AQ14" s="31">
        <v>0</v>
      </c>
      <c r="AR14" s="1">
        <f t="shared" si="28"/>
        <v>0</v>
      </c>
      <c r="AS14" s="1">
        <f t="shared" si="29"/>
        <v>0</v>
      </c>
      <c r="AT14" s="31">
        <v>0</v>
      </c>
      <c r="AU14" s="1">
        <f t="shared" si="30"/>
        <v>0</v>
      </c>
      <c r="AV14" s="1">
        <f t="shared" si="31"/>
        <v>0</v>
      </c>
      <c r="AW14" s="31">
        <v>28.74</v>
      </c>
      <c r="AX14" s="31">
        <v>49.75</v>
      </c>
      <c r="AY14" s="31">
        <v>1009.76</v>
      </c>
      <c r="AZ14" s="31">
        <f t="shared" si="32"/>
        <v>10.0976</v>
      </c>
      <c r="BA14" s="31">
        <v>29</v>
      </c>
      <c r="BB14" s="31">
        <v>41</v>
      </c>
      <c r="BC14" s="31">
        <v>1010</v>
      </c>
      <c r="BD14" s="31">
        <f t="shared" si="33"/>
        <v>10.1</v>
      </c>
      <c r="BE14" s="16">
        <f t="shared" si="34"/>
        <v>143.75</v>
      </c>
      <c r="BF14" s="16">
        <f t="shared" si="35"/>
        <v>273.70600000000002</v>
      </c>
      <c r="BG14" s="19">
        <f>BE14/(4840*ABS((BB14-AX14)))</f>
        <v>3.3943329397874852E-3</v>
      </c>
      <c r="BH14" s="19">
        <f t="shared" si="36"/>
        <v>73.3</v>
      </c>
      <c r="BI14" s="1">
        <f t="shared" si="0"/>
        <v>20</v>
      </c>
      <c r="BJ14" s="25">
        <f t="shared" si="1"/>
        <v>93.303394332939789</v>
      </c>
      <c r="BK14" s="25">
        <f t="shared" si="37"/>
        <v>158.52340000560801</v>
      </c>
      <c r="BL14" s="1">
        <v>750</v>
      </c>
      <c r="BM14" s="1">
        <f t="shared" si="38"/>
        <v>954.67320258806069</v>
      </c>
      <c r="BN14" s="25">
        <f t="shared" si="39"/>
        <v>954.67320258806069</v>
      </c>
      <c r="BO14" s="1">
        <f t="shared" si="40"/>
        <v>10.0976</v>
      </c>
      <c r="BP14" s="25">
        <f>((BN14/BL14)^2)*BO14</f>
        <v>16.360821275652341</v>
      </c>
      <c r="BQ14" s="3">
        <v>5</v>
      </c>
      <c r="BR14" s="6">
        <f>((BN14/BL14)^3)*BQ14</f>
        <v>10.31217823654327</v>
      </c>
      <c r="BS14" s="6">
        <f>BQ14*745.7</f>
        <v>3728.5</v>
      </c>
      <c r="BT14" s="6">
        <f t="shared" si="41"/>
        <v>3.7284999999999999</v>
      </c>
      <c r="BU14" s="6">
        <f>BR14*745.7</f>
        <v>7689.7913109903166</v>
      </c>
      <c r="BV14" s="15">
        <f t="shared" si="42"/>
        <v>7.6897913109903167</v>
      </c>
      <c r="BW14" s="6">
        <f>BW13</f>
        <v>29828</v>
      </c>
      <c r="BX14" s="20">
        <f t="shared" si="43"/>
        <v>29.827999999999999</v>
      </c>
      <c r="BY14" s="20">
        <v>70</v>
      </c>
      <c r="BZ14" s="3">
        <f>100-((BH14/BJ14)*100)</f>
        <v>21.439085336553305</v>
      </c>
      <c r="CA14" s="14">
        <f t="shared" si="44"/>
        <v>30</v>
      </c>
      <c r="CB14" s="3">
        <f>J14*70</f>
        <v>70</v>
      </c>
      <c r="CC14" s="3">
        <f t="shared" si="2"/>
        <v>0</v>
      </c>
      <c r="CD14" s="3">
        <f>P14*100</f>
        <v>0</v>
      </c>
      <c r="CE14" s="3">
        <f>S14*60</f>
        <v>0</v>
      </c>
      <c r="CF14" s="3">
        <f t="shared" si="3"/>
        <v>0</v>
      </c>
      <c r="CG14" s="3">
        <f>Y14*70</f>
        <v>0</v>
      </c>
      <c r="CH14" s="3">
        <f>AB14*60</f>
        <v>0</v>
      </c>
      <c r="CI14" s="3">
        <f>AE14*40</f>
        <v>0</v>
      </c>
      <c r="CJ14" s="3">
        <f>AH14*65</f>
        <v>0</v>
      </c>
      <c r="CK14" s="3">
        <f t="shared" si="45"/>
        <v>0</v>
      </c>
      <c r="CL14" s="14">
        <f t="shared" si="46"/>
        <v>70</v>
      </c>
      <c r="CM14" s="28">
        <f>CL14*$B$2</f>
        <v>4.4479011357481868</v>
      </c>
      <c r="CN14" s="28">
        <f t="shared" si="47"/>
        <v>3.8251949767434406</v>
      </c>
      <c r="CO14" s="28">
        <f t="shared" si="48"/>
        <v>6.3753249612390678E-2</v>
      </c>
      <c r="CP14" s="28">
        <f t="shared" si="49"/>
        <v>91.80467944184258</v>
      </c>
      <c r="CQ14" s="24">
        <f>CL14*$B$2*0.000239006*86400</f>
        <v>91.849685084694528</v>
      </c>
      <c r="CR14" s="21">
        <f t="shared" si="50"/>
        <v>6.3784503531037873E-2</v>
      </c>
      <c r="CS14" s="21">
        <f t="shared" si="51"/>
        <v>1.5244496343918052E-2</v>
      </c>
    </row>
    <row r="15" spans="1:97" x14ac:dyDescent="0.25">
      <c r="A15" s="1">
        <v>1</v>
      </c>
      <c r="B15" s="1">
        <v>3</v>
      </c>
      <c r="C15" s="1">
        <v>15</v>
      </c>
      <c r="D15" s="1">
        <v>4</v>
      </c>
      <c r="E15" s="9">
        <v>0.34375</v>
      </c>
      <c r="F15" s="1">
        <v>2</v>
      </c>
      <c r="G15" s="31">
        <v>0</v>
      </c>
      <c r="H15" s="1">
        <f t="shared" si="4"/>
        <v>0</v>
      </c>
      <c r="I15" s="1">
        <f t="shared" si="5"/>
        <v>0</v>
      </c>
      <c r="J15" s="31">
        <v>3</v>
      </c>
      <c r="K15" s="1">
        <f t="shared" si="6"/>
        <v>210</v>
      </c>
      <c r="L15" s="1">
        <f t="shared" si="7"/>
        <v>66</v>
      </c>
      <c r="M15" s="31">
        <v>0</v>
      </c>
      <c r="N15" s="1">
        <f t="shared" si="8"/>
        <v>0</v>
      </c>
      <c r="O15" s="1">
        <f t="shared" si="9"/>
        <v>0</v>
      </c>
      <c r="P15" s="31">
        <v>0</v>
      </c>
      <c r="Q15" s="1">
        <f t="shared" si="10"/>
        <v>0</v>
      </c>
      <c r="R15" s="1">
        <f t="shared" si="11"/>
        <v>0</v>
      </c>
      <c r="S15" s="31">
        <v>0</v>
      </c>
      <c r="T15" s="1">
        <f t="shared" si="12"/>
        <v>0</v>
      </c>
      <c r="U15" s="1">
        <f t="shared" si="13"/>
        <v>0</v>
      </c>
      <c r="V15" s="31">
        <v>0</v>
      </c>
      <c r="W15" s="1">
        <f t="shared" si="14"/>
        <v>0</v>
      </c>
      <c r="X15" s="1">
        <f t="shared" si="15"/>
        <v>0</v>
      </c>
      <c r="Y15" s="31">
        <v>0</v>
      </c>
      <c r="Z15" s="1">
        <f t="shared" si="16"/>
        <v>0</v>
      </c>
      <c r="AA15" s="1">
        <f t="shared" si="17"/>
        <v>0</v>
      </c>
      <c r="AB15" s="31">
        <v>0</v>
      </c>
      <c r="AC15" s="1">
        <f t="shared" si="18"/>
        <v>0</v>
      </c>
      <c r="AD15" s="1">
        <f t="shared" si="19"/>
        <v>0</v>
      </c>
      <c r="AE15" s="31">
        <v>0</v>
      </c>
      <c r="AF15" s="1">
        <f t="shared" si="20"/>
        <v>0</v>
      </c>
      <c r="AG15" s="1">
        <f t="shared" si="21"/>
        <v>0</v>
      </c>
      <c r="AH15" s="31">
        <v>0</v>
      </c>
      <c r="AI15" s="1">
        <f t="shared" si="22"/>
        <v>0</v>
      </c>
      <c r="AJ15" s="1">
        <f t="shared" si="23"/>
        <v>0</v>
      </c>
      <c r="AK15" s="31">
        <v>0</v>
      </c>
      <c r="AL15" s="1">
        <f t="shared" si="24"/>
        <v>0</v>
      </c>
      <c r="AM15" s="1">
        <f t="shared" si="25"/>
        <v>0</v>
      </c>
      <c r="AN15" s="31">
        <v>0</v>
      </c>
      <c r="AO15" s="1">
        <f t="shared" si="26"/>
        <v>0</v>
      </c>
      <c r="AP15" s="1">
        <f t="shared" si="27"/>
        <v>0</v>
      </c>
      <c r="AQ15" s="31">
        <v>0</v>
      </c>
      <c r="AR15" s="1">
        <f t="shared" si="28"/>
        <v>0</v>
      </c>
      <c r="AS15" s="1">
        <f t="shared" si="29"/>
        <v>0</v>
      </c>
      <c r="AT15" s="31">
        <v>0</v>
      </c>
      <c r="AU15" s="1">
        <f t="shared" si="30"/>
        <v>0</v>
      </c>
      <c r="AV15" s="1">
        <f t="shared" si="31"/>
        <v>0</v>
      </c>
      <c r="AW15" s="31">
        <v>28.74</v>
      </c>
      <c r="AX15" s="31">
        <v>49.75</v>
      </c>
      <c r="AY15" s="31">
        <v>1009.76</v>
      </c>
      <c r="AZ15" s="31">
        <f t="shared" si="32"/>
        <v>10.0976</v>
      </c>
      <c r="BA15" s="31">
        <v>29</v>
      </c>
      <c r="BB15" s="31">
        <v>41</v>
      </c>
      <c r="BC15" s="31">
        <v>1010</v>
      </c>
      <c r="BD15" s="31">
        <f t="shared" si="33"/>
        <v>10.1</v>
      </c>
      <c r="BE15" s="16">
        <f t="shared" si="34"/>
        <v>210</v>
      </c>
      <c r="BF15" s="16">
        <f t="shared" si="35"/>
        <v>66</v>
      </c>
      <c r="BG15" s="19">
        <f>BE15/(4840*ABS((BB15-AX15)))</f>
        <v>4.9586776859504135E-3</v>
      </c>
      <c r="BH15" s="19">
        <f t="shared" si="36"/>
        <v>73.3</v>
      </c>
      <c r="BI15" s="1">
        <f t="shared" si="0"/>
        <v>0</v>
      </c>
      <c r="BJ15" s="25">
        <f t="shared" si="1"/>
        <v>73.304958677685946</v>
      </c>
      <c r="BK15" s="25">
        <f t="shared" si="37"/>
        <v>124.5458578429752</v>
      </c>
      <c r="BL15" s="1">
        <v>750</v>
      </c>
      <c r="BM15" s="1">
        <f t="shared" si="38"/>
        <v>750.05073681124782</v>
      </c>
      <c r="BN15" s="25">
        <f t="shared" si="39"/>
        <v>750.05073681124782</v>
      </c>
      <c r="BO15" s="1">
        <f t="shared" si="40"/>
        <v>10.0976</v>
      </c>
      <c r="BP15" s="25">
        <f>((BN15/BL15)^2)*BO15</f>
        <v>10.098966232944655</v>
      </c>
      <c r="BQ15" s="3">
        <v>5</v>
      </c>
      <c r="BR15" s="6">
        <f>((BN15/BL15)^3)*BQ15</f>
        <v>5.0010148048724776</v>
      </c>
      <c r="BS15" s="6">
        <f>BQ15*745.7</f>
        <v>3728.5</v>
      </c>
      <c r="BT15" s="6">
        <f t="shared" si="41"/>
        <v>3.7284999999999999</v>
      </c>
      <c r="BU15" s="6">
        <f>BR15*745.7</f>
        <v>3729.2567399934069</v>
      </c>
      <c r="BV15" s="15">
        <f t="shared" si="42"/>
        <v>3.7292567399934069</v>
      </c>
      <c r="BW15" s="6">
        <f>BW14</f>
        <v>29828</v>
      </c>
      <c r="BX15" s="20">
        <f t="shared" si="43"/>
        <v>29.827999999999999</v>
      </c>
      <c r="BY15" s="20">
        <v>70</v>
      </c>
      <c r="BZ15" s="3">
        <f>100-((BH15/BJ15)*100)</f>
        <v>6.7644505575117364E-3</v>
      </c>
      <c r="CA15" s="14">
        <f t="shared" si="44"/>
        <v>30</v>
      </c>
      <c r="CB15" s="3">
        <f>J15*70</f>
        <v>210</v>
      </c>
      <c r="CC15" s="3">
        <f t="shared" si="2"/>
        <v>0</v>
      </c>
      <c r="CD15" s="3">
        <f>P15*100</f>
        <v>0</v>
      </c>
      <c r="CE15" s="3">
        <f>S15*60</f>
        <v>0</v>
      </c>
      <c r="CF15" s="3">
        <f t="shared" si="3"/>
        <v>0</v>
      </c>
      <c r="CG15" s="3">
        <f>Y15*70</f>
        <v>0</v>
      </c>
      <c r="CH15" s="3">
        <f>AB15*60</f>
        <v>0</v>
      </c>
      <c r="CI15" s="3">
        <f>AE15*40</f>
        <v>0</v>
      </c>
      <c r="CJ15" s="3">
        <f>AH15*65</f>
        <v>0</v>
      </c>
      <c r="CK15" s="3">
        <f t="shared" si="45"/>
        <v>0</v>
      </c>
      <c r="CL15" s="14">
        <f t="shared" si="46"/>
        <v>210</v>
      </c>
      <c r="CM15" s="28">
        <f>CL15*$B$2</f>
        <v>13.343703407244561</v>
      </c>
      <c r="CN15" s="28">
        <f t="shared" si="47"/>
        <v>11.475584930230323</v>
      </c>
      <c r="CO15" s="28">
        <f t="shared" si="48"/>
        <v>0.19125974883717203</v>
      </c>
      <c r="CP15" s="28">
        <f t="shared" si="49"/>
        <v>275.41403832552771</v>
      </c>
      <c r="CQ15" s="24">
        <f>CL15*$B$2*0.000239006*86400</f>
        <v>275.54905525408361</v>
      </c>
      <c r="CR15" s="21">
        <f t="shared" si="50"/>
        <v>0.19135351059311362</v>
      </c>
      <c r="CS15" s="21">
        <f t="shared" si="51"/>
        <v>4.573348903175415E-2</v>
      </c>
    </row>
    <row r="16" spans="1:97" x14ac:dyDescent="0.25">
      <c r="A16" s="1">
        <v>1</v>
      </c>
      <c r="B16" s="1">
        <v>3</v>
      </c>
      <c r="C16" s="1">
        <v>15</v>
      </c>
      <c r="D16" s="1">
        <v>5</v>
      </c>
      <c r="E16" s="9">
        <v>0.34722222222222227</v>
      </c>
      <c r="F16" s="1">
        <v>2</v>
      </c>
      <c r="G16" s="31">
        <v>1</v>
      </c>
      <c r="H16" s="1">
        <f t="shared" si="4"/>
        <v>73.25</v>
      </c>
      <c r="I16" s="1">
        <f t="shared" si="5"/>
        <v>250</v>
      </c>
      <c r="J16" s="31">
        <v>1</v>
      </c>
      <c r="K16" s="1">
        <f t="shared" si="6"/>
        <v>70</v>
      </c>
      <c r="L16" s="1">
        <f t="shared" si="7"/>
        <v>22</v>
      </c>
      <c r="M16" s="31">
        <v>0</v>
      </c>
      <c r="N16" s="1">
        <f t="shared" si="8"/>
        <v>0</v>
      </c>
      <c r="O16" s="1">
        <f t="shared" si="9"/>
        <v>0</v>
      </c>
      <c r="P16" s="31">
        <v>0</v>
      </c>
      <c r="Q16" s="1">
        <f t="shared" si="10"/>
        <v>0</v>
      </c>
      <c r="R16" s="1">
        <f t="shared" si="11"/>
        <v>0</v>
      </c>
      <c r="S16" s="31">
        <v>0</v>
      </c>
      <c r="T16" s="1">
        <f t="shared" si="12"/>
        <v>0</v>
      </c>
      <c r="U16" s="1">
        <f t="shared" si="13"/>
        <v>0</v>
      </c>
      <c r="V16" s="31">
        <v>0</v>
      </c>
      <c r="W16" s="1">
        <f t="shared" si="14"/>
        <v>0</v>
      </c>
      <c r="X16" s="1">
        <f t="shared" si="15"/>
        <v>0</v>
      </c>
      <c r="Y16" s="31">
        <v>0</v>
      </c>
      <c r="Z16" s="1">
        <f t="shared" si="16"/>
        <v>0</v>
      </c>
      <c r="AA16" s="1">
        <f t="shared" si="17"/>
        <v>0</v>
      </c>
      <c r="AB16" s="31">
        <v>0</v>
      </c>
      <c r="AC16" s="1">
        <f t="shared" si="18"/>
        <v>0</v>
      </c>
      <c r="AD16" s="1">
        <f t="shared" si="19"/>
        <v>0</v>
      </c>
      <c r="AE16" s="31">
        <v>0</v>
      </c>
      <c r="AF16" s="1">
        <f t="shared" si="20"/>
        <v>0</v>
      </c>
      <c r="AG16" s="1">
        <f t="shared" si="21"/>
        <v>0</v>
      </c>
      <c r="AH16" s="31">
        <v>0</v>
      </c>
      <c r="AI16" s="1">
        <f t="shared" si="22"/>
        <v>0</v>
      </c>
      <c r="AJ16" s="1">
        <f t="shared" si="23"/>
        <v>0</v>
      </c>
      <c r="AK16" s="31">
        <v>0</v>
      </c>
      <c r="AL16" s="1">
        <f t="shared" si="24"/>
        <v>0</v>
      </c>
      <c r="AM16" s="1">
        <f t="shared" si="25"/>
        <v>0</v>
      </c>
      <c r="AN16" s="31">
        <v>0</v>
      </c>
      <c r="AO16" s="1">
        <f t="shared" si="26"/>
        <v>0</v>
      </c>
      <c r="AP16" s="1">
        <f t="shared" si="27"/>
        <v>0</v>
      </c>
      <c r="AQ16" s="31">
        <v>0</v>
      </c>
      <c r="AR16" s="1">
        <f t="shared" si="28"/>
        <v>0</v>
      </c>
      <c r="AS16" s="1">
        <f t="shared" si="29"/>
        <v>0</v>
      </c>
      <c r="AT16" s="31">
        <v>1</v>
      </c>
      <c r="AU16" s="1">
        <f t="shared" si="30"/>
        <v>50</v>
      </c>
      <c r="AV16" s="1">
        <f t="shared" si="31"/>
        <v>170.6</v>
      </c>
      <c r="AW16" s="31">
        <v>28.74</v>
      </c>
      <c r="AX16" s="31">
        <v>49.75</v>
      </c>
      <c r="AY16" s="31">
        <v>1009.76</v>
      </c>
      <c r="AZ16" s="31">
        <f t="shared" si="32"/>
        <v>10.0976</v>
      </c>
      <c r="BA16" s="31">
        <v>29</v>
      </c>
      <c r="BB16" s="31">
        <v>41</v>
      </c>
      <c r="BC16" s="31">
        <v>1010</v>
      </c>
      <c r="BD16" s="31">
        <f t="shared" si="33"/>
        <v>10.1</v>
      </c>
      <c r="BE16" s="16">
        <f t="shared" si="34"/>
        <v>193.25</v>
      </c>
      <c r="BF16" s="16">
        <f t="shared" si="35"/>
        <v>442.6</v>
      </c>
      <c r="BG16" s="19">
        <f>BE16/(4840*ABS((BB16-AX16)))</f>
        <v>4.5631641086186538E-3</v>
      </c>
      <c r="BH16" s="19">
        <f t="shared" si="36"/>
        <v>73.3</v>
      </c>
      <c r="BI16" s="1">
        <f t="shared" si="0"/>
        <v>20</v>
      </c>
      <c r="BJ16" s="25">
        <f t="shared" si="1"/>
        <v>93.304563164108615</v>
      </c>
      <c r="BK16" s="25">
        <f t="shared" si="37"/>
        <v>158.52538586145218</v>
      </c>
      <c r="BL16" s="1">
        <v>750</v>
      </c>
      <c r="BM16" s="1">
        <f t="shared" ref="BM16" si="52">(BJ16/BH16)*BL16</f>
        <v>954.68516197928329</v>
      </c>
      <c r="BN16" s="25">
        <f t="shared" si="39"/>
        <v>954.68516197928329</v>
      </c>
      <c r="BO16" s="1">
        <f t="shared" si="40"/>
        <v>10.0976</v>
      </c>
      <c r="BP16" s="25">
        <f>((BN16/BL16)^2)*BO16</f>
        <v>16.361231189091622</v>
      </c>
      <c r="BQ16" s="3">
        <v>5</v>
      </c>
      <c r="BR16" s="6">
        <f>((BN16/BL16)^3)*BQ16</f>
        <v>10.312565789850021</v>
      </c>
      <c r="BS16" s="6">
        <f>BQ16*745.7</f>
        <v>3728.5</v>
      </c>
      <c r="BT16" s="6">
        <f t="shared" ref="BT16" si="53">BS16/1000</f>
        <v>3.7284999999999999</v>
      </c>
      <c r="BU16" s="6">
        <f>BR16*745.7</f>
        <v>7690.0803094911616</v>
      </c>
      <c r="BV16" s="15">
        <f>BU16/1000</f>
        <v>7.6900803094911616</v>
      </c>
      <c r="BW16" s="6">
        <f>BW15</f>
        <v>29828</v>
      </c>
      <c r="BX16" s="20">
        <f t="shared" ref="BX16" si="54">BW16/1000</f>
        <v>29.827999999999999</v>
      </c>
      <c r="BY16" s="20">
        <v>70</v>
      </c>
      <c r="BZ16" s="3">
        <f>100-((BH16/BJ16)*100)</f>
        <v>21.440069473262113</v>
      </c>
      <c r="CA16" s="14">
        <f t="shared" si="44"/>
        <v>30</v>
      </c>
      <c r="CB16" s="3">
        <f>J16*70</f>
        <v>70</v>
      </c>
      <c r="CC16" s="3">
        <f t="shared" si="2"/>
        <v>0</v>
      </c>
      <c r="CD16" s="3">
        <f>P16*100</f>
        <v>0</v>
      </c>
      <c r="CE16" s="3">
        <f>S16*60</f>
        <v>0</v>
      </c>
      <c r="CF16" s="3">
        <f t="shared" si="3"/>
        <v>0</v>
      </c>
      <c r="CG16" s="3">
        <f>Y16*70</f>
        <v>0</v>
      </c>
      <c r="CH16" s="3">
        <f>AB16*60</f>
        <v>0</v>
      </c>
      <c r="CI16" s="3">
        <f>AE16*40</f>
        <v>0</v>
      </c>
      <c r="CJ16" s="3">
        <f>AH16*65</f>
        <v>0</v>
      </c>
      <c r="CK16" s="3">
        <f t="shared" si="45"/>
        <v>0</v>
      </c>
      <c r="CL16" s="14">
        <f t="shared" si="46"/>
        <v>70</v>
      </c>
      <c r="CM16" s="28">
        <f>CL16*$B$2</f>
        <v>4.4479011357481868</v>
      </c>
      <c r="CN16" s="28">
        <f t="shared" si="47"/>
        <v>3.8251949767434406</v>
      </c>
      <c r="CO16" s="28">
        <f t="shared" si="48"/>
        <v>6.3753249612390678E-2</v>
      </c>
      <c r="CP16" s="28">
        <f t="shared" si="49"/>
        <v>91.80467944184258</v>
      </c>
      <c r="CQ16" s="24">
        <f>CL16*$B$2*0.000239006*86400</f>
        <v>91.849685084694528</v>
      </c>
      <c r="CR16" s="21">
        <f t="shared" si="50"/>
        <v>6.3784503531037873E-2</v>
      </c>
      <c r="CS16" s="21">
        <f t="shared" si="51"/>
        <v>1.5244496343918052E-2</v>
      </c>
    </row>
    <row r="17" spans="1:97" x14ac:dyDescent="0.25">
      <c r="A17" s="1">
        <v>1</v>
      </c>
      <c r="B17" s="1">
        <v>3</v>
      </c>
      <c r="C17" s="1">
        <v>15</v>
      </c>
      <c r="D17" s="1">
        <v>6</v>
      </c>
      <c r="E17" s="9">
        <v>0.35069444444444442</v>
      </c>
      <c r="F17" s="1">
        <v>2</v>
      </c>
      <c r="G17" s="31">
        <v>6</v>
      </c>
      <c r="H17" s="1">
        <f t="shared" si="4"/>
        <v>439.5</v>
      </c>
      <c r="I17" s="1">
        <f t="shared" si="5"/>
        <v>1500</v>
      </c>
      <c r="M17" s="31">
        <v>1</v>
      </c>
      <c r="N17" s="1">
        <f t="shared" si="8"/>
        <v>60</v>
      </c>
      <c r="O17" s="1">
        <f t="shared" si="9"/>
        <v>18</v>
      </c>
      <c r="V17" s="31">
        <v>5</v>
      </c>
      <c r="W17" s="1">
        <f t="shared" si="14"/>
        <v>275</v>
      </c>
      <c r="X17" s="1">
        <f t="shared" si="15"/>
        <v>90</v>
      </c>
      <c r="AQ17" s="31">
        <v>1</v>
      </c>
      <c r="AR17" s="1">
        <f t="shared" si="28"/>
        <v>4</v>
      </c>
      <c r="AS17" s="1">
        <f t="shared" si="29"/>
        <v>13.648</v>
      </c>
      <c r="AW17" s="31">
        <v>28.74</v>
      </c>
      <c r="AX17" s="31">
        <v>49.75</v>
      </c>
      <c r="AY17" s="31">
        <v>1009.76</v>
      </c>
      <c r="AZ17" s="31">
        <f t="shared" si="32"/>
        <v>10.0976</v>
      </c>
      <c r="BE17" s="16"/>
      <c r="BF17" s="16"/>
      <c r="BG17" s="19"/>
      <c r="BH17" s="19"/>
      <c r="BI17" s="1">
        <f t="shared" si="0"/>
        <v>120</v>
      </c>
      <c r="BJ17" s="25"/>
      <c r="BK17" s="25"/>
      <c r="BN17" s="25"/>
      <c r="BP17" s="25"/>
      <c r="BQ17" s="3"/>
      <c r="BR17" s="6"/>
      <c r="BS17" s="6"/>
      <c r="BT17" s="6"/>
      <c r="BU17" s="6"/>
      <c r="BV17" s="15"/>
      <c r="BW17" s="6"/>
      <c r="BX17" s="20"/>
      <c r="BY17" s="20"/>
      <c r="BZ17" s="3"/>
      <c r="CA17" s="14"/>
      <c r="CC17" s="3">
        <f t="shared" si="2"/>
        <v>60</v>
      </c>
      <c r="CF17" s="3">
        <f t="shared" si="3"/>
        <v>275</v>
      </c>
      <c r="CI17" s="3"/>
      <c r="CJ17" s="3"/>
      <c r="CK17" s="3"/>
      <c r="CL17" s="14"/>
      <c r="CM17" s="28"/>
      <c r="CN17" s="28"/>
      <c r="CO17" s="28"/>
      <c r="CP17" s="28"/>
      <c r="CQ17" s="24"/>
      <c r="CR17" s="21"/>
      <c r="CS17" s="21"/>
    </row>
    <row r="18" spans="1:97" x14ac:dyDescent="0.25">
      <c r="A18" s="1">
        <v>1</v>
      </c>
      <c r="B18" s="1">
        <v>3</v>
      </c>
      <c r="C18" s="1">
        <v>15</v>
      </c>
      <c r="D18" s="1">
        <v>7</v>
      </c>
      <c r="E18" s="9">
        <v>0.35416666666666669</v>
      </c>
      <c r="F18" s="1">
        <v>2</v>
      </c>
      <c r="AW18" s="31">
        <v>28.74</v>
      </c>
      <c r="AX18" s="31">
        <v>49.75</v>
      </c>
      <c r="AY18" s="31">
        <v>1009.76</v>
      </c>
      <c r="AZ18" s="31">
        <f t="shared" si="32"/>
        <v>10.0976</v>
      </c>
      <c r="BE18" s="16"/>
      <c r="BF18" s="16"/>
      <c r="BG18" s="19"/>
      <c r="BH18" s="19"/>
      <c r="BJ18" s="25"/>
      <c r="BK18" s="25"/>
      <c r="BN18" s="25"/>
      <c r="BP18" s="25"/>
      <c r="BQ18" s="3"/>
      <c r="BR18" s="6"/>
      <c r="BS18" s="6"/>
      <c r="BT18" s="6"/>
      <c r="BU18" s="6"/>
      <c r="BV18" s="15"/>
      <c r="BW18" s="6"/>
      <c r="BX18" s="20"/>
      <c r="BY18" s="20"/>
      <c r="BZ18" s="3"/>
      <c r="CA18" s="14"/>
      <c r="CI18" s="3"/>
      <c r="CJ18" s="3"/>
      <c r="CK18" s="3"/>
      <c r="CL18" s="14"/>
      <c r="CM18" s="28"/>
      <c r="CN18" s="28"/>
      <c r="CO18" s="28"/>
      <c r="CP18" s="28"/>
      <c r="CQ18" s="24"/>
      <c r="CR18" s="21"/>
      <c r="CS18" s="21"/>
    </row>
    <row r="19" spans="1:97" x14ac:dyDescent="0.25">
      <c r="A19" s="1">
        <v>1</v>
      </c>
      <c r="B19" s="1">
        <v>3</v>
      </c>
      <c r="C19" s="1">
        <v>15</v>
      </c>
      <c r="D19" s="1">
        <v>8</v>
      </c>
      <c r="E19" s="9">
        <v>0.3576388888888889</v>
      </c>
      <c r="F19" s="1">
        <v>2</v>
      </c>
      <c r="AW19" s="31">
        <v>28.74</v>
      </c>
      <c r="AX19" s="31">
        <v>49.75</v>
      </c>
      <c r="AY19" s="31">
        <v>1009.76</v>
      </c>
      <c r="AZ19" s="31">
        <f t="shared" si="32"/>
        <v>10.0976</v>
      </c>
      <c r="BE19" s="16"/>
      <c r="BF19" s="16"/>
      <c r="BG19" s="19"/>
      <c r="BH19" s="19"/>
      <c r="BJ19" s="25"/>
      <c r="BK19" s="25"/>
      <c r="BN19" s="25"/>
      <c r="BP19" s="25"/>
      <c r="BQ19" s="3"/>
      <c r="BR19" s="6"/>
      <c r="BS19" s="6"/>
      <c r="BT19" s="6"/>
      <c r="BU19" s="6"/>
      <c r="BV19" s="15"/>
      <c r="BW19" s="6"/>
      <c r="BX19" s="20"/>
      <c r="BY19" s="20"/>
      <c r="BZ19" s="3"/>
      <c r="CA19" s="14"/>
      <c r="CI19" s="3"/>
      <c r="CJ19" s="3"/>
      <c r="CK19" s="3"/>
      <c r="CL19" s="14"/>
      <c r="CM19" s="28"/>
      <c r="CN19" s="28"/>
      <c r="CO19" s="28"/>
      <c r="CP19" s="28"/>
      <c r="CQ19" s="24"/>
      <c r="CR19" s="21"/>
      <c r="CS19" s="21"/>
    </row>
    <row r="20" spans="1:97" x14ac:dyDescent="0.25">
      <c r="A20" s="1">
        <v>1</v>
      </c>
      <c r="B20" s="1">
        <v>3</v>
      </c>
      <c r="C20" s="1">
        <v>15</v>
      </c>
      <c r="D20" s="1">
        <v>9</v>
      </c>
      <c r="E20" s="9">
        <v>0.3611111111111111</v>
      </c>
      <c r="F20" s="1">
        <v>2</v>
      </c>
      <c r="AW20" s="31">
        <v>28.74</v>
      </c>
      <c r="AX20" s="31">
        <v>49.75</v>
      </c>
      <c r="AY20" s="31">
        <v>1009.76</v>
      </c>
      <c r="AZ20" s="31">
        <f t="shared" si="32"/>
        <v>10.0976</v>
      </c>
      <c r="BE20" s="16"/>
      <c r="BF20" s="16"/>
      <c r="BG20" s="19"/>
      <c r="BH20" s="19"/>
      <c r="BJ20" s="25"/>
      <c r="BK20" s="25"/>
      <c r="BN20" s="25"/>
      <c r="BP20" s="25"/>
      <c r="BQ20" s="3"/>
      <c r="BR20" s="6"/>
      <c r="BS20" s="6"/>
      <c r="BT20" s="6"/>
      <c r="BU20" s="6"/>
      <c r="BV20" s="15"/>
      <c r="BW20" s="6"/>
      <c r="BX20" s="20"/>
      <c r="BY20" s="20"/>
      <c r="BZ20" s="3"/>
      <c r="CA20" s="14"/>
      <c r="CI20" s="3"/>
      <c r="CJ20" s="3"/>
      <c r="CK20" s="3"/>
      <c r="CL20" s="14"/>
      <c r="CM20" s="28"/>
      <c r="CN20" s="28"/>
      <c r="CO20" s="28"/>
      <c r="CP20" s="28"/>
      <c r="CQ20" s="24"/>
      <c r="CR20" s="21"/>
      <c r="CS20" s="21"/>
    </row>
    <row r="21" spans="1:97" x14ac:dyDescent="0.25">
      <c r="A21" s="1">
        <v>1</v>
      </c>
      <c r="B21" s="1">
        <v>3</v>
      </c>
      <c r="C21" s="1">
        <v>15</v>
      </c>
      <c r="D21" s="1">
        <v>10</v>
      </c>
      <c r="E21" s="9">
        <v>0.36458333333333331</v>
      </c>
      <c r="F21" s="1">
        <v>2</v>
      </c>
      <c r="AW21" s="31">
        <v>28.74</v>
      </c>
      <c r="AX21" s="31">
        <v>49.75</v>
      </c>
      <c r="AY21" s="31">
        <v>1009.76</v>
      </c>
      <c r="AZ21" s="31">
        <f t="shared" si="32"/>
        <v>10.0976</v>
      </c>
      <c r="BE21" s="16"/>
      <c r="BF21" s="16"/>
      <c r="BG21" s="19"/>
      <c r="BH21" s="19"/>
      <c r="BJ21" s="25"/>
      <c r="BK21" s="25"/>
      <c r="BN21" s="25"/>
      <c r="BP21" s="25"/>
      <c r="BQ21" s="3"/>
      <c r="BR21" s="6"/>
      <c r="BS21" s="6"/>
      <c r="BT21" s="6"/>
      <c r="BU21" s="6"/>
      <c r="BV21" s="15"/>
      <c r="BW21" s="6"/>
      <c r="BX21" s="20"/>
      <c r="BY21" s="20"/>
      <c r="BZ21" s="3"/>
      <c r="CA21" s="14"/>
      <c r="CI21" s="3"/>
      <c r="CJ21" s="3"/>
      <c r="CK21" s="3"/>
      <c r="CL21" s="14"/>
      <c r="CM21" s="28"/>
      <c r="CN21" s="28"/>
      <c r="CO21" s="28"/>
      <c r="CP21" s="28"/>
      <c r="CQ21" s="24"/>
      <c r="CR21" s="21"/>
      <c r="CS21" s="21"/>
    </row>
    <row r="22" spans="1:97" x14ac:dyDescent="0.25">
      <c r="A22" s="1">
        <v>1</v>
      </c>
      <c r="B22" s="1">
        <v>3</v>
      </c>
      <c r="C22" s="1">
        <v>15</v>
      </c>
      <c r="D22" s="1">
        <v>11</v>
      </c>
      <c r="E22" s="9">
        <v>0.36805555555555558</v>
      </c>
      <c r="F22" s="1">
        <v>2</v>
      </c>
      <c r="AW22" s="31">
        <v>28.74</v>
      </c>
      <c r="AX22" s="31">
        <v>49.75</v>
      </c>
      <c r="AY22" s="31">
        <v>1009.76</v>
      </c>
      <c r="AZ22" s="31">
        <f t="shared" si="32"/>
        <v>10.0976</v>
      </c>
      <c r="BE22" s="16"/>
      <c r="BF22" s="16"/>
      <c r="BG22" s="19"/>
      <c r="BH22" s="19"/>
      <c r="BJ22" s="25"/>
      <c r="BK22" s="25"/>
      <c r="BN22" s="25"/>
      <c r="BP22" s="25"/>
      <c r="BQ22" s="3"/>
      <c r="BR22" s="6"/>
      <c r="BS22" s="6"/>
      <c r="BT22" s="6"/>
      <c r="BU22" s="6"/>
      <c r="BV22" s="15"/>
      <c r="BW22" s="6"/>
      <c r="BX22" s="20"/>
      <c r="BY22" s="20"/>
      <c r="BZ22" s="3"/>
      <c r="CA22" s="14"/>
      <c r="CI22" s="3"/>
      <c r="CJ22" s="3"/>
      <c r="CK22" s="3"/>
      <c r="CL22" s="14"/>
      <c r="CM22" s="28"/>
      <c r="CN22" s="28"/>
      <c r="CO22" s="28"/>
      <c r="CP22" s="28"/>
      <c r="CQ22" s="24"/>
      <c r="CR22" s="21"/>
      <c r="CS22" s="21"/>
    </row>
    <row r="23" spans="1:97" x14ac:dyDescent="0.25">
      <c r="A23" s="1">
        <v>1</v>
      </c>
      <c r="B23" s="1">
        <v>3</v>
      </c>
      <c r="C23" s="1">
        <v>15</v>
      </c>
      <c r="D23" s="1">
        <v>11</v>
      </c>
      <c r="E23" s="9">
        <v>0.37152777777777773</v>
      </c>
      <c r="F23" s="1">
        <v>2</v>
      </c>
      <c r="AW23" s="31">
        <v>28.74</v>
      </c>
      <c r="AX23" s="31">
        <v>49.75</v>
      </c>
      <c r="AY23" s="31">
        <v>1009.76</v>
      </c>
      <c r="AZ23" s="31">
        <f t="shared" si="32"/>
        <v>10.0976</v>
      </c>
      <c r="BE23" s="16"/>
      <c r="BF23" s="16"/>
      <c r="BG23" s="19"/>
      <c r="BH23" s="19"/>
      <c r="BJ23" s="25"/>
      <c r="BK23" s="25"/>
      <c r="BN23" s="25"/>
      <c r="BP23" s="25"/>
      <c r="BQ23" s="3"/>
      <c r="BR23" s="6"/>
      <c r="BS23" s="6"/>
      <c r="BT23" s="6"/>
      <c r="BU23" s="6"/>
      <c r="BV23" s="15"/>
      <c r="BW23" s="6"/>
      <c r="BX23" s="20"/>
      <c r="BY23" s="20"/>
      <c r="BZ23" s="3"/>
      <c r="CA23" s="14"/>
      <c r="CI23" s="3"/>
      <c r="CJ23" s="3"/>
      <c r="CK23" s="3"/>
      <c r="CL23" s="14"/>
      <c r="CM23" s="28"/>
      <c r="CN23" s="28"/>
      <c r="CO23" s="28"/>
      <c r="CP23" s="28"/>
      <c r="CQ23" s="24"/>
      <c r="CR23" s="21"/>
      <c r="CS23" s="21"/>
    </row>
    <row r="24" spans="1:97" x14ac:dyDescent="0.25">
      <c r="A24" s="1">
        <v>1</v>
      </c>
      <c r="B24" s="1">
        <v>3</v>
      </c>
      <c r="C24" s="1">
        <v>15</v>
      </c>
      <c r="E24" s="9">
        <v>0.375</v>
      </c>
      <c r="F24" s="1">
        <v>2</v>
      </c>
      <c r="AW24" s="31">
        <v>28.74</v>
      </c>
      <c r="AX24" s="31">
        <v>49.75</v>
      </c>
      <c r="AY24" s="31">
        <v>1009.76</v>
      </c>
      <c r="AZ24" s="31">
        <f t="shared" si="32"/>
        <v>10.0976</v>
      </c>
    </row>
    <row r="25" spans="1:97" x14ac:dyDescent="0.25">
      <c r="A25" s="1">
        <v>1</v>
      </c>
      <c r="B25" s="1">
        <v>3</v>
      </c>
      <c r="C25" s="1">
        <v>15</v>
      </c>
      <c r="E25" s="9">
        <v>0.37847222222222299</v>
      </c>
      <c r="F25" s="1">
        <v>2</v>
      </c>
      <c r="AW25" s="31">
        <v>28.74</v>
      </c>
      <c r="AX25" s="31">
        <v>49.75</v>
      </c>
      <c r="AY25" s="31">
        <v>1009.76</v>
      </c>
      <c r="AZ25" s="31">
        <f t="shared" si="32"/>
        <v>10.0976</v>
      </c>
    </row>
    <row r="26" spans="1:97" x14ac:dyDescent="0.25">
      <c r="A26" s="1">
        <v>1</v>
      </c>
      <c r="B26" s="1">
        <v>3</v>
      </c>
      <c r="C26" s="1">
        <v>15</v>
      </c>
      <c r="E26" s="9">
        <v>0.38194444444444497</v>
      </c>
      <c r="F26" s="1">
        <v>2</v>
      </c>
      <c r="AW26" s="31">
        <v>28.74</v>
      </c>
      <c r="AX26" s="31">
        <v>49.75</v>
      </c>
      <c r="AY26" s="31">
        <v>1009.76</v>
      </c>
      <c r="AZ26" s="31">
        <f t="shared" si="32"/>
        <v>10.0976</v>
      </c>
    </row>
    <row r="27" spans="1:97" x14ac:dyDescent="0.25">
      <c r="A27" s="1">
        <v>1</v>
      </c>
      <c r="B27" s="1">
        <v>3</v>
      </c>
      <c r="C27" s="1">
        <v>15</v>
      </c>
      <c r="E27" s="9">
        <v>0.38541666666666702</v>
      </c>
      <c r="F27" s="1">
        <v>2</v>
      </c>
      <c r="AW27" s="31">
        <v>28.74</v>
      </c>
      <c r="AX27" s="31">
        <v>49.75</v>
      </c>
      <c r="AY27" s="31">
        <v>1009.76</v>
      </c>
      <c r="AZ27" s="31">
        <f t="shared" si="32"/>
        <v>10.0976</v>
      </c>
    </row>
    <row r="28" spans="1:97" x14ac:dyDescent="0.25">
      <c r="A28" s="1">
        <v>1</v>
      </c>
      <c r="B28" s="1">
        <v>3</v>
      </c>
      <c r="C28" s="1">
        <v>15</v>
      </c>
      <c r="E28" s="9">
        <v>0.38888888888889001</v>
      </c>
      <c r="F28" s="1">
        <v>2</v>
      </c>
      <c r="AW28" s="31">
        <v>28.74</v>
      </c>
      <c r="AX28" s="31">
        <v>49.75</v>
      </c>
      <c r="AY28" s="31">
        <v>1009.76</v>
      </c>
      <c r="AZ28" s="31">
        <f t="shared" si="32"/>
        <v>10.0976</v>
      </c>
    </row>
    <row r="29" spans="1:97" x14ac:dyDescent="0.25">
      <c r="A29" s="1">
        <v>1</v>
      </c>
      <c r="B29" s="1">
        <v>3</v>
      </c>
      <c r="C29" s="1">
        <v>15</v>
      </c>
      <c r="E29" s="9">
        <v>0.39236111111111199</v>
      </c>
      <c r="F29" s="1">
        <v>2</v>
      </c>
      <c r="AW29" s="31">
        <v>28.74</v>
      </c>
      <c r="AX29" s="31">
        <v>49.75</v>
      </c>
      <c r="AY29" s="31">
        <v>1009.76</v>
      </c>
      <c r="AZ29" s="31">
        <f t="shared" si="32"/>
        <v>10.0976</v>
      </c>
    </row>
    <row r="30" spans="1:97" x14ac:dyDescent="0.25">
      <c r="A30" s="1">
        <v>1</v>
      </c>
      <c r="B30" s="1">
        <v>3</v>
      </c>
      <c r="C30" s="1">
        <v>15</v>
      </c>
      <c r="E30" s="9">
        <v>0.39583333333333398</v>
      </c>
      <c r="F30" s="1">
        <v>2</v>
      </c>
      <c r="AW30" s="31">
        <v>28.74</v>
      </c>
      <c r="AX30" s="31">
        <v>49.75</v>
      </c>
      <c r="AY30" s="31">
        <v>1009.76</v>
      </c>
      <c r="AZ30" s="31">
        <f t="shared" si="32"/>
        <v>10.0976</v>
      </c>
    </row>
    <row r="31" spans="1:97" x14ac:dyDescent="0.25">
      <c r="A31" s="1">
        <v>1</v>
      </c>
      <c r="B31" s="1">
        <v>3</v>
      </c>
      <c r="C31" s="1">
        <v>15</v>
      </c>
      <c r="E31" s="9">
        <v>0.39930555555555602</v>
      </c>
      <c r="F31" s="1">
        <v>2</v>
      </c>
      <c r="AW31" s="31">
        <v>28.74</v>
      </c>
      <c r="AX31" s="31">
        <v>49.75</v>
      </c>
      <c r="AY31" s="31">
        <v>1009.76</v>
      </c>
      <c r="AZ31" s="31">
        <f t="shared" si="32"/>
        <v>10.0976</v>
      </c>
    </row>
    <row r="32" spans="1:97" x14ac:dyDescent="0.25">
      <c r="A32" s="1">
        <v>1</v>
      </c>
      <c r="B32" s="1">
        <v>3</v>
      </c>
      <c r="C32" s="1">
        <v>15</v>
      </c>
      <c r="E32" s="9">
        <v>0.40277777777777901</v>
      </c>
      <c r="F32" s="1">
        <v>2</v>
      </c>
      <c r="AW32" s="31">
        <v>28.74</v>
      </c>
      <c r="AX32" s="31">
        <v>49.75</v>
      </c>
      <c r="AY32" s="31">
        <v>1009.76</v>
      </c>
      <c r="AZ32" s="31">
        <f t="shared" si="32"/>
        <v>10.0976</v>
      </c>
    </row>
    <row r="33" spans="1:52" x14ac:dyDescent="0.25">
      <c r="A33" s="1">
        <v>1</v>
      </c>
      <c r="B33" s="1">
        <v>3</v>
      </c>
      <c r="C33" s="1">
        <v>15</v>
      </c>
      <c r="E33" s="9">
        <v>0.406250000000001</v>
      </c>
      <c r="F33" s="1">
        <v>2</v>
      </c>
      <c r="AW33" s="31">
        <v>28.74</v>
      </c>
      <c r="AX33" s="31">
        <v>49.75</v>
      </c>
      <c r="AY33" s="31">
        <v>1009.76</v>
      </c>
      <c r="AZ33" s="31">
        <f t="shared" si="32"/>
        <v>10.0976</v>
      </c>
    </row>
    <row r="34" spans="1:52" x14ac:dyDescent="0.25">
      <c r="A34" s="1">
        <v>1</v>
      </c>
      <c r="B34" s="1">
        <v>3</v>
      </c>
      <c r="C34" s="1">
        <v>15</v>
      </c>
      <c r="E34" s="9">
        <v>0.40972222222222299</v>
      </c>
      <c r="F34" s="1">
        <v>2</v>
      </c>
      <c r="AW34" s="31">
        <v>28.74</v>
      </c>
      <c r="AX34" s="31">
        <v>49.75</v>
      </c>
      <c r="AY34" s="31">
        <v>1009.76</v>
      </c>
      <c r="AZ34" s="31">
        <f t="shared" si="32"/>
        <v>10.0976</v>
      </c>
    </row>
    <row r="35" spans="1:52" x14ac:dyDescent="0.25">
      <c r="A35" s="1">
        <v>1</v>
      </c>
      <c r="B35" s="1">
        <v>3</v>
      </c>
      <c r="C35" s="1">
        <v>15</v>
      </c>
      <c r="E35" s="9">
        <v>0.41319444444444497</v>
      </c>
      <c r="F35" s="1">
        <v>2</v>
      </c>
      <c r="AW35" s="31">
        <v>28.74</v>
      </c>
      <c r="AX35" s="31">
        <v>49.75</v>
      </c>
      <c r="AY35" s="31">
        <v>1009.76</v>
      </c>
      <c r="AZ35" s="31">
        <f t="shared" si="32"/>
        <v>10.0976</v>
      </c>
    </row>
    <row r="36" spans="1:52" x14ac:dyDescent="0.25">
      <c r="A36" s="1">
        <v>1</v>
      </c>
      <c r="B36" s="1">
        <v>3</v>
      </c>
      <c r="C36" s="1">
        <v>15</v>
      </c>
      <c r="E36" s="9">
        <v>0.41666666666666802</v>
      </c>
      <c r="F36" s="1">
        <v>2</v>
      </c>
      <c r="AW36" s="31">
        <v>28.74</v>
      </c>
      <c r="AX36" s="31">
        <v>49.75</v>
      </c>
      <c r="AY36" s="31">
        <v>1009.76</v>
      </c>
      <c r="AZ36" s="31">
        <f t="shared" si="32"/>
        <v>10.0976</v>
      </c>
    </row>
    <row r="37" spans="1:52" x14ac:dyDescent="0.25">
      <c r="A37" s="1">
        <v>1</v>
      </c>
      <c r="B37" s="1">
        <v>3</v>
      </c>
      <c r="C37" s="1">
        <v>15</v>
      </c>
      <c r="E37" s="9">
        <v>0.42013888888889001</v>
      </c>
      <c r="F37" s="1">
        <v>2</v>
      </c>
      <c r="AW37" s="31">
        <v>28.74</v>
      </c>
      <c r="AX37" s="31">
        <v>49.75</v>
      </c>
      <c r="AY37" s="31">
        <v>1009.76</v>
      </c>
      <c r="AZ37" s="31">
        <f t="shared" si="32"/>
        <v>10.0976</v>
      </c>
    </row>
    <row r="38" spans="1:52" x14ac:dyDescent="0.25">
      <c r="A38" s="1">
        <v>1</v>
      </c>
      <c r="B38" s="1">
        <v>3</v>
      </c>
      <c r="C38" s="1">
        <v>15</v>
      </c>
      <c r="E38" s="9">
        <v>0.42361111111111199</v>
      </c>
      <c r="F38" s="1">
        <v>2</v>
      </c>
      <c r="AW38" s="31">
        <v>28.74</v>
      </c>
      <c r="AX38" s="31">
        <v>49.75</v>
      </c>
      <c r="AY38" s="31">
        <v>1009.76</v>
      </c>
      <c r="AZ38" s="31">
        <f t="shared" si="32"/>
        <v>10.0976</v>
      </c>
    </row>
    <row r="39" spans="1:52" x14ac:dyDescent="0.25">
      <c r="A39" s="1">
        <v>1</v>
      </c>
      <c r="B39" s="1">
        <v>3</v>
      </c>
      <c r="C39" s="1">
        <v>15</v>
      </c>
      <c r="E39" s="9">
        <v>0.42708333333333398</v>
      </c>
      <c r="F39" s="1">
        <v>2</v>
      </c>
      <c r="AW39" s="31">
        <v>28.74</v>
      </c>
      <c r="AX39" s="31">
        <v>49.75</v>
      </c>
      <c r="AY39" s="31">
        <v>1009.76</v>
      </c>
      <c r="AZ39" s="31">
        <f t="shared" si="32"/>
        <v>10.0976</v>
      </c>
    </row>
    <row r="40" spans="1:52" x14ac:dyDescent="0.25">
      <c r="A40" s="1">
        <v>1</v>
      </c>
      <c r="B40" s="1">
        <v>3</v>
      </c>
      <c r="C40" s="1">
        <v>15</v>
      </c>
      <c r="E40" s="9">
        <v>0.43055555555555702</v>
      </c>
      <c r="F40" s="1">
        <v>2</v>
      </c>
      <c r="AW40" s="31">
        <v>28.74</v>
      </c>
      <c r="AX40" s="31">
        <v>49.75</v>
      </c>
      <c r="AY40" s="31">
        <v>1009.76</v>
      </c>
      <c r="AZ40" s="31">
        <f t="shared" si="32"/>
        <v>10.0976</v>
      </c>
    </row>
    <row r="41" spans="1:52" x14ac:dyDescent="0.25">
      <c r="A41" s="1">
        <v>1</v>
      </c>
      <c r="B41" s="1">
        <v>3</v>
      </c>
      <c r="C41" s="1">
        <v>15</v>
      </c>
      <c r="E41" s="9">
        <v>0.43402777777777901</v>
      </c>
      <c r="F41" s="1">
        <v>2</v>
      </c>
      <c r="AW41" s="31">
        <v>28.74</v>
      </c>
      <c r="AX41" s="31">
        <v>49.75</v>
      </c>
      <c r="AY41" s="31">
        <v>1009.76</v>
      </c>
      <c r="AZ41" s="31">
        <f t="shared" si="32"/>
        <v>10.0976</v>
      </c>
    </row>
    <row r="42" spans="1:52" x14ac:dyDescent="0.25">
      <c r="A42" s="1">
        <v>1</v>
      </c>
      <c r="B42" s="1">
        <v>3</v>
      </c>
      <c r="C42" s="1">
        <v>15</v>
      </c>
      <c r="E42" s="9">
        <v>0.437500000000001</v>
      </c>
      <c r="F42" s="1">
        <v>2</v>
      </c>
      <c r="AW42" s="31">
        <v>28.74</v>
      </c>
      <c r="AX42" s="31">
        <v>49.75</v>
      </c>
      <c r="AY42" s="31">
        <v>1009.76</v>
      </c>
      <c r="AZ42" s="31">
        <f t="shared" si="32"/>
        <v>10.0976</v>
      </c>
    </row>
    <row r="43" spans="1:52" x14ac:dyDescent="0.25">
      <c r="A43" s="1">
        <v>1</v>
      </c>
      <c r="B43" s="1">
        <v>3</v>
      </c>
      <c r="C43" s="1">
        <v>15</v>
      </c>
      <c r="E43" s="9">
        <v>0.44097222222222299</v>
      </c>
      <c r="F43" s="1">
        <v>2</v>
      </c>
      <c r="AW43" s="31">
        <v>28.74</v>
      </c>
      <c r="AX43" s="31">
        <v>49.75</v>
      </c>
      <c r="AY43" s="31">
        <v>1009.76</v>
      </c>
      <c r="AZ43" s="31">
        <f t="shared" si="32"/>
        <v>10.0976</v>
      </c>
    </row>
    <row r="44" spans="1:52" x14ac:dyDescent="0.25">
      <c r="A44" s="1">
        <v>1</v>
      </c>
      <c r="B44" s="1">
        <v>3</v>
      </c>
      <c r="C44" s="1">
        <v>15</v>
      </c>
      <c r="E44" s="9">
        <v>0.44444444444444497</v>
      </c>
      <c r="F44" s="1">
        <v>2</v>
      </c>
      <c r="AW44" s="31">
        <v>28.74</v>
      </c>
      <c r="AX44" s="31">
        <v>49.75</v>
      </c>
      <c r="AY44" s="31">
        <v>1009.76</v>
      </c>
      <c r="AZ44" s="31">
        <f t="shared" si="32"/>
        <v>10.0976</v>
      </c>
    </row>
    <row r="45" spans="1:52" x14ac:dyDescent="0.25">
      <c r="A45" s="1">
        <v>1</v>
      </c>
      <c r="B45" s="1">
        <v>3</v>
      </c>
      <c r="C45" s="1">
        <v>15</v>
      </c>
      <c r="E45" s="9">
        <v>0.44791666666666802</v>
      </c>
      <c r="F45" s="1">
        <v>2</v>
      </c>
      <c r="AW45" s="31">
        <v>28.74</v>
      </c>
      <c r="AX45" s="31">
        <v>49.75</v>
      </c>
      <c r="AY45" s="31">
        <v>1009.76</v>
      </c>
      <c r="AZ45" s="31">
        <f t="shared" si="32"/>
        <v>10.0976</v>
      </c>
    </row>
    <row r="46" spans="1:52" x14ac:dyDescent="0.25">
      <c r="A46" s="1">
        <v>1</v>
      </c>
      <c r="B46" s="1">
        <v>3</v>
      </c>
      <c r="C46" s="1">
        <v>15</v>
      </c>
      <c r="E46" s="9">
        <v>0.45138888888889001</v>
      </c>
      <c r="F46" s="1">
        <v>2</v>
      </c>
      <c r="AW46" s="31">
        <v>28.74</v>
      </c>
      <c r="AX46" s="31">
        <v>49.75</v>
      </c>
      <c r="AY46" s="31">
        <v>1009.76</v>
      </c>
      <c r="AZ46" s="31">
        <f t="shared" si="32"/>
        <v>10.0976</v>
      </c>
    </row>
    <row r="47" spans="1:52" x14ac:dyDescent="0.25">
      <c r="A47" s="1">
        <v>1</v>
      </c>
      <c r="B47" s="1">
        <v>3</v>
      </c>
      <c r="C47" s="1">
        <v>15</v>
      </c>
      <c r="E47" s="9">
        <v>0.45486111111111199</v>
      </c>
      <c r="F47" s="1">
        <v>2</v>
      </c>
      <c r="AW47" s="31">
        <v>28.74</v>
      </c>
      <c r="AX47" s="31">
        <v>49.75</v>
      </c>
      <c r="AY47" s="31">
        <v>1009.76</v>
      </c>
      <c r="AZ47" s="31">
        <f t="shared" si="32"/>
        <v>10.0976</v>
      </c>
    </row>
    <row r="48" spans="1:52" x14ac:dyDescent="0.25">
      <c r="A48" s="1">
        <v>1</v>
      </c>
      <c r="B48" s="1">
        <v>3</v>
      </c>
      <c r="C48" s="1">
        <v>15</v>
      </c>
      <c r="E48" s="9">
        <v>0.45833333333333498</v>
      </c>
      <c r="F48" s="1">
        <v>2</v>
      </c>
      <c r="AW48" s="31">
        <v>28.74</v>
      </c>
      <c r="AX48" s="31">
        <v>49.75</v>
      </c>
      <c r="AY48" s="31">
        <v>1009.76</v>
      </c>
      <c r="AZ48" s="31">
        <f t="shared" si="32"/>
        <v>10.0976</v>
      </c>
    </row>
    <row r="49" spans="1:52" x14ac:dyDescent="0.25">
      <c r="A49" s="1">
        <v>1</v>
      </c>
      <c r="B49" s="1">
        <v>3</v>
      </c>
      <c r="C49" s="1">
        <v>15</v>
      </c>
      <c r="E49" s="9">
        <v>0.46180555555555702</v>
      </c>
      <c r="F49" s="1">
        <v>2</v>
      </c>
      <c r="AW49" s="31">
        <v>28.74</v>
      </c>
      <c r="AX49" s="31">
        <v>49.75</v>
      </c>
      <c r="AY49" s="31">
        <v>1009.76</v>
      </c>
      <c r="AZ49" s="31">
        <f t="shared" si="32"/>
        <v>10.0976</v>
      </c>
    </row>
    <row r="50" spans="1:52" x14ac:dyDescent="0.25">
      <c r="A50" s="1">
        <v>1</v>
      </c>
      <c r="B50" s="1">
        <v>3</v>
      </c>
      <c r="C50" s="1">
        <v>15</v>
      </c>
      <c r="E50" s="9">
        <v>0.46527777777777901</v>
      </c>
      <c r="F50" s="1">
        <v>2</v>
      </c>
      <c r="AW50" s="31">
        <v>28.74</v>
      </c>
      <c r="AX50" s="31">
        <v>49.75</v>
      </c>
      <c r="AY50" s="31">
        <v>1009.76</v>
      </c>
      <c r="AZ50" s="31">
        <f t="shared" si="32"/>
        <v>10.0976</v>
      </c>
    </row>
    <row r="51" spans="1:52" x14ac:dyDescent="0.25">
      <c r="A51" s="1">
        <v>1</v>
      </c>
      <c r="B51" s="1">
        <v>3</v>
      </c>
      <c r="C51" s="1">
        <v>15</v>
      </c>
      <c r="E51" s="9">
        <v>0.468750000000001</v>
      </c>
      <c r="F51" s="1">
        <v>2</v>
      </c>
      <c r="AW51" s="31">
        <v>28.74</v>
      </c>
      <c r="AX51" s="31">
        <v>49.75</v>
      </c>
      <c r="AY51" s="31">
        <v>1009.76</v>
      </c>
      <c r="AZ51" s="31">
        <f t="shared" si="32"/>
        <v>10.0976</v>
      </c>
    </row>
    <row r="52" spans="1:52" x14ac:dyDescent="0.25">
      <c r="A52" s="1">
        <v>1</v>
      </c>
      <c r="B52" s="1">
        <v>3</v>
      </c>
      <c r="C52" s="1">
        <v>15</v>
      </c>
      <c r="E52" s="9">
        <v>0.47222222222222399</v>
      </c>
      <c r="F52" s="1">
        <v>2</v>
      </c>
      <c r="AW52" s="31">
        <v>28.74</v>
      </c>
      <c r="AX52" s="31">
        <v>49.75</v>
      </c>
      <c r="AY52" s="31">
        <v>1009.76</v>
      </c>
      <c r="AZ52" s="31">
        <f t="shared" si="32"/>
        <v>10.0976</v>
      </c>
    </row>
    <row r="53" spans="1:52" x14ac:dyDescent="0.25">
      <c r="A53" s="1">
        <v>1</v>
      </c>
      <c r="B53" s="1">
        <v>3</v>
      </c>
      <c r="C53" s="1">
        <v>15</v>
      </c>
      <c r="E53" s="9">
        <v>0.47569444444444597</v>
      </c>
      <c r="F53" s="1">
        <v>2</v>
      </c>
      <c r="AW53" s="31">
        <v>28.74</v>
      </c>
      <c r="AX53" s="31">
        <v>49.75</v>
      </c>
      <c r="AY53" s="31">
        <v>1009.76</v>
      </c>
      <c r="AZ53" s="31">
        <f t="shared" si="32"/>
        <v>10.0976</v>
      </c>
    </row>
    <row r="54" spans="1:52" x14ac:dyDescent="0.25">
      <c r="A54" s="1">
        <v>1</v>
      </c>
      <c r="B54" s="1">
        <v>3</v>
      </c>
      <c r="C54" s="1">
        <v>15</v>
      </c>
      <c r="E54" s="9">
        <v>0.47916666666666802</v>
      </c>
      <c r="F54" s="1">
        <v>2</v>
      </c>
      <c r="AW54" s="31">
        <v>28.74</v>
      </c>
      <c r="AX54" s="31">
        <v>49.75</v>
      </c>
      <c r="AY54" s="31">
        <v>1009.76</v>
      </c>
      <c r="AZ54" s="31">
        <f t="shared" si="32"/>
        <v>10.0976</v>
      </c>
    </row>
    <row r="55" spans="1:52" x14ac:dyDescent="0.25">
      <c r="A55" s="1">
        <v>1</v>
      </c>
      <c r="B55" s="1">
        <v>3</v>
      </c>
      <c r="C55" s="1">
        <v>15</v>
      </c>
      <c r="E55" s="9">
        <v>0.48263888888889001</v>
      </c>
      <c r="F55" s="1">
        <v>2</v>
      </c>
      <c r="AW55" s="31">
        <v>28.74</v>
      </c>
      <c r="AX55" s="31">
        <v>49.75</v>
      </c>
      <c r="AY55" s="31">
        <v>1009.76</v>
      </c>
      <c r="AZ55" s="31">
        <f t="shared" si="32"/>
        <v>10.0976</v>
      </c>
    </row>
    <row r="56" spans="1:52" x14ac:dyDescent="0.25">
      <c r="A56" s="1">
        <v>1</v>
      </c>
      <c r="B56" s="1">
        <v>3</v>
      </c>
      <c r="C56" s="1">
        <v>15</v>
      </c>
      <c r="E56" s="9">
        <v>0.48611111111111299</v>
      </c>
      <c r="F56" s="1">
        <v>2</v>
      </c>
      <c r="AW56" s="31">
        <v>28.74</v>
      </c>
      <c r="AX56" s="31">
        <v>49.75</v>
      </c>
      <c r="AY56" s="31">
        <v>1009.76</v>
      </c>
      <c r="AZ56" s="31">
        <f t="shared" si="32"/>
        <v>10.0976</v>
      </c>
    </row>
    <row r="57" spans="1:52" x14ac:dyDescent="0.25">
      <c r="A57" s="1">
        <v>1</v>
      </c>
      <c r="B57" s="1">
        <v>3</v>
      </c>
      <c r="C57" s="1">
        <v>15</v>
      </c>
      <c r="E57" s="9">
        <v>0.48958333333333498</v>
      </c>
      <c r="F57" s="1">
        <v>2</v>
      </c>
      <c r="AW57" s="31">
        <v>28.74</v>
      </c>
      <c r="AX57" s="31">
        <v>49.75</v>
      </c>
      <c r="AY57" s="31">
        <v>1009.76</v>
      </c>
      <c r="AZ57" s="31">
        <f t="shared" si="32"/>
        <v>10.0976</v>
      </c>
    </row>
    <row r="58" spans="1:52" x14ac:dyDescent="0.25">
      <c r="A58" s="1">
        <v>1</v>
      </c>
      <c r="B58" s="1">
        <v>3</v>
      </c>
      <c r="C58" s="1">
        <v>15</v>
      </c>
      <c r="E58" s="9">
        <v>0.49305555555555702</v>
      </c>
      <c r="F58" s="1">
        <v>2</v>
      </c>
      <c r="AW58" s="31">
        <v>28.74</v>
      </c>
      <c r="AX58" s="31">
        <v>49.75</v>
      </c>
      <c r="AY58" s="31">
        <v>1009.76</v>
      </c>
      <c r="AZ58" s="31">
        <f t="shared" si="32"/>
        <v>10.0976</v>
      </c>
    </row>
    <row r="59" spans="1:52" x14ac:dyDescent="0.25">
      <c r="A59" s="1">
        <v>1</v>
      </c>
      <c r="B59" s="1">
        <v>3</v>
      </c>
      <c r="C59" s="1">
        <v>15</v>
      </c>
      <c r="E59" s="9">
        <v>0.49652777777777901</v>
      </c>
      <c r="F59" s="1">
        <v>2</v>
      </c>
      <c r="AW59" s="31">
        <v>28.74</v>
      </c>
      <c r="AX59" s="31">
        <v>49.75</v>
      </c>
      <c r="AY59" s="31">
        <v>1009.76</v>
      </c>
      <c r="AZ59" s="31">
        <f t="shared" si="32"/>
        <v>10.0976</v>
      </c>
    </row>
    <row r="60" spans="1:52" x14ac:dyDescent="0.25">
      <c r="A60" s="1">
        <v>1</v>
      </c>
      <c r="B60" s="1">
        <v>3</v>
      </c>
      <c r="C60" s="1">
        <v>15</v>
      </c>
      <c r="E60" s="9">
        <v>0.500000000000002</v>
      </c>
      <c r="F60" s="1">
        <v>2</v>
      </c>
      <c r="AW60" s="31">
        <v>28.74</v>
      </c>
      <c r="AX60" s="31">
        <v>49.75</v>
      </c>
      <c r="AY60" s="31">
        <v>1009.76</v>
      </c>
      <c r="AZ60" s="31">
        <f t="shared" si="32"/>
        <v>10.0976</v>
      </c>
    </row>
    <row r="61" spans="1:52" x14ac:dyDescent="0.25">
      <c r="A61" s="1">
        <v>1</v>
      </c>
      <c r="B61" s="1">
        <v>3</v>
      </c>
      <c r="C61" s="1">
        <v>15</v>
      </c>
      <c r="E61" s="9">
        <v>0.50347222222222399</v>
      </c>
      <c r="F61" s="1">
        <v>2</v>
      </c>
      <c r="AW61" s="31">
        <v>28.74</v>
      </c>
      <c r="AX61" s="31">
        <v>49.75</v>
      </c>
      <c r="AY61" s="31">
        <v>1009.76</v>
      </c>
      <c r="AZ61" s="31">
        <f t="shared" si="32"/>
        <v>10.0976</v>
      </c>
    </row>
    <row r="62" spans="1:52" x14ac:dyDescent="0.25">
      <c r="A62" s="1">
        <v>1</v>
      </c>
      <c r="B62" s="1">
        <v>3</v>
      </c>
      <c r="C62" s="1">
        <v>15</v>
      </c>
      <c r="E62" s="9">
        <v>0.50694444444444597</v>
      </c>
      <c r="F62" s="1">
        <v>2</v>
      </c>
      <c r="AW62" s="31">
        <v>28.74</v>
      </c>
      <c r="AX62" s="31">
        <v>49.75</v>
      </c>
      <c r="AY62" s="31">
        <v>1009.76</v>
      </c>
      <c r="AZ62" s="31">
        <f t="shared" si="32"/>
        <v>10.0976</v>
      </c>
    </row>
    <row r="63" spans="1:52" x14ac:dyDescent="0.25">
      <c r="A63" s="1">
        <v>1</v>
      </c>
      <c r="B63" s="1">
        <v>3</v>
      </c>
      <c r="C63" s="1">
        <v>15</v>
      </c>
      <c r="E63" s="9">
        <v>0.51041666666666896</v>
      </c>
      <c r="F63" s="1">
        <v>2</v>
      </c>
      <c r="AW63" s="31">
        <v>28.74</v>
      </c>
      <c r="AX63" s="31">
        <v>49.75</v>
      </c>
      <c r="AY63" s="31">
        <v>1009.76</v>
      </c>
      <c r="AZ63" s="31">
        <f t="shared" si="32"/>
        <v>10.0976</v>
      </c>
    </row>
    <row r="64" spans="1:52" x14ac:dyDescent="0.25">
      <c r="A64" s="1">
        <v>1</v>
      </c>
      <c r="B64" s="1">
        <v>3</v>
      </c>
      <c r="C64" s="1">
        <v>15</v>
      </c>
      <c r="E64" s="9">
        <v>0.51388888888889095</v>
      </c>
      <c r="F64" s="1">
        <v>2</v>
      </c>
      <c r="AW64" s="31">
        <v>28.74</v>
      </c>
      <c r="AX64" s="31">
        <v>49.75</v>
      </c>
      <c r="AY64" s="31">
        <v>1009.76</v>
      </c>
      <c r="AZ64" s="31">
        <f t="shared" si="32"/>
        <v>10.0976</v>
      </c>
    </row>
    <row r="65" spans="1:52" x14ac:dyDescent="0.25">
      <c r="A65" s="1">
        <v>1</v>
      </c>
      <c r="B65" s="1">
        <v>3</v>
      </c>
      <c r="C65" s="1">
        <v>15</v>
      </c>
      <c r="E65" s="9">
        <v>0.51736111111111305</v>
      </c>
      <c r="F65" s="1">
        <v>2</v>
      </c>
      <c r="AW65" s="31">
        <v>28.74</v>
      </c>
      <c r="AX65" s="31">
        <v>49.75</v>
      </c>
      <c r="AY65" s="31">
        <v>1009.76</v>
      </c>
      <c r="AZ65" s="31">
        <f t="shared" si="32"/>
        <v>10.0976</v>
      </c>
    </row>
    <row r="66" spans="1:52" x14ac:dyDescent="0.25">
      <c r="A66" s="1">
        <v>1</v>
      </c>
      <c r="B66" s="1">
        <v>3</v>
      </c>
      <c r="C66" s="1">
        <v>15</v>
      </c>
      <c r="E66" s="9">
        <v>0.52083333333333504</v>
      </c>
      <c r="F66" s="1">
        <v>2</v>
      </c>
      <c r="AW66" s="31">
        <v>28.74</v>
      </c>
      <c r="AX66" s="31">
        <v>49.75</v>
      </c>
      <c r="AY66" s="31">
        <v>1009.76</v>
      </c>
      <c r="AZ66" s="31">
        <f t="shared" si="32"/>
        <v>10.0976</v>
      </c>
    </row>
    <row r="67" spans="1:52" x14ac:dyDescent="0.25">
      <c r="A67" s="1">
        <v>1</v>
      </c>
      <c r="B67" s="1">
        <v>3</v>
      </c>
      <c r="C67" s="1">
        <v>15</v>
      </c>
      <c r="E67" s="9">
        <v>0.52430555555555802</v>
      </c>
      <c r="F67" s="1">
        <v>2</v>
      </c>
      <c r="AW67" s="31">
        <v>28.74</v>
      </c>
      <c r="AX67" s="31">
        <v>49.75</v>
      </c>
      <c r="AY67" s="31">
        <v>1009.76</v>
      </c>
      <c r="AZ67" s="31">
        <f t="shared" si="32"/>
        <v>10.0976</v>
      </c>
    </row>
    <row r="68" spans="1:52" x14ac:dyDescent="0.25">
      <c r="A68" s="1">
        <v>1</v>
      </c>
      <c r="B68" s="1">
        <v>3</v>
      </c>
      <c r="C68" s="1">
        <v>15</v>
      </c>
      <c r="E68" s="9">
        <v>0.52777777777778001</v>
      </c>
      <c r="F68" s="1">
        <v>2</v>
      </c>
      <c r="AW68" s="31">
        <v>28.74</v>
      </c>
      <c r="AX68" s="31">
        <v>49.75</v>
      </c>
      <c r="AY68" s="31">
        <v>1009.76</v>
      </c>
      <c r="AZ68" s="31">
        <f t="shared" si="32"/>
        <v>10.0976</v>
      </c>
    </row>
    <row r="69" spans="1:52" x14ac:dyDescent="0.25">
      <c r="A69" s="1">
        <v>1</v>
      </c>
      <c r="B69" s="1">
        <v>3</v>
      </c>
      <c r="C69" s="1">
        <v>15</v>
      </c>
      <c r="E69" s="9">
        <v>0.531250000000002</v>
      </c>
      <c r="F69" s="1">
        <v>2</v>
      </c>
      <c r="AW69" s="31">
        <v>28.74</v>
      </c>
      <c r="AX69" s="31">
        <v>49.75</v>
      </c>
      <c r="AY69" s="31">
        <v>1009.76</v>
      </c>
      <c r="AZ69" s="31">
        <f t="shared" si="32"/>
        <v>10.0976</v>
      </c>
    </row>
    <row r="70" spans="1:52" x14ac:dyDescent="0.25">
      <c r="A70" s="1">
        <v>1</v>
      </c>
      <c r="B70" s="1">
        <v>3</v>
      </c>
      <c r="C70" s="1">
        <v>15</v>
      </c>
      <c r="E70" s="9">
        <v>0.53472222222222399</v>
      </c>
      <c r="F70" s="1">
        <v>2</v>
      </c>
      <c r="AW70" s="31">
        <v>28.74</v>
      </c>
      <c r="AX70" s="31">
        <v>49.75</v>
      </c>
      <c r="AY70" s="31">
        <v>1009.76</v>
      </c>
      <c r="AZ70" s="31">
        <f t="shared" si="32"/>
        <v>10.0976</v>
      </c>
    </row>
    <row r="71" spans="1:52" x14ac:dyDescent="0.25">
      <c r="A71" s="1">
        <v>1</v>
      </c>
      <c r="B71" s="1">
        <v>3</v>
      </c>
      <c r="C71" s="1">
        <v>15</v>
      </c>
      <c r="E71" s="9">
        <v>0.53819444444444697</v>
      </c>
      <c r="F71" s="1">
        <v>2</v>
      </c>
      <c r="AW71" s="31">
        <v>28.74</v>
      </c>
      <c r="AX71" s="31">
        <v>49.75</v>
      </c>
      <c r="AY71" s="31">
        <v>1009.76</v>
      </c>
      <c r="AZ71" s="31">
        <f t="shared" si="32"/>
        <v>10.0976</v>
      </c>
    </row>
    <row r="72" spans="1:52" x14ac:dyDescent="0.25">
      <c r="A72" s="1">
        <v>1</v>
      </c>
      <c r="B72" s="1">
        <v>3</v>
      </c>
      <c r="C72" s="1">
        <v>15</v>
      </c>
      <c r="E72" s="9">
        <v>0.54166666666666896</v>
      </c>
      <c r="F72" s="1">
        <v>2</v>
      </c>
      <c r="AW72" s="31">
        <v>28.74</v>
      </c>
      <c r="AX72" s="31">
        <v>49.75</v>
      </c>
      <c r="AY72" s="31">
        <v>1009.76</v>
      </c>
      <c r="AZ72" s="31">
        <f t="shared" si="32"/>
        <v>10.0976</v>
      </c>
    </row>
    <row r="73" spans="1:52" x14ac:dyDescent="0.25">
      <c r="A73" s="1">
        <v>1</v>
      </c>
      <c r="B73" s="1">
        <v>3</v>
      </c>
      <c r="C73" s="1">
        <v>15</v>
      </c>
      <c r="E73" s="9">
        <v>0.54513888888889095</v>
      </c>
      <c r="F73" s="1">
        <v>2</v>
      </c>
      <c r="AW73" s="31">
        <v>28.74</v>
      </c>
      <c r="AX73" s="31">
        <v>49.75</v>
      </c>
      <c r="AY73" s="31">
        <v>1009.76</v>
      </c>
      <c r="AZ73" s="31">
        <f t="shared" si="32"/>
        <v>10.0976</v>
      </c>
    </row>
    <row r="74" spans="1:52" x14ac:dyDescent="0.25">
      <c r="A74" s="1">
        <v>1</v>
      </c>
      <c r="B74" s="1">
        <v>3</v>
      </c>
      <c r="C74" s="1">
        <v>15</v>
      </c>
      <c r="E74" s="9">
        <v>0.54861111111111305</v>
      </c>
      <c r="F74" s="1">
        <v>2</v>
      </c>
      <c r="AW74" s="31">
        <v>28.74</v>
      </c>
      <c r="AX74" s="31">
        <v>49.75</v>
      </c>
      <c r="AY74" s="31">
        <v>1009.76</v>
      </c>
      <c r="AZ74" s="31">
        <f t="shared" si="32"/>
        <v>10.0976</v>
      </c>
    </row>
    <row r="75" spans="1:52" x14ac:dyDescent="0.25">
      <c r="A75" s="1">
        <v>1</v>
      </c>
      <c r="B75" s="1">
        <v>3</v>
      </c>
      <c r="C75" s="1">
        <v>15</v>
      </c>
      <c r="E75" s="9">
        <v>0.55208333333333603</v>
      </c>
      <c r="F75" s="1">
        <v>2</v>
      </c>
      <c r="AW75" s="31">
        <v>28.74</v>
      </c>
      <c r="AX75" s="31">
        <v>49.75</v>
      </c>
      <c r="AY75" s="31">
        <v>1009.76</v>
      </c>
      <c r="AZ75" s="31">
        <f t="shared" si="32"/>
        <v>10.0976</v>
      </c>
    </row>
    <row r="76" spans="1:52" x14ac:dyDescent="0.25">
      <c r="A76" s="1">
        <v>1</v>
      </c>
      <c r="B76" s="1">
        <v>3</v>
      </c>
      <c r="C76" s="1">
        <v>15</v>
      </c>
      <c r="E76" s="9">
        <v>0.55555555555555802</v>
      </c>
      <c r="F76" s="1">
        <v>2</v>
      </c>
      <c r="AW76" s="31">
        <v>28.74</v>
      </c>
      <c r="AX76" s="31">
        <v>49.75</v>
      </c>
      <c r="AY76" s="31">
        <v>1009.76</v>
      </c>
      <c r="AZ76" s="31">
        <f t="shared" si="32"/>
        <v>10.0976</v>
      </c>
    </row>
    <row r="77" spans="1:52" x14ac:dyDescent="0.25">
      <c r="A77" s="1">
        <v>1</v>
      </c>
      <c r="B77" s="1">
        <v>3</v>
      </c>
      <c r="C77" s="1">
        <v>15</v>
      </c>
      <c r="E77" s="9">
        <v>0.55902777777778001</v>
      </c>
      <c r="F77" s="1">
        <v>2</v>
      </c>
      <c r="AW77" s="31">
        <v>28.74</v>
      </c>
      <c r="AX77" s="31">
        <v>49.75</v>
      </c>
      <c r="AY77" s="31">
        <v>1009.76</v>
      </c>
      <c r="AZ77" s="31">
        <f t="shared" ref="AZ77:AZ96" si="55">AY77/100</f>
        <v>10.0976</v>
      </c>
    </row>
    <row r="78" spans="1:52" x14ac:dyDescent="0.25">
      <c r="A78" s="1">
        <v>1</v>
      </c>
      <c r="B78" s="1">
        <v>3</v>
      </c>
      <c r="C78" s="1">
        <v>15</v>
      </c>
      <c r="E78" s="9">
        <v>0.562500000000003</v>
      </c>
      <c r="F78" s="1">
        <v>2</v>
      </c>
      <c r="AW78" s="31">
        <v>28.74</v>
      </c>
      <c r="AX78" s="31">
        <v>49.75</v>
      </c>
      <c r="AY78" s="31">
        <v>1009.76</v>
      </c>
      <c r="AZ78" s="31">
        <f t="shared" si="55"/>
        <v>10.0976</v>
      </c>
    </row>
    <row r="79" spans="1:52" x14ac:dyDescent="0.25">
      <c r="A79" s="1">
        <v>1</v>
      </c>
      <c r="B79" s="1">
        <v>3</v>
      </c>
      <c r="C79" s="1">
        <v>15</v>
      </c>
      <c r="E79" s="9">
        <v>0.56597222222222499</v>
      </c>
      <c r="F79" s="1">
        <v>2</v>
      </c>
      <c r="AW79" s="31">
        <v>28.74</v>
      </c>
      <c r="AX79" s="31">
        <v>49.75</v>
      </c>
      <c r="AY79" s="31">
        <v>1009.76</v>
      </c>
      <c r="AZ79" s="31">
        <f t="shared" si="55"/>
        <v>10.0976</v>
      </c>
    </row>
    <row r="80" spans="1:52" x14ac:dyDescent="0.25">
      <c r="A80" s="1">
        <v>1</v>
      </c>
      <c r="B80" s="1">
        <v>3</v>
      </c>
      <c r="C80" s="1">
        <v>15</v>
      </c>
      <c r="E80" s="9">
        <v>0.56944444444444697</v>
      </c>
      <c r="F80" s="1">
        <v>2</v>
      </c>
      <c r="AW80" s="31">
        <v>28.74</v>
      </c>
      <c r="AX80" s="31">
        <v>49.75</v>
      </c>
      <c r="AY80" s="31">
        <v>1009.76</v>
      </c>
      <c r="AZ80" s="31">
        <f t="shared" si="55"/>
        <v>10.0976</v>
      </c>
    </row>
    <row r="81" spans="1:52" x14ac:dyDescent="0.25">
      <c r="A81" s="1">
        <v>1</v>
      </c>
      <c r="B81" s="1">
        <v>3</v>
      </c>
      <c r="C81" s="1">
        <v>15</v>
      </c>
      <c r="E81" s="9">
        <v>0.57291666666666896</v>
      </c>
      <c r="F81" s="1">
        <v>2</v>
      </c>
      <c r="AW81" s="31">
        <v>28.74</v>
      </c>
      <c r="AX81" s="31">
        <v>49.75</v>
      </c>
      <c r="AY81" s="31">
        <v>1009.76</v>
      </c>
      <c r="AZ81" s="31">
        <f t="shared" si="55"/>
        <v>10.0976</v>
      </c>
    </row>
    <row r="82" spans="1:52" x14ac:dyDescent="0.25">
      <c r="A82" s="1">
        <v>1</v>
      </c>
      <c r="B82" s="1">
        <v>3</v>
      </c>
      <c r="C82" s="1">
        <v>15</v>
      </c>
      <c r="E82" s="9">
        <v>0.57638888888889195</v>
      </c>
      <c r="F82" s="1">
        <v>2</v>
      </c>
      <c r="AW82" s="31">
        <v>28.74</v>
      </c>
      <c r="AX82" s="31">
        <v>49.75</v>
      </c>
      <c r="AY82" s="31">
        <v>1009.76</v>
      </c>
      <c r="AZ82" s="31">
        <f t="shared" si="55"/>
        <v>10.0976</v>
      </c>
    </row>
    <row r="83" spans="1:52" x14ac:dyDescent="0.25">
      <c r="A83" s="1">
        <v>1</v>
      </c>
      <c r="B83" s="1">
        <v>3</v>
      </c>
      <c r="C83" s="1">
        <v>15</v>
      </c>
      <c r="E83" s="9">
        <v>0.57986111111111405</v>
      </c>
      <c r="F83" s="1">
        <v>2</v>
      </c>
      <c r="AW83" s="31">
        <v>28.74</v>
      </c>
      <c r="AX83" s="31">
        <v>49.75</v>
      </c>
      <c r="AY83" s="31">
        <v>1009.76</v>
      </c>
      <c r="AZ83" s="31">
        <f t="shared" si="55"/>
        <v>10.0976</v>
      </c>
    </row>
    <row r="84" spans="1:52" x14ac:dyDescent="0.25">
      <c r="A84" s="1">
        <v>1</v>
      </c>
      <c r="B84" s="1">
        <v>3</v>
      </c>
      <c r="C84" s="1">
        <v>15</v>
      </c>
      <c r="E84" s="9">
        <v>0.58333333333333603</v>
      </c>
      <c r="F84" s="1">
        <v>2</v>
      </c>
      <c r="AW84" s="31">
        <v>28.74</v>
      </c>
      <c r="AX84" s="31">
        <v>49.75</v>
      </c>
      <c r="AY84" s="31">
        <v>1009.76</v>
      </c>
      <c r="AZ84" s="31">
        <f t="shared" si="55"/>
        <v>10.0976</v>
      </c>
    </row>
    <row r="85" spans="1:52" x14ac:dyDescent="0.25">
      <c r="A85" s="1">
        <v>1</v>
      </c>
      <c r="B85" s="1">
        <v>3</v>
      </c>
      <c r="C85" s="1">
        <v>15</v>
      </c>
      <c r="E85" s="9">
        <v>0.58680555555555802</v>
      </c>
      <c r="F85" s="1">
        <v>2</v>
      </c>
      <c r="AW85" s="31">
        <v>28.74</v>
      </c>
      <c r="AX85" s="31">
        <v>49.75</v>
      </c>
      <c r="AY85" s="31">
        <v>1009.76</v>
      </c>
      <c r="AZ85" s="31">
        <f t="shared" si="55"/>
        <v>10.0976</v>
      </c>
    </row>
    <row r="86" spans="1:52" x14ac:dyDescent="0.25">
      <c r="A86" s="1">
        <v>1</v>
      </c>
      <c r="B86" s="1">
        <v>3</v>
      </c>
      <c r="C86" s="1">
        <v>15</v>
      </c>
      <c r="E86" s="9">
        <v>0.59027777777778101</v>
      </c>
      <c r="F86" s="1">
        <v>2</v>
      </c>
      <c r="AW86" s="31">
        <v>28.74</v>
      </c>
      <c r="AX86" s="31">
        <v>49.75</v>
      </c>
      <c r="AY86" s="31">
        <v>1009.76</v>
      </c>
      <c r="AZ86" s="31">
        <f t="shared" si="55"/>
        <v>10.0976</v>
      </c>
    </row>
    <row r="87" spans="1:52" x14ac:dyDescent="0.25">
      <c r="A87" s="1">
        <v>1</v>
      </c>
      <c r="B87" s="1">
        <v>3</v>
      </c>
      <c r="C87" s="1">
        <v>15</v>
      </c>
      <c r="E87" s="9">
        <v>0.593750000000003</v>
      </c>
      <c r="F87" s="1">
        <v>2</v>
      </c>
      <c r="AW87" s="31">
        <v>28.74</v>
      </c>
      <c r="AX87" s="31">
        <v>49.75</v>
      </c>
      <c r="AY87" s="31">
        <v>1009.76</v>
      </c>
      <c r="AZ87" s="31">
        <f t="shared" si="55"/>
        <v>10.0976</v>
      </c>
    </row>
    <row r="88" spans="1:52" x14ac:dyDescent="0.25">
      <c r="A88" s="1">
        <v>1</v>
      </c>
      <c r="B88" s="1">
        <v>3</v>
      </c>
      <c r="C88" s="1">
        <v>15</v>
      </c>
      <c r="E88" s="9">
        <v>0.59722222222222499</v>
      </c>
      <c r="F88" s="1">
        <v>2</v>
      </c>
      <c r="AW88" s="31">
        <v>28.74</v>
      </c>
      <c r="AX88" s="31">
        <v>49.75</v>
      </c>
      <c r="AY88" s="31">
        <v>1009.76</v>
      </c>
      <c r="AZ88" s="31">
        <f t="shared" si="55"/>
        <v>10.0976</v>
      </c>
    </row>
    <row r="89" spans="1:52" x14ac:dyDescent="0.25">
      <c r="A89" s="1">
        <v>1</v>
      </c>
      <c r="B89" s="1">
        <v>3</v>
      </c>
      <c r="C89" s="1">
        <v>15</v>
      </c>
      <c r="E89" s="9">
        <v>0.60069444444444697</v>
      </c>
      <c r="F89" s="1">
        <v>2</v>
      </c>
      <c r="AW89" s="31">
        <v>28.74</v>
      </c>
      <c r="AX89" s="31">
        <v>49.75</v>
      </c>
      <c r="AY89" s="31">
        <v>1009.76</v>
      </c>
      <c r="AZ89" s="31">
        <f t="shared" si="55"/>
        <v>10.0976</v>
      </c>
    </row>
    <row r="90" spans="1:52" x14ac:dyDescent="0.25">
      <c r="A90" s="1">
        <v>1</v>
      </c>
      <c r="B90" s="1">
        <v>3</v>
      </c>
      <c r="C90" s="1">
        <v>15</v>
      </c>
      <c r="E90" s="9">
        <v>0.60416666666666996</v>
      </c>
      <c r="F90" s="1">
        <v>2</v>
      </c>
      <c r="AW90" s="31">
        <v>28.74</v>
      </c>
      <c r="AX90" s="31">
        <v>49.75</v>
      </c>
      <c r="AY90" s="31">
        <v>1009.76</v>
      </c>
      <c r="AZ90" s="31">
        <f t="shared" si="55"/>
        <v>10.0976</v>
      </c>
    </row>
    <row r="91" spans="1:52" x14ac:dyDescent="0.25">
      <c r="A91" s="1">
        <v>1</v>
      </c>
      <c r="B91" s="1">
        <v>3</v>
      </c>
      <c r="C91" s="1">
        <v>15</v>
      </c>
      <c r="E91" s="9">
        <v>0.60763888888889195</v>
      </c>
      <c r="F91" s="1">
        <v>2</v>
      </c>
      <c r="AW91" s="31">
        <v>28.74</v>
      </c>
      <c r="AX91" s="31">
        <v>49.75</v>
      </c>
      <c r="AY91" s="31">
        <v>1009.76</v>
      </c>
      <c r="AZ91" s="31">
        <f t="shared" si="55"/>
        <v>10.0976</v>
      </c>
    </row>
    <row r="92" spans="1:52" x14ac:dyDescent="0.25">
      <c r="A92" s="1">
        <v>1</v>
      </c>
      <c r="B92" s="1">
        <v>3</v>
      </c>
      <c r="C92" s="1">
        <v>15</v>
      </c>
      <c r="E92" s="9">
        <v>0.61111111111111405</v>
      </c>
      <c r="F92" s="1">
        <v>2</v>
      </c>
      <c r="AW92" s="31">
        <v>28.74</v>
      </c>
      <c r="AX92" s="31">
        <v>49.75</v>
      </c>
      <c r="AY92" s="31">
        <v>1009.76</v>
      </c>
      <c r="AZ92" s="31">
        <f t="shared" si="55"/>
        <v>10.0976</v>
      </c>
    </row>
    <row r="93" spans="1:52" x14ac:dyDescent="0.25">
      <c r="A93" s="1">
        <v>1</v>
      </c>
      <c r="B93" s="1">
        <v>3</v>
      </c>
      <c r="C93" s="1">
        <v>15</v>
      </c>
      <c r="E93" s="9">
        <v>0.61458333333333603</v>
      </c>
      <c r="F93" s="1">
        <v>2</v>
      </c>
      <c r="AW93" s="31">
        <v>28.74</v>
      </c>
      <c r="AX93" s="31">
        <v>49.75</v>
      </c>
      <c r="AY93" s="31">
        <v>1009.76</v>
      </c>
      <c r="AZ93" s="31">
        <f t="shared" si="55"/>
        <v>10.0976</v>
      </c>
    </row>
    <row r="94" spans="1:52" x14ac:dyDescent="0.25">
      <c r="A94" s="1">
        <v>1</v>
      </c>
      <c r="B94" s="1">
        <v>3</v>
      </c>
      <c r="C94" s="1">
        <v>15</v>
      </c>
      <c r="E94" s="9">
        <v>0.61805555555555902</v>
      </c>
      <c r="F94" s="1">
        <v>2</v>
      </c>
      <c r="AW94" s="31">
        <v>28.74</v>
      </c>
      <c r="AX94" s="31">
        <v>49.75</v>
      </c>
      <c r="AY94" s="31">
        <v>1009.76</v>
      </c>
      <c r="AZ94" s="31">
        <f t="shared" si="55"/>
        <v>10.0976</v>
      </c>
    </row>
    <row r="95" spans="1:52" x14ac:dyDescent="0.25">
      <c r="A95" s="1">
        <v>1</v>
      </c>
      <c r="B95" s="1">
        <v>3</v>
      </c>
      <c r="C95" s="1">
        <v>15</v>
      </c>
      <c r="E95" s="9">
        <v>0.62152777777778101</v>
      </c>
      <c r="F95" s="1">
        <v>2</v>
      </c>
      <c r="AW95" s="31">
        <v>28.74</v>
      </c>
      <c r="AX95" s="31">
        <v>49.75</v>
      </c>
      <c r="AY95" s="31">
        <v>1009.76</v>
      </c>
      <c r="AZ95" s="31">
        <f t="shared" si="55"/>
        <v>10.0976</v>
      </c>
    </row>
    <row r="96" spans="1:52" x14ac:dyDescent="0.25">
      <c r="A96" s="1">
        <v>1</v>
      </c>
      <c r="B96" s="1">
        <v>3</v>
      </c>
      <c r="C96" s="1">
        <v>15</v>
      </c>
      <c r="E96" s="9">
        <v>0.625000000000003</v>
      </c>
      <c r="F96" s="1">
        <v>2</v>
      </c>
      <c r="AW96" s="31">
        <v>28.74</v>
      </c>
      <c r="AX96" s="31">
        <v>49.75</v>
      </c>
      <c r="AY96" s="31">
        <v>1009.76</v>
      </c>
      <c r="AZ96" s="31">
        <f t="shared" si="55"/>
        <v>10.0976</v>
      </c>
    </row>
  </sheetData>
  <mergeCells count="106">
    <mergeCell ref="BS7:BT7"/>
    <mergeCell ref="BS8:BT8"/>
    <mergeCell ref="BU7:BV7"/>
    <mergeCell ref="BU8:BV8"/>
    <mergeCell ref="BW7:BX7"/>
    <mergeCell ref="BW8:BX8"/>
    <mergeCell ref="BY8:BY10"/>
    <mergeCell ref="BZ8:CA10"/>
    <mergeCell ref="BY7:CA7"/>
    <mergeCell ref="BU9:BU10"/>
    <mergeCell ref="BQ8:BQ10"/>
    <mergeCell ref="BR8:BR10"/>
    <mergeCell ref="BM7:BN7"/>
    <mergeCell ref="BM8:BN8"/>
    <mergeCell ref="A7:A10"/>
    <mergeCell ref="B7:B10"/>
    <mergeCell ref="BL8:BL10"/>
    <mergeCell ref="AW7:AW8"/>
    <mergeCell ref="AX7:AX8"/>
    <mergeCell ref="C7:C10"/>
    <mergeCell ref="F7:F10"/>
    <mergeCell ref="D7:E10"/>
    <mergeCell ref="AY9:AY10"/>
    <mergeCell ref="BA9:BA10"/>
    <mergeCell ref="BB9:BB10"/>
    <mergeCell ref="T8:U8"/>
    <mergeCell ref="V8:V9"/>
    <mergeCell ref="W8:X8"/>
    <mergeCell ref="Y8:Y9"/>
    <mergeCell ref="Z8:AA8"/>
    <mergeCell ref="N8:O8"/>
    <mergeCell ref="M8:M9"/>
    <mergeCell ref="P8:P9"/>
    <mergeCell ref="Q8:R8"/>
    <mergeCell ref="D2:G2"/>
    <mergeCell ref="H7:I7"/>
    <mergeCell ref="K8:L8"/>
    <mergeCell ref="G7:G9"/>
    <mergeCell ref="H8:H9"/>
    <mergeCell ref="I8:I9"/>
    <mergeCell ref="J8:J9"/>
    <mergeCell ref="J7:AM7"/>
    <mergeCell ref="CB7:CR7"/>
    <mergeCell ref="CB8:CL8"/>
    <mergeCell ref="CM8:CP8"/>
    <mergeCell ref="BG7:BG8"/>
    <mergeCell ref="BA7:BA8"/>
    <mergeCell ref="BB7:BB8"/>
    <mergeCell ref="AB8:AB9"/>
    <mergeCell ref="AC8:AD8"/>
    <mergeCell ref="AF8:AG8"/>
    <mergeCell ref="AE8:AE9"/>
    <mergeCell ref="AQ8:AQ9"/>
    <mergeCell ref="AR8:AS8"/>
    <mergeCell ref="AT8:AT9"/>
    <mergeCell ref="AU8:AV8"/>
    <mergeCell ref="AW9:AW10"/>
    <mergeCell ref="AX9:AX10"/>
    <mergeCell ref="S8:S9"/>
    <mergeCell ref="CQ9:CQ10"/>
    <mergeCell ref="CR9:CR10"/>
    <mergeCell ref="CS9:CS10"/>
    <mergeCell ref="BC9:BC10"/>
    <mergeCell ref="CK9:CK10"/>
    <mergeCell ref="CL9:CL10"/>
    <mergeCell ref="CM9:CM10"/>
    <mergeCell ref="CN9:CN10"/>
    <mergeCell ref="CO9:CO10"/>
    <mergeCell ref="CP9:CP10"/>
    <mergeCell ref="CE9:CE10"/>
    <mergeCell ref="CF9:CF10"/>
    <mergeCell ref="CG9:CG10"/>
    <mergeCell ref="CH9:CH10"/>
    <mergeCell ref="CI9:CI10"/>
    <mergeCell ref="BW9:BW10"/>
    <mergeCell ref="BX9:BX10"/>
    <mergeCell ref="CB9:CB10"/>
    <mergeCell ref="CC9:CC10"/>
    <mergeCell ref="CD9:CD10"/>
    <mergeCell ref="BM9:BN10"/>
    <mergeCell ref="BS9:BS10"/>
    <mergeCell ref="BT9:BT10"/>
    <mergeCell ref="AH8:AH9"/>
    <mergeCell ref="AI8:AJ8"/>
    <mergeCell ref="CJ9:CJ10"/>
    <mergeCell ref="AY7:AZ8"/>
    <mergeCell ref="BC7:BD8"/>
    <mergeCell ref="BD9:BD10"/>
    <mergeCell ref="BJ8:BK8"/>
    <mergeCell ref="BK9:BK10"/>
    <mergeCell ref="BI7:BK7"/>
    <mergeCell ref="AK8:AK9"/>
    <mergeCell ref="AL8:AM8"/>
    <mergeCell ref="AN8:AN9"/>
    <mergeCell ref="AO8:AP8"/>
    <mergeCell ref="AN7:AV7"/>
    <mergeCell ref="BE7:BF8"/>
    <mergeCell ref="BE9:BF9"/>
    <mergeCell ref="BV9:BV10"/>
    <mergeCell ref="AZ9:AZ10"/>
    <mergeCell ref="BG9:BG10"/>
    <mergeCell ref="BH9:BH10"/>
    <mergeCell ref="BI9:BI10"/>
    <mergeCell ref="BJ9:BJ10"/>
    <mergeCell ref="BO8:BO10"/>
    <mergeCell ref="BP8:BP1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AYAD</dc:creator>
  <cp:lastModifiedBy>Yusuf Al-Rahman</cp:lastModifiedBy>
  <dcterms:created xsi:type="dcterms:W3CDTF">2024-02-25T02:47:48Z</dcterms:created>
  <dcterms:modified xsi:type="dcterms:W3CDTF">2024-05-31T12:58:45Z</dcterms:modified>
</cp:coreProperties>
</file>