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Template" sheetId="2" r:id="rId1"/>
  </sheets>
  <calcPr calcId="144525"/>
</workbook>
</file>

<file path=xl/calcChain.xml><?xml version="1.0" encoding="utf-8"?>
<calcChain xmlns="http://schemas.openxmlformats.org/spreadsheetml/2006/main">
  <c r="AR17" i="2" l="1"/>
  <c r="AS17" i="2"/>
  <c r="N17" i="2"/>
  <c r="O17" i="2"/>
  <c r="CC17" i="2"/>
  <c r="W17" i="2"/>
  <c r="X17" i="2"/>
  <c r="CF17" i="2"/>
  <c r="H17" i="2"/>
  <c r="I17" i="2"/>
  <c r="BI17" i="2"/>
  <c r="CL13" i="2" l="1"/>
  <c r="CL14" i="2"/>
  <c r="CL15" i="2"/>
  <c r="CL16" i="2"/>
  <c r="CL12" i="2"/>
  <c r="CK13" i="2"/>
  <c r="CK14" i="2"/>
  <c r="CK15" i="2"/>
  <c r="CK16" i="2"/>
  <c r="CK12" i="2"/>
  <c r="BE13" i="2"/>
  <c r="BF13" i="2"/>
  <c r="BE14" i="2"/>
  <c r="BF14" i="2"/>
  <c r="BE15" i="2"/>
  <c r="BF15" i="2"/>
  <c r="BE16" i="2"/>
  <c r="BF16" i="2"/>
  <c r="BF12" i="2"/>
  <c r="BE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I13" i="2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I14" i="2"/>
  <c r="K14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I15" i="2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K16" i="2"/>
  <c r="L16" i="2"/>
  <c r="N16" i="2"/>
  <c r="O16" i="2"/>
  <c r="Q16" i="2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C13" i="2"/>
  <c r="CD13" i="2"/>
  <c r="CE13" i="2"/>
  <c r="CF13" i="2"/>
  <c r="CG13" i="2"/>
  <c r="CH13" i="2"/>
  <c r="CI13" i="2"/>
  <c r="CJ13" i="2"/>
  <c r="CB14" i="2"/>
  <c r="CC14" i="2"/>
  <c r="CD14" i="2"/>
  <c r="CE14" i="2"/>
  <c r="CF14" i="2"/>
  <c r="CG14" i="2"/>
  <c r="CH14" i="2"/>
  <c r="CI14" i="2"/>
  <c r="CJ14" i="2"/>
  <c r="CB15" i="2"/>
  <c r="CC15" i="2"/>
  <c r="CD15" i="2"/>
  <c r="CE15" i="2"/>
  <c r="CF15" i="2"/>
  <c r="CG15" i="2"/>
  <c r="CH15" i="2"/>
  <c r="CI15" i="2"/>
  <c r="CJ15" i="2"/>
  <c r="CB16" i="2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J12" i="2"/>
  <c r="AJ12" i="2"/>
  <c r="AI12" i="2"/>
  <c r="I12" i="2"/>
  <c r="H12" i="2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<sst xmlns="http://schemas.openxmlformats.org/spreadsheetml/2006/main" count="167" uniqueCount="124">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</sst>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2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4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" fontId="0" fillId="0" borderId="0" xfId="0" applyNumberFormat="1" applyFont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6" borderId="2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center" wrapText="1"/>
    </xf>
    <xf numFmtId="0" fontId="0" fillId="6" borderId="23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right"/>
    </xf>
    <xf numFmtId="0" fontId="1" fillId="3" borderId="20" xfId="0" applyFont="1" applyFill="1" applyBorder="1" applyAlignment="1">
      <alignment horizontal="center" vertical="center" wrapText="1"/>
    </xf>
    <xf numFmtId="0" fontId="0" fillId="3" borderId="21" xfId="0" quotePrefix="1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3" borderId="15" xfId="0" quotePrefix="1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/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17</xdr:row>
      <xdr:rowOff>100404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368899</xdr:colOff>
      <xdr:row>46</xdr:row>
      <xdr:rowOff>168085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3"/>
  <sheetViews>
    <sheetView tabSelected="1" topLeftCell="AH5" zoomScale="120" zoomScaleNormal="120" workbookViewId="0">
      <selection activeCell="AR17" sqref="AR17"/>
    </sheetView>
  </sheetViews>
  <sheetFormatPr defaultRowHeight="14.4" x14ac:dyDescent="0.3"/>
  <cols>
    <col min="1" max="1" width="8" style="1" customWidth="1"/>
    <col min="2" max="2" width="6.77734375" style="1" customWidth="1"/>
    <col min="3" max="3" width="8.5546875" style="1" customWidth="1"/>
    <col min="4" max="4" width="8.6640625" style="1" customWidth="1"/>
    <col min="5" max="5" width="9.44140625" style="1" customWidth="1"/>
    <col min="6" max="6" width="9.77734375" style="1" customWidth="1"/>
    <col min="7" max="7" width="10.33203125" style="107" customWidth="1"/>
    <col min="8" max="9" width="10.109375" style="1" customWidth="1"/>
    <col min="10" max="10" width="7.5546875" style="107" customWidth="1"/>
    <col min="11" max="11" width="8.6640625" style="1" customWidth="1"/>
    <col min="12" max="12" width="9.88671875" style="1" customWidth="1"/>
    <col min="13" max="13" width="7.77734375" style="107" customWidth="1"/>
    <col min="14" max="14" width="7.6640625" style="1" customWidth="1"/>
    <col min="15" max="15" width="9.6640625" style="1" customWidth="1"/>
    <col min="16" max="16" width="10" style="107" customWidth="1"/>
    <col min="17" max="18" width="9.21875" style="1" customWidth="1"/>
    <col min="19" max="19" width="9.6640625" style="107" customWidth="1"/>
    <col min="20" max="20" width="8.44140625" style="1" customWidth="1"/>
    <col min="21" max="21" width="10" style="1" customWidth="1"/>
    <col min="22" max="22" width="9.21875" style="107" customWidth="1"/>
    <col min="23" max="23" width="8.77734375" style="1" customWidth="1"/>
    <col min="24" max="24" width="10.44140625" style="1" customWidth="1"/>
    <col min="25" max="25" width="8.44140625" style="107" customWidth="1"/>
    <col min="26" max="26" width="6.88671875" style="1" customWidth="1"/>
    <col min="27" max="27" width="9.5546875" style="1" customWidth="1"/>
    <col min="28" max="28" width="8.77734375" style="107" customWidth="1"/>
    <col min="29" max="29" width="7.77734375" style="1" customWidth="1"/>
    <col min="30" max="30" width="10.109375" style="1" customWidth="1"/>
    <col min="31" max="31" width="9.44140625" style="107" customWidth="1"/>
    <col min="32" max="32" width="8.88671875" style="1" customWidth="1"/>
    <col min="33" max="33" width="11.88671875" style="1" customWidth="1"/>
    <col min="34" max="34" width="11.88671875" style="107" customWidth="1"/>
    <col min="35" max="36" width="11.88671875" style="1" customWidth="1"/>
    <col min="37" max="37" width="11.88671875" style="107" customWidth="1"/>
    <col min="38" max="39" width="11.88671875" style="1" customWidth="1"/>
    <col min="40" max="40" width="11.88671875" style="107" customWidth="1"/>
    <col min="41" max="41" width="9.5546875" style="1" customWidth="1"/>
    <col min="42" max="42" width="10.21875" style="1" customWidth="1"/>
    <col min="43" max="43" width="8.44140625" style="107" customWidth="1"/>
    <col min="44" max="44" width="8.21875" style="1" customWidth="1"/>
    <col min="45" max="45" width="9.21875" style="1" customWidth="1"/>
    <col min="46" max="46" width="9" style="107" customWidth="1"/>
    <col min="47" max="48" width="10.109375" style="1" customWidth="1"/>
    <col min="49" max="49" width="12" style="107" customWidth="1"/>
    <col min="50" max="50" width="9.109375" style="107" bestFit="1" customWidth="1"/>
    <col min="51" max="52" width="11.33203125" style="107" customWidth="1"/>
    <col min="53" max="53" width="12.21875" style="107" customWidth="1"/>
    <col min="54" max="56" width="11.33203125" style="107" customWidth="1"/>
    <col min="57" max="57" width="11.21875" style="1" customWidth="1"/>
    <col min="58" max="58" width="11.5546875" style="1" customWidth="1"/>
    <col min="59" max="59" width="14.88671875" style="1" customWidth="1"/>
    <col min="60" max="60" width="27.109375" style="1" customWidth="1"/>
    <col min="61" max="61" width="14.5546875" style="1" customWidth="1"/>
    <col min="62" max="63" width="15.6640625" style="1" customWidth="1"/>
    <col min="64" max="64" width="11.88671875" style="1" bestFit="1" customWidth="1"/>
    <col min="65" max="65" width="14.109375" style="1" customWidth="1"/>
    <col min="66" max="66" width="15.5546875" style="1" customWidth="1"/>
    <col min="67" max="67" width="17.77734375" style="1" customWidth="1"/>
    <col min="68" max="68" width="18.6640625" style="1" customWidth="1"/>
    <col min="69" max="69" width="14.44140625" style="1" customWidth="1"/>
    <col min="70" max="70" width="22.44140625" style="1" customWidth="1"/>
    <col min="71" max="71" width="9.21875" style="1" customWidth="1"/>
    <col min="72" max="72" width="8" style="1" customWidth="1"/>
    <col min="73" max="73" width="9.109375" style="1" bestFit="1" customWidth="1"/>
    <col min="74" max="74" width="7.77734375" style="1" bestFit="1" customWidth="1"/>
    <col min="75" max="75" width="13.44140625" style="1" customWidth="1"/>
    <col min="76" max="76" width="15" style="1" customWidth="1"/>
    <col min="77" max="77" width="9.109375" style="1" customWidth="1"/>
    <col min="78" max="78" width="10.109375" style="1" customWidth="1"/>
    <col min="79" max="79" width="12.33203125" style="3" customWidth="1"/>
    <col min="80" max="80" width="9.88671875" style="3" bestFit="1" customWidth="1"/>
    <col min="81" max="81" width="7.33203125" style="3" bestFit="1" customWidth="1"/>
    <col min="82" max="82" width="9.109375" style="3" bestFit="1" customWidth="1"/>
    <col min="83" max="83" width="9.88671875" style="3" bestFit="1" customWidth="1"/>
    <col min="84" max="84" width="9" style="3" bestFit="1" customWidth="1"/>
    <col min="85" max="85" width="8.33203125" style="3" bestFit="1" customWidth="1"/>
    <col min="86" max="86" width="9.5546875" style="3" bestFit="1" customWidth="1"/>
    <col min="87" max="87" width="8.33203125" style="1" bestFit="1" customWidth="1"/>
    <col min="88" max="90" width="8.33203125" style="1" customWidth="1"/>
    <col min="91" max="91" width="9.109375" style="1" bestFit="1" customWidth="1"/>
    <col min="92" max="94" width="10.77734375" style="1" customWidth="1"/>
    <col min="95" max="95" width="25.109375" style="1" customWidth="1"/>
    <col min="96" max="96" width="12.44140625" style="1" customWidth="1"/>
    <col min="97" max="97" width="38.44140625" style="1" bestFit="1" customWidth="1"/>
    <col min="98" max="98" width="11" customWidth="1"/>
  </cols>
  <sheetData>
    <row r="1" spans="1:97" s="56" customFormat="1" x14ac:dyDescent="0.3">
      <c r="A1" s="113" t="s">
        <v>120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2"/>
      <c r="CB1" s="52"/>
      <c r="CC1" s="52"/>
      <c r="CD1" s="52"/>
      <c r="CE1" s="52"/>
      <c r="CF1" s="52"/>
      <c r="CG1" s="52"/>
      <c r="CH1" s="52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</row>
    <row r="2" spans="1:97" x14ac:dyDescent="0.3">
      <c r="A2" s="111" t="s">
        <v>85</v>
      </c>
      <c r="B2" s="112">
        <f>0.007184*(1.75)^0.725*(65)^0.425</f>
        <v>6.3541444796402669E-2</v>
      </c>
      <c r="C2" s="112" t="s">
        <v>74</v>
      </c>
      <c r="D2" s="114" t="s">
        <v>96</v>
      </c>
      <c r="E2" s="114"/>
      <c r="F2" s="114"/>
      <c r="G2" s="114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97" x14ac:dyDescent="0.3">
      <c r="A3" s="111" t="s">
        <v>55</v>
      </c>
      <c r="B3" s="112">
        <v>50</v>
      </c>
      <c r="C3" s="112" t="s">
        <v>56</v>
      </c>
      <c r="D3" s="113" t="s">
        <v>97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</row>
    <row r="4" spans="1:97" x14ac:dyDescent="0.3">
      <c r="A4" s="111" t="s">
        <v>53</v>
      </c>
      <c r="B4" s="112">
        <v>6</v>
      </c>
      <c r="C4" s="112" t="s">
        <v>57</v>
      </c>
      <c r="D4" s="113" t="s">
        <v>98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</row>
    <row r="5" spans="1:97" x14ac:dyDescent="0.3">
      <c r="A5" s="111" t="s">
        <v>54</v>
      </c>
      <c r="B5" s="115">
        <f>B4*0.3</f>
        <v>1.7999999999999998</v>
      </c>
      <c r="C5" s="112" t="s">
        <v>57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CR5" s="71"/>
    </row>
    <row r="6" spans="1:97" x14ac:dyDescent="0.3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60" t="s">
        <v>58</v>
      </c>
      <c r="BF6" s="60"/>
      <c r="BG6" s="60" t="s">
        <v>58</v>
      </c>
      <c r="BJ6" s="60" t="s">
        <v>58</v>
      </c>
      <c r="BK6" s="60"/>
      <c r="BN6" s="60" t="s">
        <v>58</v>
      </c>
      <c r="BP6" s="60" t="s">
        <v>58</v>
      </c>
      <c r="BR6" s="60"/>
      <c r="BV6" s="60" t="s">
        <v>58</v>
      </c>
      <c r="CA6" s="61" t="s">
        <v>58</v>
      </c>
      <c r="CB6" s="61"/>
      <c r="CC6" s="61"/>
      <c r="CD6" s="61"/>
      <c r="CE6" s="61"/>
      <c r="CF6" s="61"/>
      <c r="CG6" s="61"/>
      <c r="CH6" s="61"/>
      <c r="CL6" s="60" t="s">
        <v>58</v>
      </c>
      <c r="CR6" s="60" t="s">
        <v>58</v>
      </c>
      <c r="CS6" s="60" t="s">
        <v>58</v>
      </c>
    </row>
    <row r="7" spans="1:97" s="2" customFormat="1" ht="37.799999999999997" customHeight="1" x14ac:dyDescent="0.3">
      <c r="A7" s="24" t="s">
        <v>24</v>
      </c>
      <c r="B7" s="24" t="s">
        <v>25</v>
      </c>
      <c r="C7" s="24" t="s">
        <v>0</v>
      </c>
      <c r="D7" s="31" t="s">
        <v>1</v>
      </c>
      <c r="E7" s="29"/>
      <c r="F7" s="29" t="s">
        <v>2</v>
      </c>
      <c r="G7" s="86" t="s">
        <v>20</v>
      </c>
      <c r="H7" s="123" t="s">
        <v>19</v>
      </c>
      <c r="I7" s="123"/>
      <c r="J7" s="93" t="s">
        <v>23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110" t="s">
        <v>109</v>
      </c>
      <c r="AO7" s="110"/>
      <c r="AP7" s="110"/>
      <c r="AQ7" s="110"/>
      <c r="AR7" s="110"/>
      <c r="AS7" s="110"/>
      <c r="AT7" s="110"/>
      <c r="AU7" s="110"/>
      <c r="AV7" s="110"/>
      <c r="AW7" s="86" t="s">
        <v>45</v>
      </c>
      <c r="AX7" s="86" t="s">
        <v>46</v>
      </c>
      <c r="AY7" s="79" t="s">
        <v>44</v>
      </c>
      <c r="AZ7" s="132"/>
      <c r="BA7" s="126" t="s">
        <v>72</v>
      </c>
      <c r="BB7" s="126" t="s">
        <v>73</v>
      </c>
      <c r="BC7" s="134" t="s">
        <v>104</v>
      </c>
      <c r="BD7" s="135"/>
      <c r="BE7" s="18" t="s">
        <v>22</v>
      </c>
      <c r="BF7" s="19"/>
      <c r="BG7" s="63" t="s">
        <v>67</v>
      </c>
      <c r="BH7" s="15" t="s">
        <v>35</v>
      </c>
      <c r="BI7" s="36" t="s">
        <v>36</v>
      </c>
      <c r="BJ7" s="37"/>
      <c r="BK7" s="38"/>
      <c r="BL7" s="14" t="s">
        <v>26</v>
      </c>
      <c r="BM7" s="41" t="s">
        <v>27</v>
      </c>
      <c r="BN7" s="42"/>
      <c r="BO7" s="13" t="s">
        <v>33</v>
      </c>
      <c r="BP7" s="4" t="s">
        <v>34</v>
      </c>
      <c r="BQ7" s="5" t="s">
        <v>62</v>
      </c>
      <c r="BR7" s="5" t="s">
        <v>61</v>
      </c>
      <c r="BS7" s="16" t="s">
        <v>64</v>
      </c>
      <c r="BT7" s="17"/>
      <c r="BU7" s="18" t="s">
        <v>65</v>
      </c>
      <c r="BV7" s="19"/>
      <c r="BW7" s="121" t="s">
        <v>47</v>
      </c>
      <c r="BX7" s="122"/>
      <c r="BY7" s="36" t="s">
        <v>38</v>
      </c>
      <c r="BZ7" s="37"/>
      <c r="CA7" s="38"/>
      <c r="CB7" s="128" t="s">
        <v>84</v>
      </c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30"/>
      <c r="CS7" s="131" t="s">
        <v>81</v>
      </c>
    </row>
    <row r="8" spans="1:97" s="2" customFormat="1" ht="49.2" customHeight="1" thickBot="1" x14ac:dyDescent="0.35">
      <c r="A8" s="25"/>
      <c r="B8" s="25"/>
      <c r="C8" s="25"/>
      <c r="D8" s="32"/>
      <c r="E8" s="30"/>
      <c r="F8" s="30"/>
      <c r="G8" s="88"/>
      <c r="H8" s="89" t="s">
        <v>112</v>
      </c>
      <c r="I8" s="89" t="s">
        <v>111</v>
      </c>
      <c r="J8" s="91" t="s">
        <v>5</v>
      </c>
      <c r="K8" s="83" t="s">
        <v>3</v>
      </c>
      <c r="L8" s="84"/>
      <c r="M8" s="91" t="s">
        <v>6</v>
      </c>
      <c r="N8" s="83" t="s">
        <v>4</v>
      </c>
      <c r="O8" s="84"/>
      <c r="P8" s="91" t="s">
        <v>7</v>
      </c>
      <c r="Q8" s="83" t="s">
        <v>8</v>
      </c>
      <c r="R8" s="84"/>
      <c r="S8" s="91" t="s">
        <v>9</v>
      </c>
      <c r="T8" s="83" t="s">
        <v>10</v>
      </c>
      <c r="U8" s="84"/>
      <c r="V8" s="91" t="s">
        <v>11</v>
      </c>
      <c r="W8" s="83" t="s">
        <v>12</v>
      </c>
      <c r="X8" s="84"/>
      <c r="Y8" s="91" t="s">
        <v>13</v>
      </c>
      <c r="Z8" s="83" t="s">
        <v>14</v>
      </c>
      <c r="AA8" s="84"/>
      <c r="AB8" s="91" t="s">
        <v>15</v>
      </c>
      <c r="AC8" s="83" t="s">
        <v>16</v>
      </c>
      <c r="AD8" s="84"/>
      <c r="AE8" s="91" t="s">
        <v>99</v>
      </c>
      <c r="AF8" s="83" t="s">
        <v>100</v>
      </c>
      <c r="AG8" s="84"/>
      <c r="AH8" s="91" t="s">
        <v>113</v>
      </c>
      <c r="AI8" s="83" t="s">
        <v>114</v>
      </c>
      <c r="AJ8" s="84"/>
      <c r="AK8" s="91" t="s">
        <v>121</v>
      </c>
      <c r="AL8" s="83" t="s">
        <v>122</v>
      </c>
      <c r="AM8" s="84"/>
      <c r="AN8" s="91" t="s">
        <v>105</v>
      </c>
      <c r="AO8" s="83" t="s">
        <v>107</v>
      </c>
      <c r="AP8" s="84"/>
      <c r="AQ8" s="91" t="s">
        <v>106</v>
      </c>
      <c r="AR8" s="83" t="s">
        <v>108</v>
      </c>
      <c r="AS8" s="84"/>
      <c r="AT8" s="91" t="s">
        <v>17</v>
      </c>
      <c r="AU8" s="82" t="s">
        <v>18</v>
      </c>
      <c r="AV8" s="82"/>
      <c r="AW8" s="116"/>
      <c r="AX8" s="116"/>
      <c r="AY8" s="80"/>
      <c r="AZ8" s="133"/>
      <c r="BA8" s="127"/>
      <c r="BB8" s="127"/>
      <c r="BC8" s="136"/>
      <c r="BD8" s="137"/>
      <c r="BE8" s="124"/>
      <c r="BF8" s="125"/>
      <c r="BG8" s="64"/>
      <c r="BH8" s="47" t="s">
        <v>50</v>
      </c>
      <c r="BI8" s="44" t="s">
        <v>49</v>
      </c>
      <c r="BJ8" s="45" t="s">
        <v>40</v>
      </c>
      <c r="BK8" s="46"/>
      <c r="BL8" s="28" t="s">
        <v>28</v>
      </c>
      <c r="BM8" s="45" t="s">
        <v>37</v>
      </c>
      <c r="BN8" s="46"/>
      <c r="BO8" s="28" t="s">
        <v>60</v>
      </c>
      <c r="BP8" s="26" t="s">
        <v>32</v>
      </c>
      <c r="BQ8" s="28" t="s">
        <v>43</v>
      </c>
      <c r="BR8" s="68" t="s">
        <v>63</v>
      </c>
      <c r="BS8" s="28" t="s">
        <v>21</v>
      </c>
      <c r="BT8" s="28"/>
      <c r="BU8" s="35" t="s">
        <v>66</v>
      </c>
      <c r="BV8" s="35"/>
      <c r="BW8" s="68" t="s">
        <v>48</v>
      </c>
      <c r="BX8" s="68"/>
      <c r="BY8" s="35" t="s">
        <v>51</v>
      </c>
      <c r="BZ8" s="20" t="s">
        <v>39</v>
      </c>
      <c r="CA8" s="21"/>
      <c r="CB8" s="75" t="s">
        <v>117</v>
      </c>
      <c r="CC8" s="76"/>
      <c r="CD8" s="76"/>
      <c r="CE8" s="76"/>
      <c r="CF8" s="76"/>
      <c r="CG8" s="76"/>
      <c r="CH8" s="76"/>
      <c r="CI8" s="76"/>
      <c r="CJ8" s="76"/>
      <c r="CK8" s="76"/>
      <c r="CL8" s="77"/>
      <c r="CM8" s="75" t="s">
        <v>95</v>
      </c>
      <c r="CN8" s="76"/>
      <c r="CO8" s="76"/>
      <c r="CP8" s="77"/>
      <c r="CQ8" s="72" t="s">
        <v>86</v>
      </c>
      <c r="CR8" s="72" t="s">
        <v>82</v>
      </c>
      <c r="CS8" s="72" t="s">
        <v>83</v>
      </c>
    </row>
    <row r="9" spans="1:97" s="2" customFormat="1" ht="41.4" customHeight="1" thickTop="1" x14ac:dyDescent="0.3">
      <c r="A9" s="25"/>
      <c r="B9" s="25"/>
      <c r="C9" s="25"/>
      <c r="D9" s="32"/>
      <c r="E9" s="30"/>
      <c r="F9" s="30"/>
      <c r="G9" s="87"/>
      <c r="H9" s="90"/>
      <c r="I9" s="90"/>
      <c r="J9" s="92"/>
      <c r="K9" s="85" t="s">
        <v>101</v>
      </c>
      <c r="L9" s="85" t="s">
        <v>102</v>
      </c>
      <c r="M9" s="92"/>
      <c r="N9" s="85" t="s">
        <v>101</v>
      </c>
      <c r="O9" s="85" t="s">
        <v>102</v>
      </c>
      <c r="P9" s="92"/>
      <c r="Q9" s="85" t="s">
        <v>101</v>
      </c>
      <c r="R9" s="85" t="s">
        <v>102</v>
      </c>
      <c r="S9" s="92"/>
      <c r="T9" s="85" t="s">
        <v>101</v>
      </c>
      <c r="U9" s="85" t="s">
        <v>102</v>
      </c>
      <c r="V9" s="92"/>
      <c r="W9" s="85" t="s">
        <v>101</v>
      </c>
      <c r="X9" s="85" t="s">
        <v>102</v>
      </c>
      <c r="Y9" s="92"/>
      <c r="Z9" s="85" t="s">
        <v>101</v>
      </c>
      <c r="AA9" s="85" t="s">
        <v>102</v>
      </c>
      <c r="AB9" s="92"/>
      <c r="AC9" s="85" t="s">
        <v>101</v>
      </c>
      <c r="AD9" s="85" t="s">
        <v>102</v>
      </c>
      <c r="AE9" s="92"/>
      <c r="AF9" s="85" t="s">
        <v>101</v>
      </c>
      <c r="AG9" s="85" t="s">
        <v>102</v>
      </c>
      <c r="AH9" s="92"/>
      <c r="AI9" s="85" t="s">
        <v>101</v>
      </c>
      <c r="AJ9" s="85" t="s">
        <v>102</v>
      </c>
      <c r="AK9" s="92"/>
      <c r="AL9" s="85" t="s">
        <v>101</v>
      </c>
      <c r="AM9" s="85" t="s">
        <v>102</v>
      </c>
      <c r="AN9" s="92"/>
      <c r="AO9" s="85" t="s">
        <v>110</v>
      </c>
      <c r="AP9" s="85" t="s">
        <v>111</v>
      </c>
      <c r="AQ9" s="92"/>
      <c r="AR9" s="85" t="s">
        <v>110</v>
      </c>
      <c r="AS9" s="85" t="s">
        <v>111</v>
      </c>
      <c r="AT9" s="92"/>
      <c r="AU9" s="85" t="s">
        <v>110</v>
      </c>
      <c r="AV9" s="85" t="s">
        <v>111</v>
      </c>
      <c r="AW9" s="117" t="s">
        <v>29</v>
      </c>
      <c r="AX9" s="118" t="s">
        <v>30</v>
      </c>
      <c r="AY9" s="119" t="s">
        <v>118</v>
      </c>
      <c r="AZ9" s="119" t="s">
        <v>31</v>
      </c>
      <c r="BA9" s="117" t="s">
        <v>29</v>
      </c>
      <c r="BB9" s="118" t="s">
        <v>30</v>
      </c>
      <c r="BC9" s="119" t="s">
        <v>118</v>
      </c>
      <c r="BD9" s="119" t="s">
        <v>31</v>
      </c>
      <c r="BE9" s="27" t="s">
        <v>68</v>
      </c>
      <c r="BF9" s="27"/>
      <c r="BG9" s="101" t="s">
        <v>69</v>
      </c>
      <c r="BH9" s="98" t="s">
        <v>70</v>
      </c>
      <c r="BI9" s="99" t="s">
        <v>59</v>
      </c>
      <c r="BJ9" s="27" t="s">
        <v>71</v>
      </c>
      <c r="BK9" s="27" t="s">
        <v>119</v>
      </c>
      <c r="BL9" s="28"/>
      <c r="BM9" s="102" t="s">
        <v>52</v>
      </c>
      <c r="BN9" s="103"/>
      <c r="BO9" s="28"/>
      <c r="BP9" s="69"/>
      <c r="BQ9" s="28"/>
      <c r="BR9" s="68"/>
      <c r="BS9" s="28" t="s">
        <v>41</v>
      </c>
      <c r="BT9" s="28" t="s">
        <v>42</v>
      </c>
      <c r="BU9" s="35" t="s">
        <v>41</v>
      </c>
      <c r="BV9" s="35" t="s">
        <v>42</v>
      </c>
      <c r="BW9" s="68" t="s">
        <v>41</v>
      </c>
      <c r="BX9" s="68" t="s">
        <v>42</v>
      </c>
      <c r="BY9" s="35"/>
      <c r="BZ9" s="48"/>
      <c r="CA9" s="70"/>
      <c r="CB9" s="68" t="s">
        <v>75</v>
      </c>
      <c r="CC9" s="68" t="s">
        <v>76</v>
      </c>
      <c r="CD9" s="68" t="s">
        <v>77</v>
      </c>
      <c r="CE9" s="68" t="s">
        <v>78</v>
      </c>
      <c r="CF9" s="68" t="s">
        <v>103</v>
      </c>
      <c r="CG9" s="68" t="s">
        <v>79</v>
      </c>
      <c r="CH9" s="68" t="s">
        <v>80</v>
      </c>
      <c r="CI9" s="74" t="s">
        <v>115</v>
      </c>
      <c r="CJ9" s="74" t="s">
        <v>116</v>
      </c>
      <c r="CK9" s="105" t="s">
        <v>123</v>
      </c>
      <c r="CL9" s="105" t="s">
        <v>93</v>
      </c>
      <c r="CM9" s="74" t="s">
        <v>94</v>
      </c>
      <c r="CN9" s="74" t="s">
        <v>87</v>
      </c>
      <c r="CO9" s="74" t="s">
        <v>88</v>
      </c>
      <c r="CP9" s="74" t="s">
        <v>89</v>
      </c>
      <c r="CQ9" s="105" t="s">
        <v>90</v>
      </c>
      <c r="CR9" s="105" t="s">
        <v>91</v>
      </c>
      <c r="CS9" s="105" t="s">
        <v>92</v>
      </c>
    </row>
    <row r="10" spans="1:97" s="2" customFormat="1" ht="58.2" customHeight="1" x14ac:dyDescent="0.3">
      <c r="A10" s="25"/>
      <c r="B10" s="25"/>
      <c r="C10" s="25"/>
      <c r="D10" s="33"/>
      <c r="E10" s="34"/>
      <c r="F10" s="30"/>
      <c r="G10" s="108"/>
      <c r="H10" s="73">
        <f>I10*0.293</f>
        <v>73.25</v>
      </c>
      <c r="I10" s="73">
        <v>250</v>
      </c>
      <c r="J10" s="108"/>
      <c r="K10" s="73">
        <v>70</v>
      </c>
      <c r="L10" s="73">
        <v>22</v>
      </c>
      <c r="M10" s="108"/>
      <c r="N10" s="73">
        <v>60</v>
      </c>
      <c r="O10" s="73">
        <v>18</v>
      </c>
      <c r="P10" s="108"/>
      <c r="Q10" s="73">
        <v>100</v>
      </c>
      <c r="R10" s="73">
        <v>31</v>
      </c>
      <c r="S10" s="108"/>
      <c r="T10" s="73">
        <v>60</v>
      </c>
      <c r="U10" s="73">
        <v>18</v>
      </c>
      <c r="V10" s="108"/>
      <c r="W10" s="73">
        <v>55</v>
      </c>
      <c r="X10" s="73">
        <v>18</v>
      </c>
      <c r="Y10" s="108"/>
      <c r="Z10" s="73">
        <v>70</v>
      </c>
      <c r="AA10" s="73">
        <v>22</v>
      </c>
      <c r="AB10" s="108"/>
      <c r="AC10" s="73">
        <v>60</v>
      </c>
      <c r="AD10" s="73">
        <v>18</v>
      </c>
      <c r="AE10" s="108"/>
      <c r="AF10" s="73">
        <v>40</v>
      </c>
      <c r="AG10" s="73">
        <v>13</v>
      </c>
      <c r="AH10" s="108"/>
      <c r="AI10" s="73">
        <v>65</v>
      </c>
      <c r="AJ10" s="73">
        <v>20</v>
      </c>
      <c r="AK10" s="108"/>
      <c r="AL10" s="73">
        <f>AM10*0.293071</f>
        <v>67.406330000000011</v>
      </c>
      <c r="AM10" s="73">
        <v>230</v>
      </c>
      <c r="AN10" s="108"/>
      <c r="AO10" s="73">
        <v>0.5</v>
      </c>
      <c r="AP10" s="73">
        <f>AO10*3.412</f>
        <v>1.706</v>
      </c>
      <c r="AQ10" s="108"/>
      <c r="AR10" s="73">
        <v>4</v>
      </c>
      <c r="AS10" s="73">
        <f>AR10*3.412</f>
        <v>13.648</v>
      </c>
      <c r="AT10" s="108"/>
      <c r="AU10" s="73">
        <v>50</v>
      </c>
      <c r="AV10" s="96">
        <f>AU10*3.412</f>
        <v>170.6</v>
      </c>
      <c r="AW10" s="120"/>
      <c r="AX10" s="87"/>
      <c r="AY10" s="104"/>
      <c r="AZ10" s="104"/>
      <c r="BA10" s="120"/>
      <c r="BB10" s="87"/>
      <c r="BC10" s="104"/>
      <c r="BD10" s="104"/>
      <c r="BE10" s="12" t="s">
        <v>112</v>
      </c>
      <c r="BF10" s="12" t="s">
        <v>111</v>
      </c>
      <c r="BG10" s="100"/>
      <c r="BH10" s="97"/>
      <c r="BI10" s="27"/>
      <c r="BJ10" s="35"/>
      <c r="BK10" s="35"/>
      <c r="BL10" s="28"/>
      <c r="BM10" s="22"/>
      <c r="BN10" s="23"/>
      <c r="BO10" s="28"/>
      <c r="BP10" s="27"/>
      <c r="BQ10" s="28"/>
      <c r="BR10" s="68"/>
      <c r="BS10" s="28"/>
      <c r="BT10" s="28"/>
      <c r="BU10" s="35"/>
      <c r="BV10" s="35"/>
      <c r="BW10" s="68"/>
      <c r="BX10" s="68"/>
      <c r="BY10" s="35"/>
      <c r="BZ10" s="22"/>
      <c r="CA10" s="23"/>
      <c r="CB10" s="68"/>
      <c r="CC10" s="68"/>
      <c r="CD10" s="68"/>
      <c r="CE10" s="68"/>
      <c r="CF10" s="68"/>
      <c r="CG10" s="68"/>
      <c r="CH10" s="68"/>
      <c r="CI10" s="74"/>
      <c r="CJ10" s="74"/>
      <c r="CK10" s="106"/>
      <c r="CL10" s="106"/>
      <c r="CM10" s="74"/>
      <c r="CN10" s="74"/>
      <c r="CO10" s="74"/>
      <c r="CP10" s="74"/>
      <c r="CQ10" s="106"/>
      <c r="CR10" s="106"/>
      <c r="CS10" s="106"/>
    </row>
    <row r="11" spans="1:97" s="9" customFormat="1" ht="15" customHeight="1" thickBot="1" x14ac:dyDescent="0.35">
      <c r="A11" s="8">
        <v>1</v>
      </c>
      <c r="B11" s="8">
        <v>2</v>
      </c>
      <c r="C11" s="11">
        <v>3</v>
      </c>
      <c r="D11" s="11">
        <v>4</v>
      </c>
      <c r="E11" s="11">
        <v>5</v>
      </c>
      <c r="F11" s="11">
        <v>6</v>
      </c>
      <c r="G11" s="109">
        <v>7</v>
      </c>
      <c r="H11" s="11">
        <v>8</v>
      </c>
      <c r="I11" s="11">
        <v>9</v>
      </c>
      <c r="J11" s="109">
        <v>10</v>
      </c>
      <c r="K11" s="11">
        <v>11</v>
      </c>
      <c r="L11" s="11">
        <v>12</v>
      </c>
      <c r="M11" s="109">
        <v>13</v>
      </c>
      <c r="N11" s="11">
        <v>14</v>
      </c>
      <c r="O11" s="11">
        <v>15</v>
      </c>
      <c r="P11" s="109">
        <v>16</v>
      </c>
      <c r="Q11" s="11">
        <v>17</v>
      </c>
      <c r="R11" s="11">
        <v>18</v>
      </c>
      <c r="S11" s="109">
        <v>19</v>
      </c>
      <c r="T11" s="11">
        <v>20</v>
      </c>
      <c r="U11" s="11">
        <v>21</v>
      </c>
      <c r="V11" s="109">
        <v>22</v>
      </c>
      <c r="W11" s="11">
        <v>23</v>
      </c>
      <c r="X11" s="11">
        <v>24</v>
      </c>
      <c r="Y11" s="109">
        <v>25</v>
      </c>
      <c r="Z11" s="11">
        <v>26</v>
      </c>
      <c r="AA11" s="11">
        <v>27</v>
      </c>
      <c r="AB11" s="109">
        <v>28</v>
      </c>
      <c r="AC11" s="11">
        <v>29</v>
      </c>
      <c r="AD11" s="11">
        <v>30</v>
      </c>
      <c r="AE11" s="109">
        <v>31</v>
      </c>
      <c r="AF11" s="11">
        <v>32</v>
      </c>
      <c r="AG11" s="11">
        <v>33</v>
      </c>
      <c r="AH11" s="109">
        <v>34</v>
      </c>
      <c r="AI11" s="11">
        <v>35</v>
      </c>
      <c r="AJ11" s="11">
        <v>36</v>
      </c>
      <c r="AK11" s="109">
        <v>37</v>
      </c>
      <c r="AL11" s="11">
        <v>38</v>
      </c>
      <c r="AM11" s="11">
        <v>39</v>
      </c>
      <c r="AN11" s="11">
        <v>40</v>
      </c>
      <c r="AO11" s="11">
        <v>41</v>
      </c>
      <c r="AP11" s="11">
        <v>42</v>
      </c>
      <c r="AQ11" s="11">
        <v>43</v>
      </c>
      <c r="AR11" s="11">
        <v>44</v>
      </c>
      <c r="AS11" s="11">
        <v>45</v>
      </c>
      <c r="AT11" s="11">
        <v>46</v>
      </c>
      <c r="AU11" s="11">
        <v>47</v>
      </c>
      <c r="AV11" s="11">
        <v>48</v>
      </c>
      <c r="AW11" s="11">
        <v>49</v>
      </c>
      <c r="AX11" s="11">
        <v>50</v>
      </c>
      <c r="AY11" s="11">
        <v>51</v>
      </c>
      <c r="AZ11" s="11">
        <v>52</v>
      </c>
      <c r="BA11" s="11">
        <v>53</v>
      </c>
      <c r="BB11" s="11">
        <v>54</v>
      </c>
      <c r="BC11" s="11">
        <v>55</v>
      </c>
      <c r="BD11" s="11">
        <v>56</v>
      </c>
      <c r="BE11" s="11">
        <v>57</v>
      </c>
      <c r="BF11" s="11">
        <v>58</v>
      </c>
      <c r="BG11" s="11">
        <v>59</v>
      </c>
      <c r="BH11" s="11">
        <v>60</v>
      </c>
      <c r="BI11" s="11">
        <v>61</v>
      </c>
      <c r="BJ11" s="11">
        <v>62</v>
      </c>
      <c r="BK11" s="11">
        <v>63</v>
      </c>
      <c r="BL11" s="11">
        <v>64</v>
      </c>
      <c r="BM11" s="11">
        <v>65</v>
      </c>
      <c r="BN11" s="11">
        <v>66</v>
      </c>
      <c r="BO11" s="11">
        <v>67</v>
      </c>
      <c r="BP11" s="11">
        <v>68</v>
      </c>
      <c r="BQ11" s="11">
        <v>69</v>
      </c>
      <c r="BR11" s="11">
        <v>70</v>
      </c>
      <c r="BS11" s="11">
        <v>71</v>
      </c>
      <c r="BT11" s="11">
        <v>72</v>
      </c>
      <c r="BU11" s="11">
        <v>73</v>
      </c>
      <c r="BV11" s="11">
        <v>74</v>
      </c>
      <c r="BW11" s="11">
        <v>75</v>
      </c>
      <c r="BX11" s="11">
        <v>76</v>
      </c>
      <c r="BY11" s="11">
        <v>77</v>
      </c>
      <c r="BZ11" s="11">
        <v>78</v>
      </c>
      <c r="CA11" s="11">
        <v>79</v>
      </c>
      <c r="CB11" s="11">
        <v>80</v>
      </c>
      <c r="CC11" s="11">
        <v>81</v>
      </c>
      <c r="CD11" s="11">
        <v>82</v>
      </c>
      <c r="CE11" s="11">
        <v>83</v>
      </c>
      <c r="CF11" s="11">
        <v>84</v>
      </c>
      <c r="CG11" s="11">
        <v>85</v>
      </c>
      <c r="CH11" s="11">
        <v>86</v>
      </c>
      <c r="CI11" s="11">
        <v>87</v>
      </c>
      <c r="CJ11" s="11">
        <v>88</v>
      </c>
      <c r="CK11" s="11">
        <v>89</v>
      </c>
      <c r="CL11" s="11">
        <v>90</v>
      </c>
      <c r="CM11" s="11">
        <v>91</v>
      </c>
      <c r="CN11" s="11">
        <v>92</v>
      </c>
      <c r="CO11" s="11">
        <v>93</v>
      </c>
      <c r="CP11" s="11">
        <v>94</v>
      </c>
      <c r="CQ11" s="11">
        <v>95</v>
      </c>
      <c r="CR11" s="11">
        <v>96</v>
      </c>
      <c r="CS11" s="11">
        <v>97</v>
      </c>
    </row>
    <row r="12" spans="1:97" ht="15" thickTop="1" x14ac:dyDescent="0.3">
      <c r="A12" s="1">
        <v>1</v>
      </c>
      <c r="B12" s="1">
        <v>1</v>
      </c>
      <c r="C12" s="1">
        <v>1</v>
      </c>
      <c r="D12" s="1">
        <v>0</v>
      </c>
      <c r="E12" s="10">
        <v>0.33333333333333331</v>
      </c>
      <c r="F12" s="1">
        <v>1</v>
      </c>
      <c r="G12" s="107">
        <v>0</v>
      </c>
      <c r="H12" s="1">
        <f>G12*73.25</f>
        <v>0</v>
      </c>
      <c r="I12" s="1">
        <f>G12*250</f>
        <v>0</v>
      </c>
      <c r="J12" s="107">
        <v>0</v>
      </c>
      <c r="K12" s="1">
        <f>J12*70</f>
        <v>0</v>
      </c>
      <c r="L12" s="1">
        <f>J12*22</f>
        <v>0</v>
      </c>
      <c r="M12" s="107">
        <v>0</v>
      </c>
      <c r="N12" s="1">
        <f>M12*60</f>
        <v>0</v>
      </c>
      <c r="O12" s="1">
        <f>M12*18</f>
        <v>0</v>
      </c>
      <c r="P12" s="107">
        <v>0</v>
      </c>
      <c r="Q12" s="1">
        <f>P12*100</f>
        <v>0</v>
      </c>
      <c r="R12" s="1">
        <f>P12*31</f>
        <v>0</v>
      </c>
      <c r="S12" s="107">
        <v>0</v>
      </c>
      <c r="T12" s="1">
        <f>S12*60</f>
        <v>0</v>
      </c>
      <c r="U12" s="1">
        <f>S12*18</f>
        <v>0</v>
      </c>
      <c r="V12" s="107">
        <v>0</v>
      </c>
      <c r="W12" s="1">
        <f>V12*55</f>
        <v>0</v>
      </c>
      <c r="X12" s="1">
        <f>V12*18</f>
        <v>0</v>
      </c>
      <c r="Y12" s="107">
        <v>0</v>
      </c>
      <c r="Z12" s="1">
        <f>Y12*70</f>
        <v>0</v>
      </c>
      <c r="AA12" s="1">
        <f>Y12*22</f>
        <v>0</v>
      </c>
      <c r="AB12" s="107">
        <v>0</v>
      </c>
      <c r="AC12" s="1">
        <f>AB12*60</f>
        <v>0</v>
      </c>
      <c r="AD12" s="1">
        <f>AB12*18</f>
        <v>0</v>
      </c>
      <c r="AE12" s="107">
        <v>0</v>
      </c>
      <c r="AF12" s="1">
        <f>AE12*40</f>
        <v>0</v>
      </c>
      <c r="AG12" s="1">
        <f>AE12*13</f>
        <v>0</v>
      </c>
      <c r="AH12" s="107">
        <v>0</v>
      </c>
      <c r="AI12" s="1">
        <f>AH12*65</f>
        <v>0</v>
      </c>
      <c r="AJ12" s="1">
        <f>AH12*20</f>
        <v>0</v>
      </c>
      <c r="AK12" s="107">
        <v>0</v>
      </c>
      <c r="AL12" s="1">
        <f>AK12*67.40633</f>
        <v>0</v>
      </c>
      <c r="AM12" s="1">
        <f>AK12*23</f>
        <v>0</v>
      </c>
      <c r="AN12" s="107">
        <v>0</v>
      </c>
      <c r="AO12" s="1">
        <f>AN12*0.5</f>
        <v>0</v>
      </c>
      <c r="AP12" s="1">
        <f>AN12*1.706</f>
        <v>0</v>
      </c>
      <c r="AQ12" s="107">
        <v>0</v>
      </c>
      <c r="AR12" s="1">
        <f>AQ12*4</f>
        <v>0</v>
      </c>
      <c r="AS12" s="1">
        <f>AQ12*13.648</f>
        <v>0</v>
      </c>
      <c r="AT12" s="107">
        <v>0</v>
      </c>
      <c r="AU12" s="1">
        <f>AT12*50</f>
        <v>0</v>
      </c>
      <c r="AV12" s="1">
        <f>AT12*170.6</f>
        <v>0</v>
      </c>
      <c r="AW12" s="107">
        <v>28</v>
      </c>
      <c r="AX12" s="107">
        <v>40</v>
      </c>
      <c r="AY12" s="107">
        <v>1011</v>
      </c>
      <c r="AZ12" s="107">
        <f>AY12/100</f>
        <v>10.11</v>
      </c>
      <c r="BA12" s="107">
        <v>29</v>
      </c>
      <c r="BB12" s="107">
        <v>41</v>
      </c>
      <c r="BC12" s="107">
        <v>1010</v>
      </c>
      <c r="BD12" s="107">
        <f>BC12/100</f>
        <v>10.1</v>
      </c>
      <c r="BE12" s="43">
        <f>H12+K12+N12+Q12+T12+W12+Z12+AC12+AF12+AI12+AL12+AO12+AR12+AU12</f>
        <v>0</v>
      </c>
      <c r="BF12" s="43">
        <f>I12+L12+O12+R12+U12+X12+AA12+AD12+AG12+AJ12+AM12+AP12+AS12+AV12</f>
        <v>0</v>
      </c>
      <c r="BG12" s="67">
        <f>BE12/(4840*ABS((BB12-AX12)))</f>
        <v>0</v>
      </c>
      <c r="BH12" s="49">
        <f>(25+8.3+(2*20))</f>
        <v>73.3</v>
      </c>
      <c r="BI12" s="1">
        <f>IF((G12*20)&gt;($B$4*20),$B$4*20,G12*20)</f>
        <v>0</v>
      </c>
      <c r="BJ12" s="65">
        <f t="shared" ref="BJ12:BJ16" si="0">BH12+BI12+BG12</f>
        <v>73.3</v>
      </c>
      <c r="BK12" s="65">
        <f>BJ12*1.69901</f>
        <v>124.53743299999999</v>
      </c>
      <c r="BL12" s="1">
        <v>750</v>
      </c>
      <c r="BM12" s="1">
        <f>(BJ12/BH12)*BL12</f>
        <v>750</v>
      </c>
      <c r="BN12" s="65">
        <f>IF(BM12&lt;(BL12*2),BM12,(BL12*2))</f>
        <v>750</v>
      </c>
      <c r="BO12" s="1">
        <f>AZ12</f>
        <v>10.11</v>
      </c>
      <c r="BP12" s="65">
        <f>((BN12/BL12)^2)*BO12</f>
        <v>10.11</v>
      </c>
      <c r="BQ12" s="3">
        <v>5</v>
      </c>
      <c r="BR12" s="7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40">
        <f>BU12/1000</f>
        <v>3.7284999999999999</v>
      </c>
      <c r="BW12" s="6">
        <f>(((BN12/((BJ12/(BH12*2))*BL12))^3)*BR12)*745.7</f>
        <v>29828</v>
      </c>
      <c r="BX12" s="57">
        <f>BW12/1000</f>
        <v>29.827999999999999</v>
      </c>
      <c r="BY12" s="57">
        <v>70</v>
      </c>
      <c r="BZ12" s="3">
        <f>100-((BH12/BJ12)*100)</f>
        <v>0</v>
      </c>
      <c r="CA12" s="39">
        <f>IF(BZ12&lt;30,30,IF(BZ12&gt;60,70,BZ12))</f>
        <v>30</v>
      </c>
      <c r="CB12" s="78">
        <f>J12*70</f>
        <v>0</v>
      </c>
      <c r="CC12" s="78">
        <f>M12*60</f>
        <v>0</v>
      </c>
      <c r="CD12" s="78">
        <f>P12*100</f>
        <v>0</v>
      </c>
      <c r="CE12" s="78">
        <f>S12*60</f>
        <v>0</v>
      </c>
      <c r="CF12" s="78">
        <f>V12*55</f>
        <v>0</v>
      </c>
      <c r="CG12" s="78">
        <f>Y12*70</f>
        <v>0</v>
      </c>
      <c r="CH12" s="78">
        <f>AB12*60</f>
        <v>0</v>
      </c>
      <c r="CI12" s="78">
        <f>AE12*40</f>
        <v>0</v>
      </c>
      <c r="CJ12" s="78">
        <f>AH12*65</f>
        <v>0</v>
      </c>
      <c r="CK12" s="78">
        <f>AK12*67.40633</f>
        <v>0</v>
      </c>
      <c r="CL12" s="39">
        <f>SUM(CB12:CK12)</f>
        <v>0</v>
      </c>
      <c r="CM12" s="81">
        <f>CL12*$B$2</f>
        <v>0</v>
      </c>
      <c r="CN12" s="81">
        <f>CM12*0.86</f>
        <v>0</v>
      </c>
      <c r="CO12" s="81">
        <f>CN12/60</f>
        <v>0</v>
      </c>
      <c r="CP12" s="81">
        <f>CN12*24</f>
        <v>0</v>
      </c>
      <c r="CQ12" s="62">
        <f>CL12*$B$2*0.000239006*86400</f>
        <v>0</v>
      </c>
      <c r="CR12" s="59">
        <f>CQ12/1440</f>
        <v>0</v>
      </c>
      <c r="CS12" s="59">
        <f>CR12*0.239</f>
        <v>0</v>
      </c>
    </row>
    <row r="13" spans="1:97" x14ac:dyDescent="0.3">
      <c r="A13" s="1">
        <v>1</v>
      </c>
      <c r="B13" s="1">
        <v>1</v>
      </c>
      <c r="C13" s="1">
        <v>1</v>
      </c>
      <c r="D13" s="1">
        <v>2</v>
      </c>
      <c r="E13" s="10">
        <v>0.33680555555555558</v>
      </c>
      <c r="F13" s="1">
        <v>1</v>
      </c>
      <c r="G13" s="107">
        <v>0</v>
      </c>
      <c r="H13" s="1">
        <f t="shared" ref="H13:H17" si="1">G13*73.25</f>
        <v>0</v>
      </c>
      <c r="I13" s="1">
        <f t="shared" ref="I13:I17" si="2">G13*250</f>
        <v>0</v>
      </c>
      <c r="J13" s="107">
        <v>0</v>
      </c>
      <c r="K13" s="1">
        <f t="shared" ref="K13:K16" si="3">J13*70</f>
        <v>0</v>
      </c>
      <c r="L13" s="1">
        <f t="shared" ref="L13:L16" si="4">J13*22</f>
        <v>0</v>
      </c>
      <c r="M13" s="107">
        <v>0</v>
      </c>
      <c r="N13" s="1">
        <f t="shared" ref="N13:N17" si="5">M13*60</f>
        <v>0</v>
      </c>
      <c r="O13" s="1">
        <f t="shared" ref="O13:O17" si="6">M13*18</f>
        <v>0</v>
      </c>
      <c r="P13" s="107">
        <v>0</v>
      </c>
      <c r="Q13" s="1">
        <f t="shared" ref="Q13:Q16" si="7">P13*100</f>
        <v>0</v>
      </c>
      <c r="R13" s="1">
        <f t="shared" ref="R13:R16" si="8">P13*31</f>
        <v>0</v>
      </c>
      <c r="S13" s="107">
        <v>0</v>
      </c>
      <c r="T13" s="1">
        <f t="shared" ref="T13:T16" si="9">S13*60</f>
        <v>0</v>
      </c>
      <c r="U13" s="1">
        <f t="shared" ref="U13:U16" si="10">S13*18</f>
        <v>0</v>
      </c>
      <c r="V13" s="107">
        <v>0</v>
      </c>
      <c r="W13" s="1">
        <f t="shared" ref="W13:W17" si="11">V13*55</f>
        <v>0</v>
      </c>
      <c r="X13" s="1">
        <f t="shared" ref="X13:X17" si="12">V13*18</f>
        <v>0</v>
      </c>
      <c r="Y13" s="107">
        <v>0</v>
      </c>
      <c r="Z13" s="1">
        <f t="shared" ref="Z13:Z16" si="13">Y13*70</f>
        <v>0</v>
      </c>
      <c r="AA13" s="1">
        <f t="shared" ref="AA13:AA16" si="14">Y13*22</f>
        <v>0</v>
      </c>
      <c r="AB13" s="107">
        <v>0</v>
      </c>
      <c r="AC13" s="1">
        <f t="shared" ref="AC13:AC16" si="15">AB13*60</f>
        <v>0</v>
      </c>
      <c r="AD13" s="1">
        <f t="shared" ref="AD13:AD16" si="16">AB13*18</f>
        <v>0</v>
      </c>
      <c r="AE13" s="107">
        <v>0</v>
      </c>
      <c r="AF13" s="1">
        <f t="shared" ref="AF13:AF16" si="17">AE13*40</f>
        <v>0</v>
      </c>
      <c r="AG13" s="1">
        <f t="shared" ref="AG13:AG16" si="18">AE13*13</f>
        <v>0</v>
      </c>
      <c r="AH13" s="107">
        <v>0</v>
      </c>
      <c r="AI13" s="1">
        <f t="shared" ref="AI13:AI16" si="19">AH13*65</f>
        <v>0</v>
      </c>
      <c r="AJ13" s="1">
        <f t="shared" ref="AJ13:AJ16" si="20">AH13*20</f>
        <v>0</v>
      </c>
      <c r="AK13" s="107">
        <v>0</v>
      </c>
      <c r="AL13" s="1">
        <f t="shared" ref="AL13:AL16" si="21">AK13*67.40633</f>
        <v>0</v>
      </c>
      <c r="AM13" s="1">
        <f t="shared" ref="AM13:AM16" si="22">AK13*23</f>
        <v>0</v>
      </c>
      <c r="AN13" s="107">
        <v>0</v>
      </c>
      <c r="AO13" s="1">
        <f t="shared" ref="AO13:AO16" si="23">AN13*0.5</f>
        <v>0</v>
      </c>
      <c r="AP13" s="1">
        <f t="shared" ref="AP13:AP16" si="24">AN13*1.706</f>
        <v>0</v>
      </c>
      <c r="AQ13" s="107">
        <v>0</v>
      </c>
      <c r="AR13" s="1">
        <f t="shared" ref="AR13:AR17" si="25">AQ13*4</f>
        <v>0</v>
      </c>
      <c r="AS13" s="1">
        <f t="shared" ref="AS13:AS17" si="26">AQ13*13.648</f>
        <v>0</v>
      </c>
      <c r="AT13" s="107">
        <v>0</v>
      </c>
      <c r="AU13" s="1">
        <f t="shared" ref="AU13:AU16" si="27">AT13*50</f>
        <v>0</v>
      </c>
      <c r="AV13" s="1">
        <f t="shared" ref="AV13:AV16" si="28">AT13*170.6</f>
        <v>0</v>
      </c>
      <c r="AW13" s="107">
        <v>28</v>
      </c>
      <c r="AX13" s="107">
        <v>40</v>
      </c>
      <c r="AY13" s="107">
        <v>1011</v>
      </c>
      <c r="AZ13" s="107">
        <f t="shared" ref="AZ13:AZ16" si="29">AY13/100</f>
        <v>10.11</v>
      </c>
      <c r="BA13" s="107">
        <v>29</v>
      </c>
      <c r="BB13" s="107">
        <v>41</v>
      </c>
      <c r="BC13" s="107">
        <v>1010</v>
      </c>
      <c r="BD13" s="107">
        <f t="shared" ref="BD13:BD16" si="30">BC13/100</f>
        <v>10.1</v>
      </c>
      <c r="BE13" s="43">
        <f t="shared" ref="BE13:BE16" si="31">H13+K13+N13+Q13+T13+W13+Z13+AC13+AF13+AI13+AL13+AO13+AR13+AU13</f>
        <v>0</v>
      </c>
      <c r="BF13" s="43">
        <f t="shared" ref="BF13:BF16" si="32">I13+L13+O13+R13+U13+X13+AA13+AD13+AG13+AJ13+AM13+AP13+AS13+AV13</f>
        <v>0</v>
      </c>
      <c r="BG13" s="67">
        <f>BE13/(4840*ABS((BB13-AX13)))</f>
        <v>0</v>
      </c>
      <c r="BH13" s="49">
        <f t="shared" ref="BH13:BH16" si="33">(25+8.3+(2*20))</f>
        <v>73.3</v>
      </c>
      <c r="BI13" s="1">
        <f>IF((G13*20)&gt;($B$4*20),$B$4*20,G13*20)</f>
        <v>0</v>
      </c>
      <c r="BJ13" s="65">
        <f t="shared" si="0"/>
        <v>73.3</v>
      </c>
      <c r="BK13" s="65">
        <f t="shared" ref="BK13:BK16" si="34">BJ13*1.69901</f>
        <v>124.53743299999999</v>
      </c>
      <c r="BL13" s="1">
        <v>750</v>
      </c>
      <c r="BM13" s="1">
        <f t="shared" ref="BM13:BM15" si="35">(BJ13/BH13)*BL13</f>
        <v>750</v>
      </c>
      <c r="BN13" s="65">
        <f t="shared" ref="BN13:BN16" si="36">IF(BM13&lt;(BL13*2),BM13,(BL13*2))</f>
        <v>750</v>
      </c>
      <c r="BO13" s="1">
        <f t="shared" ref="BO13:BO16" si="37">AZ13</f>
        <v>10.11</v>
      </c>
      <c r="BP13" s="65">
        <f>((BN13/BL13)^2)*BO13</f>
        <v>10.11</v>
      </c>
      <c r="BQ13" s="3">
        <v>5</v>
      </c>
      <c r="BR13" s="7">
        <f>((BN13/BL13)^3)*BQ13</f>
        <v>5</v>
      </c>
      <c r="BS13" s="6">
        <f>BQ13*745.7</f>
        <v>3728.5</v>
      </c>
      <c r="BT13" s="6">
        <f t="shared" ref="BT13:BT15" si="38">BS13/1000</f>
        <v>3.7284999999999999</v>
      </c>
      <c r="BU13" s="6">
        <f>BR13*745.7</f>
        <v>3728.5</v>
      </c>
      <c r="BV13" s="40">
        <f t="shared" ref="BV13:BV15" si="39">BU13/1000</f>
        <v>3.7284999999999999</v>
      </c>
      <c r="BW13" s="6">
        <f>BW12</f>
        <v>29828</v>
      </c>
      <c r="BX13" s="57">
        <f t="shared" ref="BX13:BX15" si="40">BW13/1000</f>
        <v>29.827999999999999</v>
      </c>
      <c r="BY13" s="57">
        <v>70</v>
      </c>
      <c r="BZ13" s="3">
        <f>100-((BH13/BJ13)*100)</f>
        <v>0</v>
      </c>
      <c r="CA13" s="39">
        <f t="shared" ref="CA13:CA16" si="41">IF(BZ13&lt;30,30,IF(BZ13&gt;60,70,BZ13))</f>
        <v>30</v>
      </c>
      <c r="CB13" s="78">
        <f>J13*70</f>
        <v>0</v>
      </c>
      <c r="CC13" s="78">
        <f>M13*60</f>
        <v>0</v>
      </c>
      <c r="CD13" s="78">
        <f>P13*100</f>
        <v>0</v>
      </c>
      <c r="CE13" s="78">
        <f>S13*60</f>
        <v>0</v>
      </c>
      <c r="CF13" s="78">
        <f>V13*55</f>
        <v>0</v>
      </c>
      <c r="CG13" s="78">
        <f>Y13*70</f>
        <v>0</v>
      </c>
      <c r="CH13" s="78">
        <f>AB13*60</f>
        <v>0</v>
      </c>
      <c r="CI13" s="78">
        <f>AE13*40</f>
        <v>0</v>
      </c>
      <c r="CJ13" s="78">
        <f>AH13*65</f>
        <v>0</v>
      </c>
      <c r="CK13" s="78">
        <f t="shared" ref="CK13:CK16" si="42">AK13*67.40633</f>
        <v>0</v>
      </c>
      <c r="CL13" s="39">
        <f t="shared" ref="CL13:CL16" si="43">SUM(CB13:CK13)</f>
        <v>0</v>
      </c>
      <c r="CM13" s="81">
        <f>CL13*$B$2</f>
        <v>0</v>
      </c>
      <c r="CN13" s="81">
        <f t="shared" ref="CN13:CN16" si="44">CM13*0.86</f>
        <v>0</v>
      </c>
      <c r="CO13" s="81">
        <f t="shared" ref="CO13:CO16" si="45">CN13/60</f>
        <v>0</v>
      </c>
      <c r="CP13" s="81">
        <f t="shared" ref="CP13:CP16" si="46">CN13*24</f>
        <v>0</v>
      </c>
      <c r="CQ13" s="62">
        <f>CL13*$B$2*0.000239006*86400</f>
        <v>0</v>
      </c>
      <c r="CR13" s="59">
        <f t="shared" ref="CR13:CR16" si="47">CQ13/1440</f>
        <v>0</v>
      </c>
      <c r="CS13" s="59">
        <f t="shared" ref="CS13:CS16" si="48">CR13*0.239</f>
        <v>0</v>
      </c>
    </row>
    <row r="14" spans="1:97" x14ac:dyDescent="0.3">
      <c r="A14" s="1">
        <v>1</v>
      </c>
      <c r="B14" s="1">
        <v>1</v>
      </c>
      <c r="C14" s="1">
        <v>1</v>
      </c>
      <c r="D14" s="1">
        <v>3</v>
      </c>
      <c r="E14" s="10">
        <v>0.34027777777777773</v>
      </c>
      <c r="F14" s="1">
        <v>1</v>
      </c>
      <c r="G14" s="107">
        <v>1</v>
      </c>
      <c r="H14" s="1">
        <f t="shared" si="1"/>
        <v>73.25</v>
      </c>
      <c r="I14" s="1">
        <f t="shared" si="2"/>
        <v>250</v>
      </c>
      <c r="J14" s="107">
        <v>1</v>
      </c>
      <c r="K14" s="1">
        <f t="shared" si="3"/>
        <v>70</v>
      </c>
      <c r="L14" s="1">
        <f t="shared" si="4"/>
        <v>22</v>
      </c>
      <c r="M14" s="107">
        <v>0</v>
      </c>
      <c r="N14" s="1">
        <f t="shared" si="5"/>
        <v>0</v>
      </c>
      <c r="O14" s="1">
        <f t="shared" si="6"/>
        <v>0</v>
      </c>
      <c r="P14" s="107">
        <v>0</v>
      </c>
      <c r="Q14" s="1">
        <f t="shared" si="7"/>
        <v>0</v>
      </c>
      <c r="R14" s="1">
        <f t="shared" si="8"/>
        <v>0</v>
      </c>
      <c r="S14" s="107">
        <v>0</v>
      </c>
      <c r="T14" s="1">
        <f t="shared" si="9"/>
        <v>0</v>
      </c>
      <c r="U14" s="1">
        <f t="shared" si="10"/>
        <v>0</v>
      </c>
      <c r="V14" s="107">
        <v>0</v>
      </c>
      <c r="W14" s="1">
        <f t="shared" si="11"/>
        <v>0</v>
      </c>
      <c r="X14" s="1">
        <f t="shared" si="12"/>
        <v>0</v>
      </c>
      <c r="Y14" s="107">
        <v>0</v>
      </c>
      <c r="Z14" s="1">
        <f t="shared" si="13"/>
        <v>0</v>
      </c>
      <c r="AA14" s="1">
        <f t="shared" si="14"/>
        <v>0</v>
      </c>
      <c r="AB14" s="107">
        <v>0</v>
      </c>
      <c r="AC14" s="1">
        <f t="shared" si="15"/>
        <v>0</v>
      </c>
      <c r="AD14" s="1">
        <f t="shared" si="16"/>
        <v>0</v>
      </c>
      <c r="AE14" s="107">
        <v>0</v>
      </c>
      <c r="AF14" s="1">
        <f t="shared" si="17"/>
        <v>0</v>
      </c>
      <c r="AG14" s="1">
        <f t="shared" si="18"/>
        <v>0</v>
      </c>
      <c r="AH14" s="107">
        <v>0</v>
      </c>
      <c r="AI14" s="1">
        <f t="shared" si="19"/>
        <v>0</v>
      </c>
      <c r="AJ14" s="1">
        <f t="shared" si="20"/>
        <v>0</v>
      </c>
      <c r="AK14" s="107">
        <v>0</v>
      </c>
      <c r="AL14" s="1">
        <f t="shared" si="21"/>
        <v>0</v>
      </c>
      <c r="AM14" s="1">
        <f t="shared" si="22"/>
        <v>0</v>
      </c>
      <c r="AN14" s="107">
        <v>1</v>
      </c>
      <c r="AO14" s="1">
        <f t="shared" si="23"/>
        <v>0.5</v>
      </c>
      <c r="AP14" s="1">
        <f t="shared" si="24"/>
        <v>1.706</v>
      </c>
      <c r="AQ14" s="107">
        <v>0</v>
      </c>
      <c r="AR14" s="1">
        <f t="shared" si="25"/>
        <v>0</v>
      </c>
      <c r="AS14" s="1">
        <f t="shared" si="26"/>
        <v>0</v>
      </c>
      <c r="AT14" s="107">
        <v>0</v>
      </c>
      <c r="AU14" s="1">
        <f t="shared" si="27"/>
        <v>0</v>
      </c>
      <c r="AV14" s="1">
        <f t="shared" si="28"/>
        <v>0</v>
      </c>
      <c r="AW14" s="107">
        <v>28</v>
      </c>
      <c r="AX14" s="107">
        <v>40</v>
      </c>
      <c r="AY14" s="107">
        <v>1011</v>
      </c>
      <c r="AZ14" s="107">
        <f t="shared" si="29"/>
        <v>10.11</v>
      </c>
      <c r="BA14" s="107">
        <v>29</v>
      </c>
      <c r="BB14" s="107">
        <v>41</v>
      </c>
      <c r="BC14" s="107">
        <v>1010</v>
      </c>
      <c r="BD14" s="107">
        <f t="shared" si="30"/>
        <v>10.1</v>
      </c>
      <c r="BE14" s="43">
        <f t="shared" si="31"/>
        <v>143.75</v>
      </c>
      <c r="BF14" s="43">
        <f t="shared" si="32"/>
        <v>273.70600000000002</v>
      </c>
      <c r="BG14" s="67">
        <f>BE14/(4840*ABS((BB14-AX14)))</f>
        <v>2.9700413223140498E-2</v>
      </c>
      <c r="BH14" s="49">
        <f t="shared" si="33"/>
        <v>73.3</v>
      </c>
      <c r="BI14" s="1">
        <f>IF((G14*20)&gt;($B$4*20),$B$4*20,G14*20)</f>
        <v>20</v>
      </c>
      <c r="BJ14" s="65">
        <f t="shared" si="0"/>
        <v>93.329700413223136</v>
      </c>
      <c r="BK14" s="65">
        <f t="shared" si="34"/>
        <v>158.56809429907022</v>
      </c>
      <c r="BL14" s="1">
        <v>750</v>
      </c>
      <c r="BM14" s="1">
        <f t="shared" si="35"/>
        <v>954.94236439177837</v>
      </c>
      <c r="BN14" s="65">
        <f t="shared" si="36"/>
        <v>954.94236439177837</v>
      </c>
      <c r="BO14" s="1">
        <f t="shared" si="37"/>
        <v>10.11</v>
      </c>
      <c r="BP14" s="65">
        <f>((BN14/BL14)^2)*BO14</f>
        <v>16.390150816401274</v>
      </c>
      <c r="BQ14" s="3">
        <v>5</v>
      </c>
      <c r="BR14" s="7">
        <f>((BN14/BL14)^3)*BQ14</f>
        <v>10.320902982757712</v>
      </c>
      <c r="BS14" s="6">
        <f>BQ14*745.7</f>
        <v>3728.5</v>
      </c>
      <c r="BT14" s="6">
        <f t="shared" si="38"/>
        <v>3.7284999999999999</v>
      </c>
      <c r="BU14" s="6">
        <f>BR14*745.7</f>
        <v>7696.2973542424261</v>
      </c>
      <c r="BV14" s="40">
        <f t="shared" si="39"/>
        <v>7.696297354242426</v>
      </c>
      <c r="BW14" s="6">
        <f>BW13</f>
        <v>29828</v>
      </c>
      <c r="BX14" s="57">
        <f t="shared" si="40"/>
        <v>29.827999999999999</v>
      </c>
      <c r="BY14" s="57">
        <v>70</v>
      </c>
      <c r="BZ14" s="3">
        <f>100-((BH14/BJ14)*100)</f>
        <v>21.461228659837516</v>
      </c>
      <c r="CA14" s="39">
        <f t="shared" si="41"/>
        <v>30</v>
      </c>
      <c r="CB14" s="78">
        <f>J14*70</f>
        <v>70</v>
      </c>
      <c r="CC14" s="78">
        <f>M14*60</f>
        <v>0</v>
      </c>
      <c r="CD14" s="78">
        <f>P14*100</f>
        <v>0</v>
      </c>
      <c r="CE14" s="78">
        <f>S14*60</f>
        <v>0</v>
      </c>
      <c r="CF14" s="78">
        <f>V14*55</f>
        <v>0</v>
      </c>
      <c r="CG14" s="78">
        <f>Y14*70</f>
        <v>0</v>
      </c>
      <c r="CH14" s="78">
        <f>AB14*60</f>
        <v>0</v>
      </c>
      <c r="CI14" s="78">
        <f>AE14*40</f>
        <v>0</v>
      </c>
      <c r="CJ14" s="78">
        <f>AH14*65</f>
        <v>0</v>
      </c>
      <c r="CK14" s="78">
        <f t="shared" si="42"/>
        <v>0</v>
      </c>
      <c r="CL14" s="39">
        <f t="shared" si="43"/>
        <v>70</v>
      </c>
      <c r="CM14" s="81">
        <f>CL14*$B$2</f>
        <v>4.4479011357481868</v>
      </c>
      <c r="CN14" s="81">
        <f t="shared" si="44"/>
        <v>3.8251949767434406</v>
      </c>
      <c r="CO14" s="81">
        <f t="shared" si="45"/>
        <v>6.3753249612390678E-2</v>
      </c>
      <c r="CP14" s="81">
        <f t="shared" si="46"/>
        <v>91.80467944184258</v>
      </c>
      <c r="CQ14" s="62">
        <f>CL14*$B$2*0.000239006*86400</f>
        <v>91.849685084694528</v>
      </c>
      <c r="CR14" s="59">
        <f t="shared" si="47"/>
        <v>6.3784503531037873E-2</v>
      </c>
      <c r="CS14" s="59">
        <f t="shared" si="48"/>
        <v>1.5244496343918052E-2</v>
      </c>
    </row>
    <row r="15" spans="1:97" x14ac:dyDescent="0.3">
      <c r="A15" s="1">
        <v>1</v>
      </c>
      <c r="B15" s="1">
        <v>1</v>
      </c>
      <c r="C15" s="1">
        <v>1</v>
      </c>
      <c r="D15" s="1">
        <v>4</v>
      </c>
      <c r="E15" s="10">
        <v>0.34375</v>
      </c>
      <c r="F15" s="1">
        <v>1</v>
      </c>
      <c r="G15" s="107">
        <v>0</v>
      </c>
      <c r="H15" s="1">
        <f t="shared" si="1"/>
        <v>0</v>
      </c>
      <c r="I15" s="1">
        <f t="shared" si="2"/>
        <v>0</v>
      </c>
      <c r="J15" s="107">
        <v>3</v>
      </c>
      <c r="K15" s="1">
        <f t="shared" si="3"/>
        <v>210</v>
      </c>
      <c r="L15" s="1">
        <f t="shared" si="4"/>
        <v>66</v>
      </c>
      <c r="M15" s="107">
        <v>0</v>
      </c>
      <c r="N15" s="1">
        <f t="shared" si="5"/>
        <v>0</v>
      </c>
      <c r="O15" s="1">
        <f t="shared" si="6"/>
        <v>0</v>
      </c>
      <c r="P15" s="107">
        <v>0</v>
      </c>
      <c r="Q15" s="1">
        <f t="shared" si="7"/>
        <v>0</v>
      </c>
      <c r="R15" s="1">
        <f t="shared" si="8"/>
        <v>0</v>
      </c>
      <c r="S15" s="107">
        <v>0</v>
      </c>
      <c r="T15" s="1">
        <f t="shared" si="9"/>
        <v>0</v>
      </c>
      <c r="U15" s="1">
        <f t="shared" si="10"/>
        <v>0</v>
      </c>
      <c r="V15" s="107">
        <v>0</v>
      </c>
      <c r="W15" s="1">
        <f t="shared" si="11"/>
        <v>0</v>
      </c>
      <c r="X15" s="1">
        <f t="shared" si="12"/>
        <v>0</v>
      </c>
      <c r="Y15" s="107">
        <v>0</v>
      </c>
      <c r="Z15" s="1">
        <f t="shared" si="13"/>
        <v>0</v>
      </c>
      <c r="AA15" s="1">
        <f t="shared" si="14"/>
        <v>0</v>
      </c>
      <c r="AB15" s="107">
        <v>0</v>
      </c>
      <c r="AC15" s="1">
        <f t="shared" si="15"/>
        <v>0</v>
      </c>
      <c r="AD15" s="1">
        <f t="shared" si="16"/>
        <v>0</v>
      </c>
      <c r="AE15" s="107">
        <v>0</v>
      </c>
      <c r="AF15" s="1">
        <f t="shared" si="17"/>
        <v>0</v>
      </c>
      <c r="AG15" s="1">
        <f t="shared" si="18"/>
        <v>0</v>
      </c>
      <c r="AH15" s="107">
        <v>0</v>
      </c>
      <c r="AI15" s="1">
        <f t="shared" si="19"/>
        <v>0</v>
      </c>
      <c r="AJ15" s="1">
        <f t="shared" si="20"/>
        <v>0</v>
      </c>
      <c r="AK15" s="107">
        <v>0</v>
      </c>
      <c r="AL15" s="1">
        <f t="shared" si="21"/>
        <v>0</v>
      </c>
      <c r="AM15" s="1">
        <f t="shared" si="22"/>
        <v>0</v>
      </c>
      <c r="AN15" s="107">
        <v>0</v>
      </c>
      <c r="AO15" s="1">
        <f t="shared" si="23"/>
        <v>0</v>
      </c>
      <c r="AP15" s="1">
        <f t="shared" si="24"/>
        <v>0</v>
      </c>
      <c r="AQ15" s="107">
        <v>0</v>
      </c>
      <c r="AR15" s="1">
        <f t="shared" si="25"/>
        <v>0</v>
      </c>
      <c r="AS15" s="1">
        <f t="shared" si="26"/>
        <v>0</v>
      </c>
      <c r="AT15" s="107">
        <v>0</v>
      </c>
      <c r="AU15" s="1">
        <f t="shared" si="27"/>
        <v>0</v>
      </c>
      <c r="AV15" s="1">
        <f t="shared" si="28"/>
        <v>0</v>
      </c>
      <c r="AW15" s="107">
        <v>28</v>
      </c>
      <c r="AX15" s="107">
        <v>40</v>
      </c>
      <c r="AY15" s="107">
        <v>1011</v>
      </c>
      <c r="AZ15" s="107">
        <f t="shared" si="29"/>
        <v>10.11</v>
      </c>
      <c r="BA15" s="107">
        <v>29</v>
      </c>
      <c r="BB15" s="107">
        <v>41</v>
      </c>
      <c r="BC15" s="107">
        <v>1010</v>
      </c>
      <c r="BD15" s="107">
        <f t="shared" si="30"/>
        <v>10.1</v>
      </c>
      <c r="BE15" s="43">
        <f t="shared" si="31"/>
        <v>210</v>
      </c>
      <c r="BF15" s="43">
        <f t="shared" si="32"/>
        <v>66</v>
      </c>
      <c r="BG15" s="67">
        <f>BE15/(4840*ABS((BB15-AX15)))</f>
        <v>4.3388429752066117E-2</v>
      </c>
      <c r="BH15" s="49">
        <f t="shared" si="33"/>
        <v>73.3</v>
      </c>
      <c r="BI15" s="1">
        <f>IF((G15*20)&gt;($B$4*20),$B$4*20,G15*20)</f>
        <v>0</v>
      </c>
      <c r="BJ15" s="65">
        <f t="shared" si="0"/>
        <v>73.343388429752068</v>
      </c>
      <c r="BK15" s="65">
        <f t="shared" si="34"/>
        <v>124.61115037603305</v>
      </c>
      <c r="BL15" s="1">
        <v>750</v>
      </c>
      <c r="BM15" s="1">
        <f t="shared" si="35"/>
        <v>750.44394709841811</v>
      </c>
      <c r="BN15" s="65">
        <f t="shared" si="36"/>
        <v>750.44394709841811</v>
      </c>
      <c r="BO15" s="1">
        <f t="shared" si="37"/>
        <v>10.11</v>
      </c>
      <c r="BP15" s="65">
        <f>((BN15/BL15)^2)*BO15</f>
        <v>10.121972356120118</v>
      </c>
      <c r="BQ15" s="3">
        <v>5</v>
      </c>
      <c r="BR15" s="7">
        <f>((BN15/BL15)^3)*BQ15</f>
        <v>5.0088841987127308</v>
      </c>
      <c r="BS15" s="6">
        <f>BQ15*745.7</f>
        <v>3728.5</v>
      </c>
      <c r="BT15" s="6">
        <f t="shared" si="38"/>
        <v>3.7284999999999999</v>
      </c>
      <c r="BU15" s="6">
        <f>BR15*745.7</f>
        <v>3735.1249469800837</v>
      </c>
      <c r="BV15" s="40">
        <f t="shared" si="39"/>
        <v>3.7351249469800836</v>
      </c>
      <c r="BW15" s="6">
        <f>BW14</f>
        <v>29828</v>
      </c>
      <c r="BX15" s="57">
        <f t="shared" si="40"/>
        <v>29.827999999999999</v>
      </c>
      <c r="BY15" s="57">
        <v>70</v>
      </c>
      <c r="BZ15" s="3">
        <f>100-((BH15/BJ15)*100)</f>
        <v>5.9157929134443066E-2</v>
      </c>
      <c r="CA15" s="39">
        <f t="shared" si="41"/>
        <v>30</v>
      </c>
      <c r="CB15" s="78">
        <f>J15*70</f>
        <v>210</v>
      </c>
      <c r="CC15" s="78">
        <f>M15*60</f>
        <v>0</v>
      </c>
      <c r="CD15" s="78">
        <f>P15*100</f>
        <v>0</v>
      </c>
      <c r="CE15" s="78">
        <f>S15*60</f>
        <v>0</v>
      </c>
      <c r="CF15" s="78">
        <f>V15*55</f>
        <v>0</v>
      </c>
      <c r="CG15" s="78">
        <f>Y15*70</f>
        <v>0</v>
      </c>
      <c r="CH15" s="78">
        <f>AB15*60</f>
        <v>0</v>
      </c>
      <c r="CI15" s="78">
        <f>AE15*40</f>
        <v>0</v>
      </c>
      <c r="CJ15" s="78">
        <f>AH15*65</f>
        <v>0</v>
      </c>
      <c r="CK15" s="78">
        <f t="shared" si="42"/>
        <v>0</v>
      </c>
      <c r="CL15" s="39">
        <f t="shared" si="43"/>
        <v>210</v>
      </c>
      <c r="CM15" s="81">
        <f>CL15*$B$2</f>
        <v>13.343703407244561</v>
      </c>
      <c r="CN15" s="81">
        <f t="shared" si="44"/>
        <v>11.475584930230323</v>
      </c>
      <c r="CO15" s="81">
        <f t="shared" si="45"/>
        <v>0.19125974883717203</v>
      </c>
      <c r="CP15" s="81">
        <f t="shared" si="46"/>
        <v>275.41403832552771</v>
      </c>
      <c r="CQ15" s="62">
        <f>CL15*$B$2*0.000239006*86400</f>
        <v>275.54905525408361</v>
      </c>
      <c r="CR15" s="59">
        <f t="shared" si="47"/>
        <v>0.19135351059311362</v>
      </c>
      <c r="CS15" s="59">
        <f t="shared" si="48"/>
        <v>4.573348903175415E-2</v>
      </c>
    </row>
    <row r="16" spans="1:97" s="56" customFormat="1" x14ac:dyDescent="0.3">
      <c r="A16" s="50">
        <v>1</v>
      </c>
      <c r="B16" s="50">
        <v>1</v>
      </c>
      <c r="C16" s="50">
        <v>1</v>
      </c>
      <c r="D16" s="50">
        <v>5</v>
      </c>
      <c r="E16" s="51">
        <v>0.34722222222222227</v>
      </c>
      <c r="F16" s="50">
        <v>1</v>
      </c>
      <c r="G16" s="107">
        <v>1</v>
      </c>
      <c r="H16" s="1">
        <f t="shared" si="1"/>
        <v>73.25</v>
      </c>
      <c r="I16" s="1">
        <f t="shared" si="2"/>
        <v>250</v>
      </c>
      <c r="J16" s="107">
        <v>1</v>
      </c>
      <c r="K16" s="1">
        <f t="shared" si="3"/>
        <v>70</v>
      </c>
      <c r="L16" s="1">
        <f t="shared" si="4"/>
        <v>22</v>
      </c>
      <c r="M16" s="107">
        <v>0</v>
      </c>
      <c r="N16" s="1">
        <f t="shared" si="5"/>
        <v>0</v>
      </c>
      <c r="O16" s="1">
        <f t="shared" si="6"/>
        <v>0</v>
      </c>
      <c r="P16" s="107">
        <v>0</v>
      </c>
      <c r="Q16" s="1">
        <f t="shared" si="7"/>
        <v>0</v>
      </c>
      <c r="R16" s="1">
        <f t="shared" si="8"/>
        <v>0</v>
      </c>
      <c r="S16" s="107">
        <v>0</v>
      </c>
      <c r="T16" s="1">
        <f t="shared" si="9"/>
        <v>0</v>
      </c>
      <c r="U16" s="1">
        <f t="shared" si="10"/>
        <v>0</v>
      </c>
      <c r="V16" s="107">
        <v>0</v>
      </c>
      <c r="W16" s="1">
        <f t="shared" si="11"/>
        <v>0</v>
      </c>
      <c r="X16" s="1">
        <f t="shared" si="12"/>
        <v>0</v>
      </c>
      <c r="Y16" s="107">
        <v>0</v>
      </c>
      <c r="Z16" s="1">
        <f t="shared" si="13"/>
        <v>0</v>
      </c>
      <c r="AA16" s="1">
        <f t="shared" si="14"/>
        <v>0</v>
      </c>
      <c r="AB16" s="107">
        <v>0</v>
      </c>
      <c r="AC16" s="1">
        <f t="shared" si="15"/>
        <v>0</v>
      </c>
      <c r="AD16" s="1">
        <f t="shared" si="16"/>
        <v>0</v>
      </c>
      <c r="AE16" s="107">
        <v>0</v>
      </c>
      <c r="AF16" s="1">
        <f t="shared" si="17"/>
        <v>0</v>
      </c>
      <c r="AG16" s="1">
        <f t="shared" si="18"/>
        <v>0</v>
      </c>
      <c r="AH16" s="107">
        <v>0</v>
      </c>
      <c r="AI16" s="1">
        <f t="shared" si="19"/>
        <v>0</v>
      </c>
      <c r="AJ16" s="1">
        <f t="shared" si="20"/>
        <v>0</v>
      </c>
      <c r="AK16" s="107">
        <v>0</v>
      </c>
      <c r="AL16" s="1">
        <f t="shared" si="21"/>
        <v>0</v>
      </c>
      <c r="AM16" s="1">
        <f t="shared" si="22"/>
        <v>0</v>
      </c>
      <c r="AN16" s="107">
        <v>0</v>
      </c>
      <c r="AO16" s="1">
        <f t="shared" si="23"/>
        <v>0</v>
      </c>
      <c r="AP16" s="1">
        <f t="shared" si="24"/>
        <v>0</v>
      </c>
      <c r="AQ16" s="107">
        <v>0</v>
      </c>
      <c r="AR16" s="1">
        <f t="shared" si="25"/>
        <v>0</v>
      </c>
      <c r="AS16" s="1">
        <f t="shared" si="26"/>
        <v>0</v>
      </c>
      <c r="AT16" s="107">
        <v>1</v>
      </c>
      <c r="AU16" s="1">
        <f t="shared" si="27"/>
        <v>50</v>
      </c>
      <c r="AV16" s="1">
        <f t="shared" si="28"/>
        <v>170.6</v>
      </c>
      <c r="AW16" s="107">
        <v>28</v>
      </c>
      <c r="AX16" s="107">
        <v>40</v>
      </c>
      <c r="AY16" s="107">
        <v>1011</v>
      </c>
      <c r="AZ16" s="107">
        <f t="shared" si="29"/>
        <v>10.11</v>
      </c>
      <c r="BA16" s="107">
        <v>29</v>
      </c>
      <c r="BB16" s="107">
        <v>41</v>
      </c>
      <c r="BC16" s="107">
        <v>1010</v>
      </c>
      <c r="BD16" s="107">
        <f t="shared" si="30"/>
        <v>10.1</v>
      </c>
      <c r="BE16" s="43">
        <f t="shared" si="31"/>
        <v>193.25</v>
      </c>
      <c r="BF16" s="43">
        <f t="shared" si="32"/>
        <v>442.6</v>
      </c>
      <c r="BG16" s="67">
        <f>BE16/(4840*ABS((BB16-AX16)))</f>
        <v>3.9927685950413225E-2</v>
      </c>
      <c r="BH16" s="49">
        <f t="shared" si="33"/>
        <v>73.3</v>
      </c>
      <c r="BI16" s="50">
        <f>IF((G16*20)&gt;($B$4*20),$B$4*20,G16*20)</f>
        <v>20</v>
      </c>
      <c r="BJ16" s="65">
        <f t="shared" si="0"/>
        <v>93.339927685950414</v>
      </c>
      <c r="BK16" s="65">
        <f t="shared" si="34"/>
        <v>158.58547053770661</v>
      </c>
      <c r="BL16" s="50">
        <v>750</v>
      </c>
      <c r="BM16" s="50">
        <f t="shared" ref="BM16" si="49">(BJ16/BH16)*BL16</f>
        <v>955.04700906497692</v>
      </c>
      <c r="BN16" s="66">
        <f t="shared" si="36"/>
        <v>955.04700906497692</v>
      </c>
      <c r="BO16" s="1">
        <f t="shared" si="37"/>
        <v>10.11</v>
      </c>
      <c r="BP16" s="66">
        <f>((BN16/BL16)^2)*BO16</f>
        <v>16.393743150377272</v>
      </c>
      <c r="BQ16" s="52">
        <v>5</v>
      </c>
      <c r="BR16" s="55">
        <f>((BN16/BL16)^3)*BQ16</f>
        <v>10.324296315955996</v>
      </c>
      <c r="BS16" s="53">
        <f>BQ16*745.7</f>
        <v>3728.5</v>
      </c>
      <c r="BT16" s="53">
        <f t="shared" ref="BT16" si="50">BS16/1000</f>
        <v>3.7284999999999999</v>
      </c>
      <c r="BU16" s="53">
        <f>BR16*745.7</f>
        <v>7698.827762808387</v>
      </c>
      <c r="BV16" s="54">
        <f>BU16/1000</f>
        <v>7.6988277628083868</v>
      </c>
      <c r="BW16" s="53">
        <f>BW15</f>
        <v>29828</v>
      </c>
      <c r="BX16" s="58">
        <f t="shared" ref="BX16" si="51">BW16/1000</f>
        <v>29.827999999999999</v>
      </c>
      <c r="BY16" s="57">
        <v>70</v>
      </c>
      <c r="BZ16" s="52">
        <f>100-((BH16/BJ16)*100)</f>
        <v>21.46983416719192</v>
      </c>
      <c r="CA16" s="39">
        <f t="shared" si="41"/>
        <v>30</v>
      </c>
      <c r="CB16" s="78">
        <f>J16*70</f>
        <v>70</v>
      </c>
      <c r="CC16" s="78">
        <f>M16*60</f>
        <v>0</v>
      </c>
      <c r="CD16" s="78">
        <f>P16*100</f>
        <v>0</v>
      </c>
      <c r="CE16" s="78">
        <f>S16*60</f>
        <v>0</v>
      </c>
      <c r="CF16" s="78">
        <f>V16*55</f>
        <v>0</v>
      </c>
      <c r="CG16" s="78">
        <f>Y16*70</f>
        <v>0</v>
      </c>
      <c r="CH16" s="78">
        <f>AB16*60</f>
        <v>0</v>
      </c>
      <c r="CI16" s="78">
        <f>AE16*40</f>
        <v>0</v>
      </c>
      <c r="CJ16" s="78">
        <f>AH16*65</f>
        <v>0</v>
      </c>
      <c r="CK16" s="78">
        <f t="shared" si="42"/>
        <v>0</v>
      </c>
      <c r="CL16" s="39">
        <f t="shared" si="43"/>
        <v>70</v>
      </c>
      <c r="CM16" s="81">
        <f>CL16*$B$2</f>
        <v>4.4479011357481868</v>
      </c>
      <c r="CN16" s="81">
        <f t="shared" si="44"/>
        <v>3.8251949767434406</v>
      </c>
      <c r="CO16" s="81">
        <f t="shared" si="45"/>
        <v>6.3753249612390678E-2</v>
      </c>
      <c r="CP16" s="81">
        <f t="shared" si="46"/>
        <v>91.80467944184258</v>
      </c>
      <c r="CQ16" s="62">
        <f>CL16*$B$2*0.000239006*86400</f>
        <v>91.849685084694528</v>
      </c>
      <c r="CR16" s="59">
        <f t="shared" si="47"/>
        <v>6.3784503531037873E-2</v>
      </c>
      <c r="CS16" s="59">
        <f t="shared" si="48"/>
        <v>1.5244496343918052E-2</v>
      </c>
    </row>
    <row r="17" spans="1:97" x14ac:dyDescent="0.3">
      <c r="A17" s="1">
        <v>1</v>
      </c>
      <c r="B17" s="1">
        <v>1</v>
      </c>
      <c r="C17" s="1">
        <v>1</v>
      </c>
      <c r="D17" s="1">
        <v>6</v>
      </c>
      <c r="E17" s="10">
        <v>0.35069444444444442</v>
      </c>
      <c r="F17" s="1">
        <v>1</v>
      </c>
      <c r="G17" s="107">
        <v>6</v>
      </c>
      <c r="H17" s="1">
        <f t="shared" si="1"/>
        <v>439.5</v>
      </c>
      <c r="I17" s="1">
        <f t="shared" si="2"/>
        <v>1500</v>
      </c>
      <c r="M17" s="107">
        <v>1</v>
      </c>
      <c r="N17" s="1">
        <f t="shared" si="5"/>
        <v>60</v>
      </c>
      <c r="O17" s="1">
        <f t="shared" si="6"/>
        <v>18</v>
      </c>
      <c r="V17" s="107">
        <v>5</v>
      </c>
      <c r="W17" s="1">
        <f t="shared" si="11"/>
        <v>275</v>
      </c>
      <c r="X17" s="1">
        <f t="shared" si="12"/>
        <v>90</v>
      </c>
      <c r="AQ17" s="107">
        <v>1</v>
      </c>
      <c r="AR17" s="1">
        <f t="shared" si="25"/>
        <v>4</v>
      </c>
      <c r="AS17" s="1">
        <f t="shared" si="26"/>
        <v>13.648</v>
      </c>
      <c r="BE17" s="43"/>
      <c r="BF17" s="43"/>
      <c r="BG17" s="67"/>
      <c r="BH17" s="49"/>
      <c r="BI17" s="1">
        <f>IF((G17*20)&gt;($B$4*20),$B$4*20,G17*20)</f>
        <v>120</v>
      </c>
      <c r="BJ17" s="65"/>
      <c r="BK17" s="65"/>
      <c r="BN17" s="65"/>
      <c r="BP17" s="65"/>
      <c r="BQ17" s="3"/>
      <c r="BR17" s="7"/>
      <c r="BS17" s="6"/>
      <c r="BT17" s="6"/>
      <c r="BU17" s="6"/>
      <c r="BV17" s="40"/>
      <c r="BW17" s="6"/>
      <c r="BX17" s="57"/>
      <c r="BY17" s="57"/>
      <c r="BZ17" s="3"/>
      <c r="CA17" s="39"/>
      <c r="CB17" s="78"/>
      <c r="CC17" s="78">
        <f>M17*60</f>
        <v>60</v>
      </c>
      <c r="CD17" s="78"/>
      <c r="CE17" s="78"/>
      <c r="CF17" s="78">
        <f>V17*55</f>
        <v>275</v>
      </c>
      <c r="CG17" s="78"/>
      <c r="CH17" s="78"/>
      <c r="CI17" s="78"/>
      <c r="CJ17" s="78"/>
      <c r="CK17" s="78"/>
      <c r="CL17" s="39"/>
      <c r="CM17" s="81"/>
      <c r="CN17" s="81"/>
      <c r="CO17" s="81"/>
      <c r="CP17" s="81"/>
      <c r="CQ17" s="62"/>
      <c r="CR17" s="59"/>
      <c r="CS17" s="59"/>
    </row>
    <row r="18" spans="1:97" x14ac:dyDescent="0.3">
      <c r="A18" s="1">
        <v>1</v>
      </c>
      <c r="B18" s="1">
        <v>1</v>
      </c>
      <c r="C18" s="1">
        <v>1</v>
      </c>
      <c r="D18" s="1">
        <v>7</v>
      </c>
      <c r="E18" s="10">
        <v>0.35416666666666669</v>
      </c>
      <c r="F18" s="1">
        <v>1</v>
      </c>
      <c r="BE18" s="43"/>
      <c r="BF18" s="43"/>
      <c r="BG18" s="67"/>
      <c r="BH18" s="49"/>
      <c r="BJ18" s="65"/>
      <c r="BK18" s="65"/>
      <c r="BN18" s="65"/>
      <c r="BP18" s="65"/>
      <c r="BQ18" s="3"/>
      <c r="BR18" s="7"/>
      <c r="BS18" s="6"/>
      <c r="BT18" s="6"/>
      <c r="BU18" s="6"/>
      <c r="BV18" s="40"/>
      <c r="BW18" s="6"/>
      <c r="BX18" s="57"/>
      <c r="BY18" s="57"/>
      <c r="BZ18" s="3"/>
      <c r="CA18" s="39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39"/>
      <c r="CM18" s="81"/>
      <c r="CN18" s="81"/>
      <c r="CO18" s="81"/>
      <c r="CP18" s="81"/>
      <c r="CQ18" s="62"/>
      <c r="CR18" s="59"/>
      <c r="CS18" s="59"/>
    </row>
    <row r="19" spans="1:97" x14ac:dyDescent="0.3">
      <c r="A19" s="1">
        <v>1</v>
      </c>
      <c r="B19" s="1">
        <v>1</v>
      </c>
      <c r="C19" s="1">
        <v>1</v>
      </c>
      <c r="D19" s="1">
        <v>8</v>
      </c>
      <c r="E19" s="10">
        <v>0.3576388888888889</v>
      </c>
      <c r="F19" s="1">
        <v>1</v>
      </c>
      <c r="BE19" s="43"/>
      <c r="BF19" s="43"/>
      <c r="BG19" s="67"/>
      <c r="BH19" s="49"/>
      <c r="BJ19" s="65"/>
      <c r="BK19" s="65"/>
      <c r="BN19" s="65"/>
      <c r="BP19" s="65"/>
      <c r="BQ19" s="3"/>
      <c r="BR19" s="7"/>
      <c r="BS19" s="6"/>
      <c r="BT19" s="6"/>
      <c r="BU19" s="6"/>
      <c r="BV19" s="40"/>
      <c r="BW19" s="6"/>
      <c r="BX19" s="57"/>
      <c r="BY19" s="57"/>
      <c r="BZ19" s="3"/>
      <c r="CA19" s="39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39"/>
      <c r="CM19" s="81"/>
      <c r="CN19" s="81"/>
      <c r="CO19" s="81"/>
      <c r="CP19" s="81"/>
      <c r="CQ19" s="62"/>
      <c r="CR19" s="59"/>
      <c r="CS19" s="59"/>
    </row>
    <row r="20" spans="1:97" x14ac:dyDescent="0.3">
      <c r="A20" s="1">
        <v>1</v>
      </c>
      <c r="B20" s="1">
        <v>1</v>
      </c>
      <c r="C20" s="1">
        <v>1</v>
      </c>
      <c r="D20" s="1">
        <v>9</v>
      </c>
      <c r="E20" s="10">
        <v>0.3611111111111111</v>
      </c>
      <c r="F20" s="1">
        <v>1</v>
      </c>
      <c r="BE20" s="43"/>
      <c r="BF20" s="43"/>
      <c r="BG20" s="67"/>
      <c r="BH20" s="49"/>
      <c r="BJ20" s="65"/>
      <c r="BK20" s="65"/>
      <c r="BN20" s="65"/>
      <c r="BP20" s="65"/>
      <c r="BQ20" s="3"/>
      <c r="BR20" s="7"/>
      <c r="BS20" s="6"/>
      <c r="BT20" s="6"/>
      <c r="BU20" s="6"/>
      <c r="BV20" s="40"/>
      <c r="BW20" s="6"/>
      <c r="BX20" s="57"/>
      <c r="BY20" s="57"/>
      <c r="BZ20" s="3"/>
      <c r="CA20" s="39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39"/>
      <c r="CM20" s="81"/>
      <c r="CN20" s="81"/>
      <c r="CO20" s="81"/>
      <c r="CP20" s="81"/>
      <c r="CQ20" s="62"/>
      <c r="CR20" s="59"/>
      <c r="CS20" s="59"/>
    </row>
    <row r="21" spans="1:97" x14ac:dyDescent="0.3">
      <c r="A21" s="1">
        <v>1</v>
      </c>
      <c r="B21" s="1">
        <v>1</v>
      </c>
      <c r="C21" s="1">
        <v>1</v>
      </c>
      <c r="D21" s="1">
        <v>10</v>
      </c>
      <c r="E21" s="10">
        <v>0.36458333333333331</v>
      </c>
      <c r="F21" s="1">
        <v>1</v>
      </c>
      <c r="BE21" s="43"/>
      <c r="BF21" s="43"/>
      <c r="BG21" s="67"/>
      <c r="BH21" s="49"/>
      <c r="BJ21" s="65"/>
      <c r="BK21" s="65"/>
      <c r="BN21" s="65"/>
      <c r="BP21" s="65"/>
      <c r="BQ21" s="3"/>
      <c r="BR21" s="7"/>
      <c r="BS21" s="6"/>
      <c r="BT21" s="6"/>
      <c r="BU21" s="6"/>
      <c r="BV21" s="40"/>
      <c r="BW21" s="6"/>
      <c r="BX21" s="57"/>
      <c r="BY21" s="57"/>
      <c r="BZ21" s="3"/>
      <c r="CA21" s="39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39"/>
      <c r="CM21" s="81"/>
      <c r="CN21" s="81"/>
      <c r="CO21" s="81"/>
      <c r="CP21" s="81"/>
      <c r="CQ21" s="62"/>
      <c r="CR21" s="59"/>
      <c r="CS21" s="59"/>
    </row>
    <row r="22" spans="1:97" x14ac:dyDescent="0.3">
      <c r="A22" s="1">
        <v>1</v>
      </c>
      <c r="B22" s="1">
        <v>1</v>
      </c>
      <c r="C22" s="1">
        <v>1</v>
      </c>
      <c r="D22" s="1">
        <v>11</v>
      </c>
      <c r="E22" s="10">
        <v>0.36805555555555558</v>
      </c>
      <c r="F22" s="1">
        <v>1</v>
      </c>
      <c r="BE22" s="43"/>
      <c r="BF22" s="43"/>
      <c r="BG22" s="67"/>
      <c r="BH22" s="49"/>
      <c r="BJ22" s="65"/>
      <c r="BK22" s="65"/>
      <c r="BN22" s="65"/>
      <c r="BP22" s="65"/>
      <c r="BQ22" s="3"/>
      <c r="BR22" s="7"/>
      <c r="BS22" s="6"/>
      <c r="BT22" s="6"/>
      <c r="BU22" s="6"/>
      <c r="BV22" s="40"/>
      <c r="BW22" s="6"/>
      <c r="BX22" s="57"/>
      <c r="BY22" s="57"/>
      <c r="BZ22" s="3"/>
      <c r="CA22" s="39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39"/>
      <c r="CM22" s="81"/>
      <c r="CN22" s="81"/>
      <c r="CO22" s="81"/>
      <c r="CP22" s="81"/>
      <c r="CQ22" s="62"/>
      <c r="CR22" s="59"/>
      <c r="CS22" s="59"/>
    </row>
    <row r="23" spans="1:97" x14ac:dyDescent="0.3">
      <c r="A23" s="1">
        <v>1</v>
      </c>
      <c r="B23" s="1">
        <v>1</v>
      </c>
      <c r="C23" s="1">
        <v>1</v>
      </c>
      <c r="D23" s="1">
        <v>11</v>
      </c>
      <c r="E23" s="10">
        <v>0.37152777777777773</v>
      </c>
      <c r="F23" s="1">
        <v>1</v>
      </c>
      <c r="BE23" s="43"/>
      <c r="BF23" s="43"/>
      <c r="BG23" s="67"/>
      <c r="BH23" s="49"/>
      <c r="BJ23" s="65"/>
      <c r="BK23" s="65"/>
      <c r="BN23" s="65"/>
      <c r="BP23" s="65"/>
      <c r="BQ23" s="3"/>
      <c r="BR23" s="7"/>
      <c r="BS23" s="6"/>
      <c r="BT23" s="6"/>
      <c r="BU23" s="6"/>
      <c r="BV23" s="40"/>
      <c r="BW23" s="6"/>
      <c r="BX23" s="57"/>
      <c r="BY23" s="57"/>
      <c r="BZ23" s="3"/>
      <c r="CA23" s="39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39"/>
      <c r="CM23" s="81"/>
      <c r="CN23" s="81"/>
      <c r="CO23" s="81"/>
      <c r="CP23" s="81"/>
      <c r="CQ23" s="62"/>
      <c r="CR23" s="59"/>
      <c r="CS23" s="59"/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BU9:BU10"/>
    <mergeCell ref="BV9:BV10"/>
    <mergeCell ref="AZ9:AZ10"/>
    <mergeCell ref="BG9:BG10"/>
    <mergeCell ref="BH9:BH10"/>
    <mergeCell ref="BI9:BI10"/>
    <mergeCell ref="BJ9:BJ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S8:S9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O8:BO10"/>
    <mergeCell ref="BP8:BP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AY9:AY10"/>
    <mergeCell ref="BA9:BA10"/>
    <mergeCell ref="BB9:B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AYAD</cp:lastModifiedBy>
  <dcterms:created xsi:type="dcterms:W3CDTF">2024-02-25T02:47:48Z</dcterms:created>
  <dcterms:modified xsi:type="dcterms:W3CDTF">2024-04-23T06:42:46Z</dcterms:modified>
</cp:coreProperties>
</file>