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14520" windowHeight="12840"/>
  </bookViews>
  <sheets>
    <sheet name="BLND" sheetId="4" r:id="rId1"/>
    <sheet name="DLN" sheetId="10" r:id="rId2"/>
    <sheet name="GPOR" sheetId="11" r:id="rId3"/>
    <sheet name="HMSO" sheetId="12" state="hidden" r:id="rId4"/>
    <sheet name="LAND" sheetId="13" r:id="rId5"/>
    <sheet name="SBD" sheetId="14" state="hidden" r:id="rId6"/>
    <sheet name="DATA" sheetId="7" r:id="rId7"/>
    <sheet name="PortfolioData" sheetId="2" r:id="rId8"/>
    <sheet name="AssetData_Investment" sheetId="6" r:id="rId9"/>
    <sheet name="AssetData_Developments" sheetId="8" r:id="rId10"/>
    <sheet name="PET" sheetId="9" r:id="rId11"/>
    <sheet name="Development" sheetId="16" r:id="rId12"/>
    <sheet name="SBD - 20 Sep" sheetId="15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GPOR_CL_Office_Snapshot_dev" localSheetId="2" hidden="1">GPOR!$AO$47:$AY$52</definedName>
    <definedName name="_xlnm.Print_Area" localSheetId="0">BLND!$B$4:$M$48</definedName>
    <definedName name="_xlnm.Print_Area" localSheetId="1">DLN!$B$4:$M$48</definedName>
    <definedName name="_xlnm.Print_Area" localSheetId="2">GPOR!$B$4:$M$48</definedName>
    <definedName name="_xlnm.Print_Area" localSheetId="3">HMSO!$B$4:$M$48</definedName>
    <definedName name="_xlnm.Print_Area" localSheetId="4">LAND!$B$4:$M$48</definedName>
    <definedName name="_xlnm.Print_Area" localSheetId="5">SBD!$B$4:$M$48</definedName>
    <definedName name="_xlnm.Print_Area" localSheetId="12">'SBD - 20 Sep'!$B$4:$M$48</definedName>
    <definedName name="Query_from_PET_EUR" localSheetId="11" hidden="1">Development!$A$2:$BM$322</definedName>
    <definedName name="Query_from_PET_EUR" localSheetId="10">PET!$B$4:$AI$51</definedName>
  </definedNames>
  <calcPr calcId="145621"/>
</workbook>
</file>

<file path=xl/calcChain.xml><?xml version="1.0" encoding="utf-8"?>
<calcChain xmlns="http://schemas.openxmlformats.org/spreadsheetml/2006/main">
  <c r="AZ68" i="11" l="1"/>
  <c r="AZ67" i="11"/>
  <c r="AZ66" i="11"/>
  <c r="AZ65" i="11"/>
  <c r="AZ64" i="11"/>
  <c r="AR69" i="11"/>
  <c r="AO65" i="11"/>
  <c r="AP65" i="11"/>
  <c r="AQ65" i="11"/>
  <c r="AS65" i="11"/>
  <c r="AT65" i="11" s="1"/>
  <c r="AV65" i="11"/>
  <c r="AW65" i="11"/>
  <c r="AX65" i="11"/>
  <c r="AY65" i="11"/>
  <c r="AO66" i="11"/>
  <c r="AP66" i="11"/>
  <c r="AQ66" i="11"/>
  <c r="AS66" i="11"/>
  <c r="AU66" i="11" s="1"/>
  <c r="AV66" i="11"/>
  <c r="AW66" i="11"/>
  <c r="AX66" i="11"/>
  <c r="AY66" i="11"/>
  <c r="AO67" i="11"/>
  <c r="AP67" i="11"/>
  <c r="AQ67" i="11"/>
  <c r="AS67" i="11"/>
  <c r="AU67" i="11"/>
  <c r="AV67" i="11"/>
  <c r="AW67" i="11"/>
  <c r="AX67" i="11"/>
  <c r="AY67" i="11"/>
  <c r="AO68" i="11"/>
  <c r="AP68" i="11"/>
  <c r="AQ68" i="11"/>
  <c r="AS68" i="11"/>
  <c r="AU68" i="11" s="1"/>
  <c r="AV68" i="11"/>
  <c r="AW68" i="11"/>
  <c r="AX68" i="11"/>
  <c r="AY68" i="11"/>
  <c r="AY64" i="11"/>
  <c r="AX64" i="11"/>
  <c r="AW64" i="11"/>
  <c r="AV64" i="11"/>
  <c r="AS64" i="11"/>
  <c r="AU64" i="11" s="1"/>
  <c r="AQ64" i="11"/>
  <c r="AQ69" i="11" s="1"/>
  <c r="AP64" i="11"/>
  <c r="AO64" i="11"/>
  <c r="AS69" i="11" l="1"/>
  <c r="AV69" i="11" s="1"/>
  <c r="AT68" i="11"/>
  <c r="AT64" i="11"/>
  <c r="AT69" i="11" s="1"/>
  <c r="AT67" i="11"/>
  <c r="AT66" i="11"/>
  <c r="AU65" i="11"/>
  <c r="AU69" i="11" s="1"/>
  <c r="AW69" i="11" l="1"/>
  <c r="AY69" i="11"/>
  <c r="AX69" i="11"/>
  <c r="K33" i="8" l="1"/>
  <c r="O13" i="8" l="1"/>
  <c r="M8" i="8"/>
  <c r="H39" i="2" l="1"/>
  <c r="I35" i="8" l="1"/>
  <c r="S29" i="10" l="1"/>
  <c r="D5" i="10" l="1"/>
  <c r="D5" i="11"/>
  <c r="D5" i="13"/>
  <c r="D5" i="4"/>
  <c r="U34" i="8" l="1"/>
  <c r="T34" i="8"/>
  <c r="J34" i="8"/>
  <c r="J13" i="8"/>
  <c r="K13" i="8" s="1"/>
  <c r="I34" i="8" l="1"/>
  <c r="T13" i="8"/>
  <c r="H44" i="2" l="1"/>
  <c r="U35" i="10" s="1"/>
  <c r="H43" i="2"/>
  <c r="H42" i="2"/>
  <c r="K31" i="8" l="1"/>
  <c r="J31" i="8"/>
  <c r="I31" i="8"/>
  <c r="R24" i="8" l="1"/>
  <c r="O24" i="8"/>
  <c r="N24" i="8"/>
  <c r="M24" i="8"/>
  <c r="L24" i="8"/>
  <c r="K24" i="8"/>
  <c r="J24" i="8"/>
  <c r="I24" i="8"/>
  <c r="H24" i="8"/>
  <c r="G24" i="8"/>
  <c r="R25" i="8"/>
  <c r="R23" i="8"/>
  <c r="O23" i="8"/>
  <c r="N23" i="8"/>
  <c r="M23" i="8"/>
  <c r="L23" i="8"/>
  <c r="K23" i="8"/>
  <c r="J23" i="8"/>
  <c r="I23" i="8"/>
  <c r="H23" i="8"/>
  <c r="G23" i="8"/>
  <c r="G44" i="2"/>
  <c r="G43" i="2"/>
  <c r="G42" i="2"/>
  <c r="G39" i="2"/>
  <c r="R35" i="8" l="1"/>
  <c r="R34" i="8"/>
  <c r="R33" i="8"/>
  <c r="O35" i="8"/>
  <c r="N35" i="8"/>
  <c r="M35" i="8"/>
  <c r="L35" i="8"/>
  <c r="K35" i="8"/>
  <c r="J35" i="8"/>
  <c r="G35" i="8"/>
  <c r="O34" i="8"/>
  <c r="N34" i="8"/>
  <c r="M34" i="8"/>
  <c r="L34" i="8"/>
  <c r="K34" i="8"/>
  <c r="H34" i="8"/>
  <c r="G34" i="8"/>
  <c r="O33" i="8"/>
  <c r="N33" i="8"/>
  <c r="M33" i="8"/>
  <c r="L33" i="8"/>
  <c r="J33" i="8"/>
  <c r="I33" i="8"/>
  <c r="H33" i="8"/>
  <c r="G33" i="8"/>
  <c r="J34" i="6"/>
  <c r="I39" i="2"/>
  <c r="I42" i="2"/>
  <c r="I43" i="2"/>
  <c r="I44" i="2"/>
  <c r="I40" i="2"/>
  <c r="W27" i="11" l="1"/>
  <c r="H37" i="6"/>
  <c r="BA68" i="10"/>
  <c r="O14" i="8"/>
  <c r="N14" i="8"/>
  <c r="M14" i="8"/>
  <c r="L14" i="8"/>
  <c r="K14" i="8"/>
  <c r="J14" i="8"/>
  <c r="I14" i="8"/>
  <c r="H14" i="8"/>
  <c r="G14" i="8"/>
  <c r="J30" i="8"/>
  <c r="J29" i="8"/>
  <c r="J28" i="8"/>
  <c r="R30" i="8" l="1"/>
  <c r="R29" i="8"/>
  <c r="R28" i="8"/>
  <c r="O30" i="8"/>
  <c r="N30" i="8"/>
  <c r="M30" i="8"/>
  <c r="L30" i="8"/>
  <c r="K30" i="8"/>
  <c r="I30" i="8"/>
  <c r="H30" i="8"/>
  <c r="G30" i="8"/>
  <c r="O29" i="8"/>
  <c r="N29" i="8"/>
  <c r="M29" i="8"/>
  <c r="L29" i="8"/>
  <c r="K29" i="8"/>
  <c r="I29" i="8"/>
  <c r="H29" i="8"/>
  <c r="G29" i="8"/>
  <c r="O28" i="8"/>
  <c r="N28" i="8"/>
  <c r="M28" i="8"/>
  <c r="L28" i="8"/>
  <c r="K28" i="8"/>
  <c r="I28" i="8"/>
  <c r="H28" i="8"/>
  <c r="G28" i="8"/>
  <c r="N29" i="6"/>
  <c r="N30" i="6"/>
  <c r="N28" i="6"/>
  <c r="H17" i="2"/>
  <c r="R14" i="8" l="1"/>
  <c r="R15" i="8"/>
  <c r="R13" i="8"/>
  <c r="H13" i="8"/>
  <c r="G13" i="8"/>
  <c r="H14" i="6" l="1"/>
  <c r="H13" i="6"/>
  <c r="J13" i="6"/>
  <c r="I13" i="6"/>
  <c r="E42" i="2"/>
  <c r="J17" i="6" s="1"/>
  <c r="E39" i="2"/>
  <c r="E44" i="2"/>
  <c r="D5" i="12" l="1"/>
  <c r="K28" i="6"/>
  <c r="O37" i="8"/>
  <c r="N37" i="8"/>
  <c r="M37" i="8"/>
  <c r="K37" i="8"/>
  <c r="J37" i="8"/>
  <c r="I37" i="8"/>
  <c r="O27" i="8"/>
  <c r="N27" i="8"/>
  <c r="M27" i="8"/>
  <c r="L27" i="8"/>
  <c r="K27" i="8"/>
  <c r="J27" i="8"/>
  <c r="I27" i="8"/>
  <c r="O17" i="8"/>
  <c r="N17" i="8"/>
  <c r="M17" i="8"/>
  <c r="L17" i="8"/>
  <c r="K17" i="8"/>
  <c r="K16" i="8" s="1"/>
  <c r="J17" i="8"/>
  <c r="J16" i="8" s="1"/>
  <c r="AS68" i="4" s="1"/>
  <c r="I17" i="8"/>
  <c r="J27" i="6"/>
  <c r="J26" i="6" s="1"/>
  <c r="I41" i="2"/>
  <c r="H21" i="2"/>
  <c r="AH59" i="15"/>
  <c r="AI59" i="15"/>
  <c r="AJ59" i="15"/>
  <c r="AE59" i="15"/>
  <c r="AF57" i="15" s="1"/>
  <c r="AF58" i="15" s="1"/>
  <c r="AF55" i="15"/>
  <c r="O3" i="15"/>
  <c r="B8" i="15"/>
  <c r="S10" i="15"/>
  <c r="S11" i="15"/>
  <c r="U34" i="15"/>
  <c r="AC50" i="15"/>
  <c r="AD50" i="15"/>
  <c r="AE50" i="15"/>
  <c r="AG50" i="15"/>
  <c r="AI50" i="15"/>
  <c r="AJ50" i="15"/>
  <c r="AK50" i="15"/>
  <c r="AA55" i="15"/>
  <c r="AA56" i="15"/>
  <c r="AA57" i="15"/>
  <c r="AA58" i="15"/>
  <c r="BA58" i="15"/>
  <c r="AO59" i="15"/>
  <c r="AP59" i="15"/>
  <c r="AQ59" i="15"/>
  <c r="AS59" i="15"/>
  <c r="AU59" i="15"/>
  <c r="AV59" i="15"/>
  <c r="AW59" i="15"/>
  <c r="AX59" i="15"/>
  <c r="AY59" i="15"/>
  <c r="AZ59" i="15"/>
  <c r="AM65" i="15"/>
  <c r="AM66" i="15"/>
  <c r="AT66" i="15"/>
  <c r="AM67" i="15"/>
  <c r="AM68" i="15"/>
  <c r="S10" i="14"/>
  <c r="A40" i="8"/>
  <c r="O3" i="14"/>
  <c r="B8" i="14"/>
  <c r="S11" i="14"/>
  <c r="D15" i="2"/>
  <c r="U34" i="14"/>
  <c r="D18" i="2"/>
  <c r="D19" i="2"/>
  <c r="G19" i="2" s="1"/>
  <c r="D23" i="2"/>
  <c r="E23" i="2" s="1"/>
  <c r="E24" i="2" s="1"/>
  <c r="D27" i="2"/>
  <c r="G27" i="2" s="1"/>
  <c r="AC50" i="14"/>
  <c r="AD50" i="14"/>
  <c r="AE50" i="14"/>
  <c r="AG50" i="14"/>
  <c r="AI50" i="14"/>
  <c r="AJ50" i="14"/>
  <c r="AK50" i="14"/>
  <c r="AA55" i="14"/>
  <c r="AA56" i="14"/>
  <c r="AA57" i="14"/>
  <c r="AA58" i="14"/>
  <c r="BA58" i="14"/>
  <c r="AO59" i="14"/>
  <c r="AP59" i="14"/>
  <c r="AQ59" i="14"/>
  <c r="AS59" i="14"/>
  <c r="AU59" i="14"/>
  <c r="AV59" i="14"/>
  <c r="AW59" i="14"/>
  <c r="AX59" i="14"/>
  <c r="AY59" i="14"/>
  <c r="AZ59" i="14"/>
  <c r="AM65" i="14"/>
  <c r="C4" i="8"/>
  <c r="AM66" i="14"/>
  <c r="AM67" i="14"/>
  <c r="AM68" i="14"/>
  <c r="D26" i="2"/>
  <c r="G26" i="2" s="1"/>
  <c r="D22" i="2"/>
  <c r="G38" i="8"/>
  <c r="A13" i="8"/>
  <c r="A14" i="8"/>
  <c r="A15" i="8"/>
  <c r="A16" i="8"/>
  <c r="I16" i="8"/>
  <c r="AQ68" i="4" s="1"/>
  <c r="A17" i="8"/>
  <c r="F17" i="8"/>
  <c r="A18" i="8"/>
  <c r="A19" i="8"/>
  <c r="A20" i="8"/>
  <c r="A21" i="8"/>
  <c r="A22" i="8"/>
  <c r="F22" i="8"/>
  <c r="A23" i="8"/>
  <c r="A24" i="8"/>
  <c r="A25" i="8"/>
  <c r="A26" i="8"/>
  <c r="A27" i="8"/>
  <c r="F27" i="8"/>
  <c r="A28" i="8"/>
  <c r="A29" i="8"/>
  <c r="A30" i="8"/>
  <c r="A31" i="8"/>
  <c r="A32" i="8"/>
  <c r="F32" i="8"/>
  <c r="I32" i="8"/>
  <c r="J32" i="8"/>
  <c r="K32" i="8"/>
  <c r="M32" i="8"/>
  <c r="N32" i="8"/>
  <c r="O32" i="8"/>
  <c r="A33" i="8"/>
  <c r="A34" i="8"/>
  <c r="A35" i="8"/>
  <c r="A36" i="8"/>
  <c r="A37" i="8"/>
  <c r="F37" i="8"/>
  <c r="A38" i="8"/>
  <c r="H38" i="8"/>
  <c r="I38" i="8"/>
  <c r="K38" i="8"/>
  <c r="K42" i="8" s="1"/>
  <c r="L38" i="8"/>
  <c r="AV65" i="15" s="1"/>
  <c r="M38" i="8"/>
  <c r="N38" i="8"/>
  <c r="O38" i="8"/>
  <c r="AY65" i="15" s="1"/>
  <c r="P38" i="8"/>
  <c r="A39" i="8"/>
  <c r="A41" i="8"/>
  <c r="A42" i="8"/>
  <c r="AN69" i="14"/>
  <c r="F42" i="8"/>
  <c r="C4" i="6"/>
  <c r="F5" i="2"/>
  <c r="U22" i="15" s="1"/>
  <c r="U23" i="14"/>
  <c r="A13" i="6"/>
  <c r="A14" i="6"/>
  <c r="A15" i="6"/>
  <c r="A16" i="6"/>
  <c r="J16" i="6"/>
  <c r="A17" i="6"/>
  <c r="A18" i="6"/>
  <c r="A19" i="6"/>
  <c r="A20" i="6"/>
  <c r="A21" i="6"/>
  <c r="J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H20" i="2"/>
  <c r="I20" i="2"/>
  <c r="D30" i="2"/>
  <c r="E30" i="2" s="1"/>
  <c r="O3" i="13"/>
  <c r="T13" i="13"/>
  <c r="S10" i="13"/>
  <c r="S11" i="13"/>
  <c r="T14" i="13"/>
  <c r="U21" i="13"/>
  <c r="U22" i="13"/>
  <c r="U24" i="13"/>
  <c r="U25" i="13"/>
  <c r="U27" i="13"/>
  <c r="T35" i="13"/>
  <c r="U35" i="13" s="1"/>
  <c r="T37" i="13"/>
  <c r="AC50" i="13"/>
  <c r="AD50" i="13"/>
  <c r="AE50" i="13"/>
  <c r="AG50" i="13"/>
  <c r="AI50" i="13"/>
  <c r="AJ50" i="13"/>
  <c r="AK50" i="13"/>
  <c r="AA55" i="13"/>
  <c r="AA56" i="13"/>
  <c r="AA57" i="13"/>
  <c r="AA58" i="13"/>
  <c r="BA58" i="13"/>
  <c r="AO59" i="13"/>
  <c r="AP59" i="13"/>
  <c r="AQ59" i="13"/>
  <c r="AS59" i="13"/>
  <c r="AU59" i="13"/>
  <c r="AV59" i="13"/>
  <c r="AW59" i="13"/>
  <c r="AX59" i="13"/>
  <c r="AY59" i="13"/>
  <c r="AZ59" i="13"/>
  <c r="AM65" i="13"/>
  <c r="AM66" i="13"/>
  <c r="AN66" i="13"/>
  <c r="AS66" i="13" s="1"/>
  <c r="AU66" i="13" s="1"/>
  <c r="AM67" i="13"/>
  <c r="AM68" i="13"/>
  <c r="O3" i="12"/>
  <c r="T13" i="12"/>
  <c r="U13" i="12" s="1"/>
  <c r="B8" i="12" s="1"/>
  <c r="S10" i="12"/>
  <c r="S11" i="12"/>
  <c r="T14" i="12"/>
  <c r="S21" i="12"/>
  <c r="U21" i="12"/>
  <c r="W21" i="12"/>
  <c r="S22" i="12"/>
  <c r="U22" i="12"/>
  <c r="S23" i="12"/>
  <c r="U23" i="12"/>
  <c r="W23" i="12" s="1"/>
  <c r="S24" i="12"/>
  <c r="U24" i="12"/>
  <c r="W24" i="12"/>
  <c r="S25" i="12"/>
  <c r="U25" i="12"/>
  <c r="W25" i="12"/>
  <c r="U27" i="12"/>
  <c r="T35" i="12"/>
  <c r="U35" i="12" s="1"/>
  <c r="T37" i="12"/>
  <c r="AC50" i="12"/>
  <c r="AD50" i="12"/>
  <c r="AE50" i="12"/>
  <c r="AG50" i="12"/>
  <c r="AI50" i="12"/>
  <c r="AJ50" i="12"/>
  <c r="AK50" i="12"/>
  <c r="AA55" i="12"/>
  <c r="AB55" i="12" s="1"/>
  <c r="AA56" i="12"/>
  <c r="AB56" i="12"/>
  <c r="AA57" i="12"/>
  <c r="AA58" i="12"/>
  <c r="BA58" i="12"/>
  <c r="AO59" i="12"/>
  <c r="AP59" i="12"/>
  <c r="AQ59" i="12"/>
  <c r="AS59" i="12"/>
  <c r="AU59" i="12"/>
  <c r="AV59" i="12"/>
  <c r="AW59" i="12"/>
  <c r="AX59" i="12"/>
  <c r="AY59" i="12"/>
  <c r="AZ59" i="12"/>
  <c r="AM65" i="12"/>
  <c r="AN65" i="12"/>
  <c r="AZ65" i="12"/>
  <c r="AM66" i="12"/>
  <c r="AM67" i="12"/>
  <c r="AN67" i="12"/>
  <c r="AV67" i="12"/>
  <c r="AM68" i="12"/>
  <c r="AN68" i="12" s="1"/>
  <c r="O3" i="11"/>
  <c r="T13" i="11"/>
  <c r="S10" i="11"/>
  <c r="S11" i="11"/>
  <c r="T14" i="11"/>
  <c r="S21" i="11"/>
  <c r="U21" i="11"/>
  <c r="S22" i="11"/>
  <c r="V22" i="11" s="1"/>
  <c r="U22" i="11"/>
  <c r="S23" i="11"/>
  <c r="V23" i="11" s="1"/>
  <c r="U23" i="11"/>
  <c r="S24" i="11"/>
  <c r="V24" i="11" s="1"/>
  <c r="U24" i="11"/>
  <c r="S25" i="11"/>
  <c r="V25" i="11" s="1"/>
  <c r="U25" i="11"/>
  <c r="U27" i="11"/>
  <c r="T35" i="11"/>
  <c r="T37" i="11"/>
  <c r="AC50" i="11"/>
  <c r="AD50" i="11"/>
  <c r="AE50" i="11"/>
  <c r="AG50" i="11"/>
  <c r="AI50" i="11"/>
  <c r="AJ50" i="11"/>
  <c r="AK50" i="11"/>
  <c r="AA55" i="11"/>
  <c r="AB55" i="11" s="1"/>
  <c r="AA56" i="11"/>
  <c r="AB56" i="11" s="1"/>
  <c r="AA57" i="11"/>
  <c r="AB57" i="11" s="1"/>
  <c r="AA58" i="11"/>
  <c r="AB58" i="11" s="1"/>
  <c r="AA59" i="11"/>
  <c r="AB59" i="11" s="1"/>
  <c r="O3" i="10"/>
  <c r="T13" i="10"/>
  <c r="S10" i="10"/>
  <c r="S11" i="10"/>
  <c r="T14" i="10"/>
  <c r="S21" i="10"/>
  <c r="U21" i="10"/>
  <c r="S22" i="10"/>
  <c r="U22" i="10"/>
  <c r="S23" i="10"/>
  <c r="U23" i="10"/>
  <c r="W23" i="10"/>
  <c r="S24" i="10"/>
  <c r="U24" i="10"/>
  <c r="S25" i="10"/>
  <c r="U25" i="10"/>
  <c r="U27" i="10"/>
  <c r="T35" i="10"/>
  <c r="T37" i="10"/>
  <c r="AC50" i="10"/>
  <c r="AD50" i="10"/>
  <c r="AE50" i="10"/>
  <c r="AG50" i="10"/>
  <c r="AI50" i="10"/>
  <c r="AJ50" i="10"/>
  <c r="AK50" i="10"/>
  <c r="AA55" i="10"/>
  <c r="AB55" i="10"/>
  <c r="AA56" i="10"/>
  <c r="AB56" i="10"/>
  <c r="AA57" i="10"/>
  <c r="AB57" i="10"/>
  <c r="AA58" i="10"/>
  <c r="AB58" i="10"/>
  <c r="BA58" i="10"/>
  <c r="AA59" i="10"/>
  <c r="AB59" i="10" s="1"/>
  <c r="AO59" i="10"/>
  <c r="AP59" i="10"/>
  <c r="AQ59" i="10"/>
  <c r="AS59" i="10"/>
  <c r="AU59" i="10"/>
  <c r="AV59" i="10"/>
  <c r="AW59" i="10"/>
  <c r="AX59" i="10"/>
  <c r="AY59" i="10"/>
  <c r="AZ59" i="10"/>
  <c r="AM65" i="10"/>
  <c r="AN65" i="10" s="1"/>
  <c r="AM66" i="10"/>
  <c r="AN66" i="10"/>
  <c r="AM67" i="10"/>
  <c r="AN67" i="10"/>
  <c r="AM68" i="10"/>
  <c r="AN68" i="10"/>
  <c r="O3" i="4"/>
  <c r="T13" i="4"/>
  <c r="S10" i="4"/>
  <c r="S11" i="4"/>
  <c r="T14" i="4"/>
  <c r="S21" i="4"/>
  <c r="U21" i="4"/>
  <c r="S22" i="4"/>
  <c r="U22" i="4"/>
  <c r="S23" i="4"/>
  <c r="U23" i="4"/>
  <c r="S24" i="4"/>
  <c r="U24" i="4"/>
  <c r="W24" i="4" s="1"/>
  <c r="S25" i="4"/>
  <c r="U25" i="4"/>
  <c r="U27" i="4"/>
  <c r="T35" i="4"/>
  <c r="T37" i="4"/>
  <c r="AC50" i="4"/>
  <c r="AD50" i="4"/>
  <c r="AE50" i="4"/>
  <c r="AG50" i="4"/>
  <c r="AI50" i="4"/>
  <c r="AJ50" i="4"/>
  <c r="AK50" i="4"/>
  <c r="AA55" i="4"/>
  <c r="AB55" i="4" s="1"/>
  <c r="AA56" i="4"/>
  <c r="AB56" i="4"/>
  <c r="AA57" i="4"/>
  <c r="AB57" i="4"/>
  <c r="AA58" i="4"/>
  <c r="AB58" i="4"/>
  <c r="BA58" i="4"/>
  <c r="AO59" i="4"/>
  <c r="AP59" i="4"/>
  <c r="AQ59" i="4"/>
  <c r="AS59" i="4"/>
  <c r="AU59" i="4"/>
  <c r="AV59" i="4"/>
  <c r="AW59" i="4"/>
  <c r="AX59" i="4"/>
  <c r="AY59" i="4"/>
  <c r="AZ59" i="4"/>
  <c r="AM65" i="4"/>
  <c r="AN65" i="4" s="1"/>
  <c r="AM66" i="4"/>
  <c r="AN66" i="4"/>
  <c r="AO66" i="4" s="1"/>
  <c r="AM67" i="4"/>
  <c r="AN67" i="4" s="1"/>
  <c r="AM68" i="4"/>
  <c r="AN68" i="4"/>
  <c r="AP68" i="4" s="1"/>
  <c r="V23" i="12"/>
  <c r="W23" i="14"/>
  <c r="AQ66" i="4"/>
  <c r="AD58" i="4"/>
  <c r="AG56" i="4"/>
  <c r="AI56" i="4" s="1"/>
  <c r="AY67" i="12"/>
  <c r="AN68" i="13"/>
  <c r="AV68" i="13" s="1"/>
  <c r="AB57" i="13"/>
  <c r="AJ56" i="4"/>
  <c r="AE56" i="4"/>
  <c r="AK56" i="12"/>
  <c r="AB55" i="14"/>
  <c r="AB57" i="12"/>
  <c r="AN65" i="15"/>
  <c r="AN66" i="15"/>
  <c r="AN68" i="15"/>
  <c r="AN68" i="14"/>
  <c r="AN65" i="13"/>
  <c r="AN67" i="13"/>
  <c r="AN69" i="15"/>
  <c r="AN67" i="14"/>
  <c r="AQ67" i="12"/>
  <c r="AS67" i="12"/>
  <c r="AU67" i="12" s="1"/>
  <c r="AW67" i="12"/>
  <c r="AX67" i="12"/>
  <c r="AO67" i="12"/>
  <c r="AZ67" i="12"/>
  <c r="AP66" i="13"/>
  <c r="AY66" i="13"/>
  <c r="AO66" i="13"/>
  <c r="AX66" i="13"/>
  <c r="AZ66" i="13"/>
  <c r="AQ66" i="13"/>
  <c r="AV66" i="13"/>
  <c r="AP67" i="12"/>
  <c r="AO65" i="12"/>
  <c r="AY65" i="12"/>
  <c r="AY69" i="12" s="1"/>
  <c r="AS65" i="12"/>
  <c r="AU65" i="12" s="1"/>
  <c r="AU69" i="12" s="1"/>
  <c r="AX65" i="12"/>
  <c r="AX69" i="12" s="1"/>
  <c r="AP65" i="12"/>
  <c r="AV65" i="12"/>
  <c r="AV69" i="12" s="1"/>
  <c r="AW66" i="13"/>
  <c r="J38" i="8"/>
  <c r="J42" i="8" s="1"/>
  <c r="U14" i="10"/>
  <c r="V34" i="10" s="1"/>
  <c r="AN66" i="12"/>
  <c r="AB55" i="13"/>
  <c r="AE55" i="13" s="1"/>
  <c r="W27" i="12"/>
  <c r="S29" i="12" s="1"/>
  <c r="AB56" i="13"/>
  <c r="AE56" i="13"/>
  <c r="AB58" i="12"/>
  <c r="AB57" i="14"/>
  <c r="AG57" i="14" s="1"/>
  <c r="U14" i="12"/>
  <c r="V34" i="12" s="1"/>
  <c r="U23" i="13"/>
  <c r="H11" i="6"/>
  <c r="AB56" i="14"/>
  <c r="AG56" i="14" s="1"/>
  <c r="AI56" i="14" s="1"/>
  <c r="E27" i="2"/>
  <c r="T14" i="15"/>
  <c r="U14" i="15"/>
  <c r="V34" i="15" s="1"/>
  <c r="S23" i="15"/>
  <c r="V23" i="15"/>
  <c r="S24" i="15"/>
  <c r="V24" i="15"/>
  <c r="S25" i="15"/>
  <c r="V25" i="15"/>
  <c r="U27" i="15"/>
  <c r="W27" i="15"/>
  <c r="S29" i="15" s="1"/>
  <c r="T37" i="15"/>
  <c r="T13" i="14"/>
  <c r="S21" i="14"/>
  <c r="S22" i="14"/>
  <c r="V22" i="14" s="1"/>
  <c r="S21" i="13"/>
  <c r="S22" i="13"/>
  <c r="S23" i="13"/>
  <c r="S24" i="13"/>
  <c r="V24" i="13"/>
  <c r="S25" i="13"/>
  <c r="V25" i="13"/>
  <c r="S22" i="15"/>
  <c r="V22" i="15"/>
  <c r="U23" i="15"/>
  <c r="W23" i="15"/>
  <c r="U24" i="15"/>
  <c r="W24" i="15"/>
  <c r="U25" i="15"/>
  <c r="W25" i="15"/>
  <c r="T35" i="15"/>
  <c r="U35" i="15" s="1"/>
  <c r="K11" i="6"/>
  <c r="U21" i="14"/>
  <c r="W21" i="14" s="1"/>
  <c r="U22" i="14"/>
  <c r="W22" i="14"/>
  <c r="S23" i="14"/>
  <c r="V23" i="14" s="1"/>
  <c r="T35" i="14"/>
  <c r="U35" i="14" s="1"/>
  <c r="T37" i="14"/>
  <c r="T13" i="15"/>
  <c r="U21" i="15"/>
  <c r="I11" i="6"/>
  <c r="I37" i="6"/>
  <c r="I36" i="6" s="1"/>
  <c r="J37" i="6"/>
  <c r="J36" i="6" s="1"/>
  <c r="T14" i="14"/>
  <c r="U14" i="14" s="1"/>
  <c r="V34" i="14" s="1"/>
  <c r="U24" i="14"/>
  <c r="W24" i="14" s="1"/>
  <c r="U25" i="14"/>
  <c r="W25" i="14" s="1"/>
  <c r="AN65" i="14"/>
  <c r="AX65" i="14" s="1"/>
  <c r="S24" i="14"/>
  <c r="V24" i="14" s="1"/>
  <c r="AN67" i="15"/>
  <c r="AB56" i="15"/>
  <c r="S21" i="15"/>
  <c r="U13" i="13"/>
  <c r="U34" i="13" s="1"/>
  <c r="AB55" i="15"/>
  <c r="AN66" i="14"/>
  <c r="E19" i="2"/>
  <c r="AF56" i="15"/>
  <c r="AB58" i="14"/>
  <c r="AK58" i="14" s="1"/>
  <c r="AB57" i="15"/>
  <c r="AD56" i="14"/>
  <c r="AE57" i="14"/>
  <c r="AD57" i="14"/>
  <c r="AD58" i="12"/>
  <c r="AK58" i="12"/>
  <c r="AC58" i="12"/>
  <c r="AX65" i="13"/>
  <c r="AQ65" i="13"/>
  <c r="AS65" i="13"/>
  <c r="AU65" i="13" s="1"/>
  <c r="AW65" i="13"/>
  <c r="AO65" i="13"/>
  <c r="AY65" i="13"/>
  <c r="AV65" i="13"/>
  <c r="AZ65" i="13"/>
  <c r="AP65" i="13"/>
  <c r="AO65" i="15"/>
  <c r="AZ65" i="15"/>
  <c r="AW65" i="15"/>
  <c r="AX65" i="15"/>
  <c r="AP65" i="15"/>
  <c r="AS65" i="15"/>
  <c r="AS69" i="15" s="1"/>
  <c r="U37" i="14"/>
  <c r="AW66" i="14"/>
  <c r="AV66" i="14"/>
  <c r="AP66" i="14"/>
  <c r="AZ66" i="14"/>
  <c r="AS66" i="14"/>
  <c r="AU66" i="14" s="1"/>
  <c r="AX66" i="14"/>
  <c r="AQ66" i="14"/>
  <c r="AY66" i="14"/>
  <c r="AO66" i="14"/>
  <c r="I42" i="6"/>
  <c r="I41" i="6" s="1"/>
  <c r="V21" i="14"/>
  <c r="AC56" i="13"/>
  <c r="AK56" i="13"/>
  <c r="AV66" i="12"/>
  <c r="AZ66" i="12"/>
  <c r="AS66" i="12"/>
  <c r="AX66" i="12"/>
  <c r="AO66" i="12"/>
  <c r="AP66" i="12"/>
  <c r="AW66" i="12"/>
  <c r="AQ66" i="12"/>
  <c r="AY66" i="12"/>
  <c r="H22" i="6"/>
  <c r="H21" i="6" s="1"/>
  <c r="AE58" i="12" s="1"/>
  <c r="AC55" i="13"/>
  <c r="AD55" i="13"/>
  <c r="AG55" i="13"/>
  <c r="AI55" i="13" s="1"/>
  <c r="AJ57" i="12"/>
  <c r="AD57" i="12"/>
  <c r="AK57" i="12"/>
  <c r="AE57" i="12"/>
  <c r="AC57" i="12"/>
  <c r="AG57" i="12"/>
  <c r="AI57" i="12" s="1"/>
  <c r="AE57" i="13"/>
  <c r="AD57" i="13"/>
  <c r="AC57" i="13"/>
  <c r="AJ57" i="13"/>
  <c r="AG57" i="13"/>
  <c r="AI57" i="13" s="1"/>
  <c r="AK57" i="13"/>
  <c r="E20" i="2"/>
  <c r="V22" i="4" s="1"/>
  <c r="J42" i="6"/>
  <c r="J41" i="6" s="1"/>
  <c r="J32" i="6"/>
  <c r="K37" i="6"/>
  <c r="K42" i="6"/>
  <c r="K32" i="6"/>
  <c r="AP66" i="15"/>
  <c r="AO66" i="15"/>
  <c r="AD55" i="14"/>
  <c r="AG55" i="14"/>
  <c r="AI55" i="14" s="1"/>
  <c r="AK55" i="14"/>
  <c r="AE55" i="14"/>
  <c r="AC55" i="14"/>
  <c r="AJ55" i="14"/>
  <c r="AS68" i="13"/>
  <c r="AU68" i="13" s="1"/>
  <c r="AO68" i="13"/>
  <c r="V21" i="15"/>
  <c r="U37" i="12"/>
  <c r="W21" i="10"/>
  <c r="W22" i="10"/>
  <c r="W21" i="11"/>
  <c r="W22" i="11"/>
  <c r="AK56" i="10"/>
  <c r="AJ56" i="10"/>
  <c r="AE56" i="10"/>
  <c r="AC56" i="10"/>
  <c r="AP67" i="10"/>
  <c r="AX67" i="10"/>
  <c r="AD55" i="10"/>
  <c r="AJ55" i="10"/>
  <c r="AV66" i="10"/>
  <c r="AS66" i="10"/>
  <c r="AU66" i="10" s="1"/>
  <c r="AW66" i="10"/>
  <c r="AY66" i="10"/>
  <c r="AD58" i="10"/>
  <c r="AC57" i="10"/>
  <c r="AG57" i="10"/>
  <c r="AI57" i="10" s="1"/>
  <c r="AD57" i="10"/>
  <c r="AJ57" i="10"/>
  <c r="V24" i="10"/>
  <c r="AX68" i="13"/>
  <c r="AW68" i="13"/>
  <c r="AY68" i="13"/>
  <c r="AZ68" i="13"/>
  <c r="AQ68" i="13"/>
  <c r="AP68" i="13"/>
  <c r="AV68" i="4"/>
  <c r="AW69" i="14"/>
  <c r="AX69" i="14"/>
  <c r="AZ65" i="14"/>
  <c r="AW65" i="14"/>
  <c r="AS65" i="14"/>
  <c r="AV67" i="10"/>
  <c r="AS66" i="4"/>
  <c r="AU66" i="4" s="1"/>
  <c r="AY66" i="4"/>
  <c r="AZ67" i="10"/>
  <c r="AP66" i="10"/>
  <c r="AQ67" i="10"/>
  <c r="AW65" i="12"/>
  <c r="AW69" i="12" s="1"/>
  <c r="I42" i="8"/>
  <c r="AP65" i="14"/>
  <c r="AY67" i="10"/>
  <c r="AQ65" i="14"/>
  <c r="AO65" i="14"/>
  <c r="AO67" i="10"/>
  <c r="AZ66" i="4"/>
  <c r="AX66" i="4"/>
  <c r="AS67" i="10"/>
  <c r="AU67" i="10" s="1"/>
  <c r="AQ65" i="15"/>
  <c r="AQ69" i="15" s="1"/>
  <c r="AR65" i="15" s="1"/>
  <c r="AW67" i="10"/>
  <c r="AW66" i="4"/>
  <c r="AV66" i="4"/>
  <c r="AX68" i="4"/>
  <c r="AY68" i="4"/>
  <c r="AZ66" i="10"/>
  <c r="AO66" i="10"/>
  <c r="AQ66" i="10"/>
  <c r="AX66" i="10"/>
  <c r="AZ68" i="4"/>
  <c r="AO68" i="4"/>
  <c r="AQ65" i="12"/>
  <c r="AW68" i="4"/>
  <c r="AG56" i="10"/>
  <c r="AI56" i="10" s="1"/>
  <c r="AC56" i="12"/>
  <c r="AD57" i="4"/>
  <c r="AE57" i="10"/>
  <c r="K17" i="6"/>
  <c r="K27" i="6"/>
  <c r="AC58" i="10"/>
  <c r="AK57" i="14"/>
  <c r="AG55" i="10"/>
  <c r="AI55" i="10" s="1"/>
  <c r="AD56" i="10"/>
  <c r="AK57" i="10"/>
  <c r="AB58" i="15"/>
  <c r="AC58" i="4"/>
  <c r="AC56" i="4"/>
  <c r="AB58" i="13"/>
  <c r="AD58" i="13" s="1"/>
  <c r="AK56" i="4"/>
  <c r="AK55" i="10"/>
  <c r="AE55" i="10"/>
  <c r="AG56" i="13"/>
  <c r="AI56" i="13" s="1"/>
  <c r="AD56" i="13"/>
  <c r="AC57" i="14"/>
  <c r="AE56" i="14"/>
  <c r="AD56" i="12"/>
  <c r="AJ57" i="4"/>
  <c r="AK57" i="4"/>
  <c r="AK58" i="4"/>
  <c r="AG56" i="12"/>
  <c r="AI56" i="12" s="1"/>
  <c r="AJ56" i="12"/>
  <c r="AC57" i="4"/>
  <c r="AE57" i="4"/>
  <c r="AD58" i="14"/>
  <c r="AJ57" i="14"/>
  <c r="AE56" i="12"/>
  <c r="AD56" i="4"/>
  <c r="AG57" i="4"/>
  <c r="AI57" i="4" s="1"/>
  <c r="AC58" i="13"/>
  <c r="AC55" i="10"/>
  <c r="I18" i="2"/>
  <c r="I26" i="2"/>
  <c r="S29" i="13"/>
  <c r="V25" i="10"/>
  <c r="V23" i="10"/>
  <c r="V25" i="4"/>
  <c r="W25" i="10"/>
  <c r="V22" i="10"/>
  <c r="U13" i="4"/>
  <c r="U34" i="4" s="1"/>
  <c r="W22" i="12"/>
  <c r="W25" i="13"/>
  <c r="U14" i="13"/>
  <c r="V34" i="13" s="1"/>
  <c r="U35" i="4"/>
  <c r="W25" i="4"/>
  <c r="V24" i="4"/>
  <c r="V24" i="12"/>
  <c r="W24" i="13"/>
  <c r="H36" i="6"/>
  <c r="H42" i="6"/>
  <c r="H41" i="6" s="1"/>
  <c r="AE58" i="14" s="1"/>
  <c r="W24" i="10"/>
  <c r="V25" i="12"/>
  <c r="U14" i="4"/>
  <c r="V34" i="4" s="1"/>
  <c r="U13" i="10"/>
  <c r="B8" i="10" s="1"/>
  <c r="U13" i="11"/>
  <c r="B8" i="11" s="1"/>
  <c r="I22" i="6"/>
  <c r="I21" i="6" s="1"/>
  <c r="AG58" i="12" s="1"/>
  <c r="I17" i="6"/>
  <c r="I16" i="6" s="1"/>
  <c r="I32" i="6"/>
  <c r="I31" i="6" s="1"/>
  <c r="I27" i="6"/>
  <c r="I26" i="6" s="1"/>
  <c r="AG58" i="13" s="1"/>
  <c r="S29" i="11"/>
  <c r="AJ56" i="13"/>
  <c r="AJ56" i="14"/>
  <c r="AJ55" i="13"/>
  <c r="AC56" i="14"/>
  <c r="AK55" i="13"/>
  <c r="AC58" i="14"/>
  <c r="AK56" i="14"/>
  <c r="G30" i="2" l="1"/>
  <c r="I15" i="2"/>
  <c r="H15" i="2"/>
  <c r="U14" i="11"/>
  <c r="V34" i="11" s="1"/>
  <c r="AJ59" i="11"/>
  <c r="AD58" i="11"/>
  <c r="AC58" i="11"/>
  <c r="AK58" i="11"/>
  <c r="AJ57" i="11"/>
  <c r="AK57" i="11"/>
  <c r="AC57" i="11"/>
  <c r="AD57" i="11"/>
  <c r="AE57" i="11"/>
  <c r="AG57" i="11"/>
  <c r="AI57" i="11" s="1"/>
  <c r="AE58" i="11"/>
  <c r="U35" i="11"/>
  <c r="AY65" i="14"/>
  <c r="AU65" i="14"/>
  <c r="K31" i="6"/>
  <c r="AJ58" i="10" s="1"/>
  <c r="K16" i="6"/>
  <c r="AJ58" i="4" s="1"/>
  <c r="N32" i="6"/>
  <c r="J31" i="6"/>
  <c r="N31" i="6" s="1"/>
  <c r="G15" i="2"/>
  <c r="G16" i="2" s="1"/>
  <c r="V21" i="13" s="1"/>
  <c r="U37" i="11"/>
  <c r="H16" i="2"/>
  <c r="V21" i="10" s="1"/>
  <c r="E15" i="2"/>
  <c r="E26" i="2"/>
  <c r="E22" i="2"/>
  <c r="E40" i="2" s="1"/>
  <c r="G22" i="2"/>
  <c r="G40" i="2" s="1"/>
  <c r="I22" i="2"/>
  <c r="I35" i="2" s="1"/>
  <c r="H22" i="2"/>
  <c r="L42" i="8"/>
  <c r="AV69" i="14" s="1"/>
  <c r="AV65" i="14"/>
  <c r="O42" i="8"/>
  <c r="AY69" i="14" s="1"/>
  <c r="E18" i="2"/>
  <c r="H18" i="2"/>
  <c r="G23" i="2"/>
  <c r="G24" i="2" s="1"/>
  <c r="V23" i="13" s="1"/>
  <c r="AU68" i="4"/>
  <c r="G18" i="2"/>
  <c r="AJ59" i="10"/>
  <c r="AH57" i="10"/>
  <c r="AH56" i="4"/>
  <c r="AY65" i="4"/>
  <c r="AS65" i="4"/>
  <c r="AU65" i="4" s="1"/>
  <c r="AX65" i="4"/>
  <c r="AV65" i="4"/>
  <c r="AZ65" i="4"/>
  <c r="AO65" i="4"/>
  <c r="AQ65" i="4"/>
  <c r="AP65" i="4"/>
  <c r="AW65" i="4"/>
  <c r="AE55" i="12"/>
  <c r="AE59" i="12" s="1"/>
  <c r="AF58" i="12" s="1"/>
  <c r="AD55" i="12"/>
  <c r="AC55" i="12"/>
  <c r="AJ55" i="12"/>
  <c r="AK55" i="12"/>
  <c r="AG55" i="12"/>
  <c r="AI55" i="12" s="1"/>
  <c r="AQ65" i="10"/>
  <c r="AP65" i="10"/>
  <c r="AY65" i="10"/>
  <c r="AV65" i="10"/>
  <c r="AX65" i="10"/>
  <c r="AW65" i="10"/>
  <c r="AZ65" i="10"/>
  <c r="AS65" i="10"/>
  <c r="AU65" i="10" s="1"/>
  <c r="AO65" i="10"/>
  <c r="AD55" i="11"/>
  <c r="AJ55" i="11"/>
  <c r="AG55" i="11"/>
  <c r="AI55" i="11" s="1"/>
  <c r="AK55" i="11"/>
  <c r="AE55" i="11"/>
  <c r="AC55" i="11"/>
  <c r="AS67" i="4"/>
  <c r="AU67" i="4" s="1"/>
  <c r="AP67" i="4"/>
  <c r="AV67" i="4"/>
  <c r="AX67" i="4"/>
  <c r="AQ67" i="4"/>
  <c r="AY67" i="4"/>
  <c r="AO67" i="4"/>
  <c r="AW67" i="4"/>
  <c r="AZ67" i="4"/>
  <c r="AW68" i="10"/>
  <c r="AY68" i="10"/>
  <c r="AS68" i="10"/>
  <c r="AU68" i="10" s="1"/>
  <c r="AV68" i="10"/>
  <c r="AY68" i="12"/>
  <c r="AS68" i="12"/>
  <c r="AU68" i="12" s="1"/>
  <c r="AX68" i="12"/>
  <c r="AQ68" i="12"/>
  <c r="AQ69" i="12" s="1"/>
  <c r="AR67" i="12" s="1"/>
  <c r="AO68" i="12"/>
  <c r="AP68" i="12"/>
  <c r="AV68" i="12"/>
  <c r="AZ68" i="12"/>
  <c r="AW68" i="12"/>
  <c r="AE55" i="4"/>
  <c r="AJ55" i="4"/>
  <c r="AK55" i="4"/>
  <c r="AG55" i="4"/>
  <c r="AI55" i="4" s="1"/>
  <c r="AC55" i="4"/>
  <c r="AD55" i="4"/>
  <c r="AJ56" i="11"/>
  <c r="AE56" i="11"/>
  <c r="AK56" i="11"/>
  <c r="AD56" i="11"/>
  <c r="AG56" i="11"/>
  <c r="AI56" i="11" s="1"/>
  <c r="AC56" i="11"/>
  <c r="V23" i="4"/>
  <c r="S25" i="14"/>
  <c r="V25" i="14" s="1"/>
  <c r="U27" i="14"/>
  <c r="W27" i="14" s="1"/>
  <c r="S29" i="14" s="1"/>
  <c r="AK58" i="13"/>
  <c r="AH56" i="14"/>
  <c r="AP66" i="4"/>
  <c r="W25" i="11"/>
  <c r="W24" i="11"/>
  <c r="W23" i="11"/>
  <c r="D5" i="14"/>
  <c r="AT66" i="13"/>
  <c r="AT66" i="4"/>
  <c r="AH56" i="13"/>
  <c r="AT66" i="14"/>
  <c r="AT68" i="4"/>
  <c r="AT65" i="14"/>
  <c r="AH57" i="12"/>
  <c r="U34" i="10"/>
  <c r="AH56" i="12"/>
  <c r="AZ68" i="10"/>
  <c r="AT67" i="10"/>
  <c r="AQ68" i="10"/>
  <c r="AX68" i="10"/>
  <c r="AQ69" i="13"/>
  <c r="AO68" i="10"/>
  <c r="AQ69" i="14"/>
  <c r="AR65" i="14" s="1"/>
  <c r="AT65" i="15"/>
  <c r="AT69" i="15" s="1"/>
  <c r="B8" i="4"/>
  <c r="AS69" i="13"/>
  <c r="AV69" i="13" s="1"/>
  <c r="AT68" i="13"/>
  <c r="AU65" i="15"/>
  <c r="AU69" i="15" s="1"/>
  <c r="AH55" i="10"/>
  <c r="AG58" i="4"/>
  <c r="AI58" i="4" s="1"/>
  <c r="AG58" i="14"/>
  <c r="AI58" i="14" s="1"/>
  <c r="K41" i="6"/>
  <c r="AJ58" i="14" s="1"/>
  <c r="AH58" i="12"/>
  <c r="AH57" i="4"/>
  <c r="U34" i="11"/>
  <c r="AS69" i="14"/>
  <c r="AX73" i="14" s="1"/>
  <c r="AT65" i="13"/>
  <c r="AT66" i="10"/>
  <c r="AT66" i="12"/>
  <c r="AE59" i="14"/>
  <c r="AF55" i="14" s="1"/>
  <c r="AF59" i="14" s="1"/>
  <c r="G35" i="2"/>
  <c r="AI58" i="13"/>
  <c r="AI59" i="13" s="1"/>
  <c r="AG59" i="13"/>
  <c r="AG58" i="11"/>
  <c r="K36" i="6"/>
  <c r="AJ58" i="11" s="1"/>
  <c r="AG58" i="10"/>
  <c r="K26" i="6"/>
  <c r="AJ58" i="13" s="1"/>
  <c r="AJ59" i="13" s="1"/>
  <c r="G36" i="2"/>
  <c r="G20" i="2"/>
  <c r="V22" i="13" s="1"/>
  <c r="I36" i="2"/>
  <c r="I16" i="2"/>
  <c r="V21" i="11" s="1"/>
  <c r="K21" i="6"/>
  <c r="AJ58" i="12" s="1"/>
  <c r="AH57" i="13"/>
  <c r="AT67" i="12"/>
  <c r="AV69" i="15"/>
  <c r="AH56" i="10"/>
  <c r="U34" i="12"/>
  <c r="AH55" i="14"/>
  <c r="B8" i="13"/>
  <c r="AH55" i="13"/>
  <c r="AI58" i="12"/>
  <c r="AI57" i="14"/>
  <c r="AR66" i="15"/>
  <c r="AR69" i="15" s="1"/>
  <c r="AS69" i="12"/>
  <c r="AX69" i="15"/>
  <c r="AY69" i="15"/>
  <c r="AW69" i="15"/>
  <c r="AT65" i="12"/>
  <c r="AT69" i="12" s="1"/>
  <c r="AH57" i="14"/>
  <c r="AW73" i="15"/>
  <c r="AV73" i="15"/>
  <c r="AX73" i="15"/>
  <c r="AY73" i="15"/>
  <c r="AU66" i="12"/>
  <c r="AH57" i="11" l="1"/>
  <c r="E36" i="2"/>
  <c r="AI58" i="10"/>
  <c r="E16" i="2"/>
  <c r="V21" i="4" s="1"/>
  <c r="E35" i="2"/>
  <c r="E17" i="2" s="1"/>
  <c r="W21" i="4" s="1"/>
  <c r="G41" i="2"/>
  <c r="U37" i="13" s="1"/>
  <c r="H27" i="6"/>
  <c r="H26" i="6" s="1"/>
  <c r="AE58" i="13" s="1"/>
  <c r="W27" i="4"/>
  <c r="S29" i="4" s="1"/>
  <c r="H40" i="2"/>
  <c r="H32" i="6" s="1"/>
  <c r="H36" i="2"/>
  <c r="L36" i="2" s="1"/>
  <c r="AG59" i="12"/>
  <c r="AT68" i="10"/>
  <c r="AT67" i="4"/>
  <c r="AI59" i="12"/>
  <c r="AJ59" i="12"/>
  <c r="H35" i="2"/>
  <c r="AI59" i="4"/>
  <c r="AQ69" i="4"/>
  <c r="AR68" i="4" s="1"/>
  <c r="AH55" i="11"/>
  <c r="AQ69" i="10"/>
  <c r="AR65" i="10" s="1"/>
  <c r="AR66" i="14"/>
  <c r="AR69" i="14" s="1"/>
  <c r="AS69" i="10"/>
  <c r="AY69" i="10" s="1"/>
  <c r="AT65" i="10"/>
  <c r="AT68" i="12"/>
  <c r="AE59" i="11"/>
  <c r="AF56" i="11" s="1"/>
  <c r="AH55" i="12"/>
  <c r="AH59" i="12" s="1"/>
  <c r="AH56" i="11"/>
  <c r="AH55" i="4"/>
  <c r="AG59" i="4"/>
  <c r="AS69" i="4"/>
  <c r="AV69" i="4" s="1"/>
  <c r="AT65" i="4"/>
  <c r="AT69" i="13"/>
  <c r="AR68" i="13"/>
  <c r="AW69" i="13"/>
  <c r="AR65" i="13"/>
  <c r="AR66" i="13"/>
  <c r="AU69" i="13"/>
  <c r="AX69" i="13"/>
  <c r="AU69" i="14"/>
  <c r="AY69" i="13"/>
  <c r="AI59" i="14"/>
  <c r="AG59" i="14"/>
  <c r="AJ59" i="14"/>
  <c r="AH58" i="14"/>
  <c r="AH59" i="14" s="1"/>
  <c r="AF55" i="12"/>
  <c r="AF59" i="12" s="1"/>
  <c r="AJ59" i="4"/>
  <c r="AF57" i="12"/>
  <c r="AF58" i="14"/>
  <c r="AF56" i="12"/>
  <c r="AY73" i="14"/>
  <c r="AT69" i="14"/>
  <c r="AV73" i="14"/>
  <c r="AG59" i="10"/>
  <c r="AI59" i="10" s="1"/>
  <c r="AW73" i="14"/>
  <c r="AI58" i="11"/>
  <c r="AG59" i="11"/>
  <c r="AI59" i="11" s="1"/>
  <c r="AF56" i="14"/>
  <c r="AF57" i="14"/>
  <c r="G25" i="2"/>
  <c r="W23" i="13" s="1"/>
  <c r="G21" i="2"/>
  <c r="W22" i="13" s="1"/>
  <c r="AH58" i="11"/>
  <c r="G17" i="2"/>
  <c r="W21" i="13" s="1"/>
  <c r="AR65" i="12"/>
  <c r="AR66" i="12"/>
  <c r="AR68" i="12"/>
  <c r="E21" i="2" l="1"/>
  <c r="W22" i="4" s="1"/>
  <c r="E25" i="2"/>
  <c r="W23" i="4" s="1"/>
  <c r="H17" i="6"/>
  <c r="H16" i="6" s="1"/>
  <c r="AE58" i="4" s="1"/>
  <c r="AE59" i="4" s="1"/>
  <c r="AF56" i="4" s="1"/>
  <c r="E41" i="2"/>
  <c r="U37" i="4" s="1"/>
  <c r="AE59" i="13"/>
  <c r="AH58" i="13"/>
  <c r="AH59" i="13" s="1"/>
  <c r="H31" i="6"/>
  <c r="AE58" i="10" s="1"/>
  <c r="AE59" i="10" s="1"/>
  <c r="AF55" i="10" s="1"/>
  <c r="H41" i="2"/>
  <c r="U37" i="10" s="1"/>
  <c r="L41" i="2"/>
  <c r="L44" i="2"/>
  <c r="AR68" i="10"/>
  <c r="AU69" i="4"/>
  <c r="AT69" i="4"/>
  <c r="AR65" i="4"/>
  <c r="AR66" i="4"/>
  <c r="AR67" i="4"/>
  <c r="AF55" i="11"/>
  <c r="AF57" i="11"/>
  <c r="AV69" i="10"/>
  <c r="AF58" i="11"/>
  <c r="AX69" i="10"/>
  <c r="AU69" i="10"/>
  <c r="AH59" i="11"/>
  <c r="AT69" i="10"/>
  <c r="AW69" i="10"/>
  <c r="AR67" i="10"/>
  <c r="AR66" i="10"/>
  <c r="AY69" i="4"/>
  <c r="AX69" i="4"/>
  <c r="AW69" i="4"/>
  <c r="AR69" i="13"/>
  <c r="AR69" i="12"/>
  <c r="AH58" i="4" l="1"/>
  <c r="AH59" i="4" s="1"/>
  <c r="AF57" i="13"/>
  <c r="AF58" i="13"/>
  <c r="AF55" i="13"/>
  <c r="AF56" i="13"/>
  <c r="AF55" i="4"/>
  <c r="AF57" i="4"/>
  <c r="AF58" i="4"/>
  <c r="AF56" i="10"/>
  <c r="AF58" i="10"/>
  <c r="AF57" i="10"/>
  <c r="AH58" i="10"/>
  <c r="AH59" i="10" s="1"/>
  <c r="V35" i="13"/>
  <c r="V35" i="15"/>
  <c r="V35" i="14"/>
  <c r="V35" i="10"/>
  <c r="V35" i="12"/>
  <c r="V35" i="11"/>
  <c r="V35" i="4"/>
  <c r="V37" i="12"/>
  <c r="V37" i="10"/>
  <c r="V37" i="4"/>
  <c r="V37" i="11"/>
  <c r="V37" i="13"/>
  <c r="V37" i="14"/>
  <c r="AR69" i="4"/>
  <c r="AF59" i="11"/>
  <c r="AR69" i="10"/>
  <c r="AF59" i="13" l="1"/>
  <c r="AF59" i="4"/>
  <c r="AF59" i="10"/>
  <c r="R5" i="4" l="1"/>
  <c r="K5" i="4" l="1"/>
  <c r="R5" i="10"/>
  <c r="K5" i="10" l="1"/>
  <c r="R5" i="11"/>
  <c r="K5" i="11" l="1"/>
  <c r="R5" i="12"/>
  <c r="K5" i="12" s="1"/>
  <c r="R5" i="13"/>
  <c r="K5" i="13" l="1"/>
  <c r="R5" i="15"/>
  <c r="R5" i="14"/>
  <c r="K5" i="14" s="1"/>
</calcChain>
</file>

<file path=xl/comments1.xml><?xml version="1.0" encoding="utf-8"?>
<comments xmlns="http://schemas.openxmlformats.org/spreadsheetml/2006/main">
  <authors>
    <author>AReid</author>
    <author>Sadie Baldwin</author>
  </authors>
  <commentList>
    <comment ref="W27" authorId="0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From model</t>
        </r>
      </text>
    </comment>
    <comment ref="AI50" authorId="1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 up for total rent</t>
        </r>
      </text>
    </comment>
    <comment ref="AU59" authorId="1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lookup for total rent</t>
        </r>
      </text>
    </comment>
  </commentList>
</comments>
</file>

<file path=xl/comments2.xml><?xml version="1.0" encoding="utf-8"?>
<comments xmlns="http://schemas.openxmlformats.org/spreadsheetml/2006/main">
  <authors>
    <author>AReid</author>
    <author>Sadie Baldwin</author>
  </authors>
  <commentList>
    <comment ref="W27" authorId="0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Value advised by Quentin Freeman, DLN IR</t>
        </r>
      </text>
    </comment>
    <comment ref="AI50" authorId="1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 up for total rent</t>
        </r>
      </text>
    </comment>
    <comment ref="AU59" authorId="1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lookup for total rent</t>
        </r>
      </text>
    </comment>
  </commentList>
</comments>
</file>

<file path=xl/comments3.xml><?xml version="1.0" encoding="utf-8"?>
<comments xmlns="http://schemas.openxmlformats.org/spreadsheetml/2006/main">
  <authors>
    <author>AReid</author>
    <author>Sadie Baldwin</author>
  </authors>
  <commentList>
    <comment ref="W27" authorId="0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From model</t>
        </r>
      </text>
    </comment>
    <comment ref="AI50" authorId="1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 up for total rent</t>
        </r>
      </text>
    </comment>
  </commentList>
</comments>
</file>

<file path=xl/comments4.xml><?xml version="1.0" encoding="utf-8"?>
<comments xmlns="http://schemas.openxmlformats.org/spreadsheetml/2006/main">
  <authors>
    <author>Sadie Baldwin</author>
  </authors>
  <commentList>
    <comment ref="V21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Manual (HK)
</t>
        </r>
      </text>
    </comment>
    <comment ref="V2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Maual HK</t>
        </r>
      </text>
    </comment>
    <comment ref="AI50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 up for total rent</t>
        </r>
      </text>
    </comment>
    <comment ref="AU59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lookup for total rent</t>
        </r>
      </text>
    </comment>
  </commentList>
</comments>
</file>

<file path=xl/comments5.xml><?xml version="1.0" encoding="utf-8"?>
<comments xmlns="http://schemas.openxmlformats.org/spreadsheetml/2006/main">
  <authors>
    <author>AReid</author>
    <author>Sadie Baldwin</author>
  </authors>
  <commentList>
    <comment ref="W27" authorId="0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From model</t>
        </r>
      </text>
    </comment>
    <comment ref="AI50" authorId="1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 up for total rent</t>
        </r>
      </text>
    </comment>
    <comment ref="AU59" authorId="1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lookup for total rent</t>
        </r>
      </text>
    </comment>
  </commentList>
</comments>
</file>

<file path=xl/comments6.xml><?xml version="1.0" encoding="utf-8"?>
<comments xmlns="http://schemas.openxmlformats.org/spreadsheetml/2006/main">
  <authors>
    <author>Sadie Baldwin</author>
  </authors>
  <commentList>
    <comment ref="AI50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 up for total rent</t>
        </r>
      </text>
    </comment>
    <comment ref="AU59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lookup for total rent</t>
        </r>
      </text>
    </comment>
  </commentList>
</comments>
</file>

<file path=xl/comments7.xml><?xml version="1.0" encoding="utf-8"?>
<comments xmlns="http://schemas.openxmlformats.org/spreadsheetml/2006/main">
  <authors>
    <author>AReid</author>
    <author>ocreasey</author>
  </authors>
  <commentList>
    <comment ref="H17" authorId="0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Interim Results Announcement 2015 - Note 4 p24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FY presentation p.85</t>
        </r>
      </text>
    </comment>
  </commentList>
</comments>
</file>

<file path=xl/comments8.xml><?xml version="1.0" encoding="utf-8"?>
<comments xmlns="http://schemas.openxmlformats.org/spreadsheetml/2006/main">
  <authors>
    <author>ocreasey</author>
    <author>AReid</author>
  </authors>
  <commentList>
    <comment ref="H13" authorId="0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Analyst estimate based on property list &amp; assumptions</t>
        </r>
      </text>
    </comment>
    <comment ref="I1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2015 BLND Major Holdings report @ 31/03/15. Apportioned for 50% ownership.</t>
        </r>
      </text>
    </comment>
    <comment ref="J1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2015 BLND Major Holdings report @ 31/03/15. Apportioned for 50% ownership. </t>
        </r>
      </text>
    </comment>
    <comment ref="K1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2015 BLND Major Holdings report @ 31/03/15.</t>
        </r>
      </text>
    </comment>
    <comment ref="J17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Gross Rental Income for offices per full year results presentation 2015</t>
        </r>
      </text>
    </comment>
    <comment ref="H2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Value per previous report increased by the IPD growth of 3.8% for the period. https://www.google.co.uk/url?sa=t&amp;rct=j&amp;q=&amp;esrc=s&amp;source=web&amp;cd=3&amp;cad=rja&amp;uact=8&amp;ved=0CCoQFjACahUKEwiM95iM26vIAhXH0hoKHWjBAfw&amp;url=http%3A%2F%2Findices.ipd.com%2FDefault.aspx%3FReportingService%3DUKPAS%26Frequency%3DQ%26Currency%3DGBP%26Culture%3Den-GB%26FileFormat%3Dpdf&amp;usg=AFQjCNF7stlwXrUEP8h84m_qF0JJb3R-bw&amp;sig2=0Wk8rYaDJOxza7sZEKKkog</t>
        </r>
      </text>
    </comment>
    <comment ref="I2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LAND website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LAND website</t>
        </r>
      </text>
    </comment>
    <comment ref="K2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LAND website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increased slightly (round figure) vs last report</t>
        </r>
      </text>
    </comment>
    <comment ref="J28" authorId="0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increased slightly (round figure) vs last report</t>
        </r>
      </text>
    </comment>
    <comment ref="H29" authorId="0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increased slightly (round figure) vs last report</t>
        </r>
      </text>
    </comment>
    <comment ref="J29" authorId="0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increased slightly (round figure) vs last report</t>
        </r>
      </text>
    </comment>
    <comment ref="H30" authorId="0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increased slightly (round figure) vs last report</t>
        </r>
      </text>
    </comment>
    <comment ref="J30" authorId="0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increased slightly (round figure) vs last report</t>
        </r>
      </text>
    </comment>
    <comment ref="I3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Per GPOR website</t>
        </r>
      </text>
    </comment>
    <comment ref="K33" authorId="1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Per GPOR website - inferred from available space section</t>
        </r>
      </text>
    </comment>
  </commentList>
</comments>
</file>

<file path=xl/comments9.xml><?xml version="1.0" encoding="utf-8"?>
<comments xmlns="http://schemas.openxmlformats.org/spreadsheetml/2006/main">
  <authors>
    <author>Sadie Baldwin</author>
    <author>ocreasey</author>
    <author>AReid</author>
    <author>Ben Richford</author>
  </authors>
  <commentList>
    <comment ref="I1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Pro-rata total development costs</t>
        </r>
      </text>
    </comment>
    <comment ref="J1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Total sf</t>
        </r>
      </text>
    </comment>
    <comment ref="K1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Pro-rata ERV
</t>
        </r>
      </text>
    </comment>
    <comment ref="L1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Pre-leasing</t>
        </r>
      </text>
    </comment>
    <comment ref="M1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Dev yield.
Avg. weighted by sq ft</t>
        </r>
      </text>
    </comment>
    <comment ref="N1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Exit initial yield</t>
        </r>
      </text>
    </comment>
    <comment ref="O12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Profit Margin</t>
        </r>
      </text>
    </comment>
    <comment ref="L13" authorId="1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Rhiannon at BL advised that office portion is un-let</t>
        </r>
      </text>
    </comment>
    <comment ref="L14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% is weighted by sqft</t>
        </r>
      </text>
    </comment>
    <comment ref="L23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L24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L28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L29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L30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L33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I34" authorId="1">
      <text>
        <r>
          <rPr>
            <b/>
            <sz val="9"/>
            <color indexed="81"/>
            <rFont val="Tahoma"/>
            <family val="2"/>
          </rPr>
          <t>ocreasey:</t>
        </r>
        <r>
          <rPr>
            <sz val="9"/>
            <color indexed="81"/>
            <rFont val="Tahoma"/>
            <family val="2"/>
          </rPr>
          <t xml:space="preserve">
office space is 217ksf</t>
        </r>
      </text>
    </comment>
    <comment ref="L34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L35" authorId="2">
      <text>
        <r>
          <rPr>
            <b/>
            <sz val="9"/>
            <color indexed="81"/>
            <rFont val="Tahoma"/>
            <family val="2"/>
          </rPr>
          <t>AReid:</t>
        </r>
        <r>
          <rPr>
            <sz val="9"/>
            <color indexed="81"/>
            <rFont val="Tahoma"/>
            <family val="2"/>
          </rPr>
          <t xml:space="preserve">
NIL of office portion lent per Will from BLND.</t>
        </r>
      </text>
    </comment>
    <comment ref="G38" authorId="3">
      <text>
        <r>
          <rPr>
            <b/>
            <sz val="8"/>
            <color indexed="81"/>
            <rFont val="Tahoma"/>
            <family val="2"/>
          </rPr>
          <t>Ben Richford:</t>
        </r>
        <r>
          <rPr>
            <sz val="8"/>
            <color indexed="81"/>
            <rFont val="Tahoma"/>
            <family val="2"/>
          </rPr>
          <t xml:space="preserve">
Canary Wharf has 15%.</t>
        </r>
      </text>
    </comment>
    <comment ref="P39" authorId="3">
      <text>
        <r>
          <rPr>
            <b/>
            <sz val="8"/>
            <color indexed="81"/>
            <rFont val="Tahoma"/>
            <family val="2"/>
          </rPr>
          <t>Ben Richford:</t>
        </r>
        <r>
          <rPr>
            <sz val="8"/>
            <color indexed="81"/>
            <rFont val="Tahoma"/>
            <family val="2"/>
          </rPr>
          <t xml:space="preserve">
Guess</t>
        </r>
      </text>
    </comment>
  </commentList>
</comments>
</file>

<file path=xl/comments10.xml><?xml version="1.0" encoding="utf-8"?>
<comments xmlns="http://schemas.openxmlformats.org/spreadsheetml/2006/main">
  <authors>
    <author>Sadie Baldwin</author>
  </authors>
  <commentList>
    <comment ref="AI50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 up for total rent</t>
        </r>
      </text>
    </comment>
    <comment ref="AU59" authorId="0">
      <text>
        <r>
          <rPr>
            <b/>
            <sz val="8"/>
            <color indexed="81"/>
            <rFont val="Tahoma"/>
            <family val="2"/>
          </rPr>
          <t>Sadie Baldwin:</t>
        </r>
        <r>
          <rPr>
            <sz val="8"/>
            <color indexed="81"/>
            <rFont val="Tahoma"/>
            <family val="2"/>
          </rPr>
          <t xml:space="preserve">
lookup for total rent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 background="1" refreshOnLoad="1" saveData="1">
    <dbPr connection="DSN=PET_EUR;Description=Euro PET;UID=sbaldwin;Trusted_Connection=yes;APP=Microsoft Office 2003;WSID=SBALDWIN;DATABASE=PET_EUR" command="SELECT xlPETEUR_YieldNetRent.comp_id, xlPETEUR_YieldNetRent.company, xlPETEUR_YieldNetRent.symbol, xlPETEUR_YieldNetRent.sector, xlPETEUR_YieldNetRent.totalNetRent, xlPETEUR_YieldNetRent.totalNOI, xlPETEUR_YieldNetRent.NIYBlend, xlPETEUR_YieldNetRent.econCapBlend, xlPETEUR_YieldNetRent.sector1, xlPETEUR_YieldNetRent.&quot;dataSector1%&quot;, xlPETEUR_YieldNetRent.sector2, xlPETEUR_YieldNetRent.&quot;dataSector2%&quot;, xlPETEUR_YieldNetRent.sector3, xlPETEUR_YieldNetRent.&quot;dataSector3%&quot;, xlPETEUR_YieldNetRent.sector4, xlPETEUR_YieldNetRent.&quot;dataSector4%&quot;, xlPETEUR_YieldNetRent.UK, xlPETEUR_YieldNetRent.CE, xlPETEUR_YieldNetRent.netRent1, xlPETEUR_YieldNetRent.netRent2, xlPETEUR_YieldNetRent.netRent3, xlPETEUR_YieldNetRent.netRent4, xlPETEUR_YieldNetRent.NIY1, xlPETEUR_YieldNetRent.NIY2, xlPETEUR_YieldNetRent.NIY3, xlPETEUR_YieldNetRent.NIY4, xlPETEUR_YieldNetRent.econCap1, xlPETEUR_YieldNetRent.econCap2, xlPETEUR_YieldNetRent.econCap3, xlPETEUR_YieldNetRent.econCap4, xlPETEUR_YieldNetRent.portVal1, xlPETEUR_YieldNetRent.portVal2, xlPETEUR_YieldNetRent.portVal3, xlPETEUR_YieldNetRent.portVal4_x000d__x000a_FROM PET_EUR.dbo.xlPETEUR_YieldNetRent xlPETEUR_YieldNetRent"/>
  </connection>
  <connection id="2" name="GPOR CL Office Snapshot dev" type="1" refreshedVersion="4" background="1" saveData="1">
    <dbPr connection="DSN=PET_EUR;Description=Euro PET;UID=SAlmasi;Trusted_Connection=yes;APP=Microsoft Office 2010;WSID=UK-KPYZIK;DATABASE=PET_EUR" command="SELECT xlPETEUR_Development.REIT, xlPETEUR_Development.property, xlPETEUR_Development.submarket, xlPETEUR_Development.cost_fullyLoaded, xlPETEUR_Development.SF, xlPETEUR_Development.ERV, xlPETEUR_Development.pctPreLet, xlPETEUR_Development.grossDevelopmentYield_company, xlPETEUR_Development.NIY_company, xlPETEUR_Development.development_margin, xlPETEUR_Development.date_completion_x000d__x000a_FROM PET_EUR.dbo.xlPETEUR_Development xlPETEUR_Development_x000d__x000a_WHERE (xlPETEUR_Development.REIT='GPOR') AND (xlPETEUR_Development.status='In-Process')"/>
  </connection>
  <connection id="3" name="Query from PET_EUR" type="1" refreshedVersion="4" background="1" saveData="1">
    <dbPr connection="DSN=PET_EUR;Description=Euro PET;UID=ktarayao;Trusted_Connection=yes;APP=Microsoft Office 2010;WSID=KTARAYAO;DATABASE=PET_EUR" command="SELECT xlPETEUR_Development.property_id, xlPETEUR_Development.REIT, xlPETEUR_Development.property, xlPETEUR_Development.pctOwnership, xlPETEUR_Development.sector, xlPETEUR_Development.visible, xlPETEUR_Development.date_updated, xlPETEUR_Development.analyst_lastUpdate, xlPETEUR_Development.status, xlPETEUR_Development.address, xlPETEUR_Development.city, xlPETEUR_Development.zip, xlPETEUR_Development.country, xlPETEUR_Development.submarket, xlPETEUR_Development.latitude, xlPETEUR_Development.longitude, xlPETEUR_Development.date_start, xlPETEUR_Development.date_completion, xlPETEUR_Development.date_value_company, xlPETEUR_Development.value_company, xlPETEUR_Development.pctPreLet, xlPETEUR_Development.SF_industrial, xlPETEUR_Development.SF_office, xlPETEUR_Development.SF_residential, xlPETEUR_Development.SF_retail, xlPETEUR_Development.SF_selfStorage, xlPETEUR_Development.SF, xlPETEUR_Development.SF_proRata, xlPETEUR_Development.numberUnits, xlPETEUR_Development.cost_site, xlPETEUR_Development.cost_construction, xlPETEUR_Development.cost_soft, xlPETEUR_Development.cost_capitalizedInterest_dev, xlPETEUR_Development.cost_capitalizedInterest_debt, xlPETEUR_Development.cost_tenantIncentives, xlPETEUR_Development.cost_tax, xlPETEUR_Development.cost_other, xlPETEUR_Development.cost_opportunity, xlPETEUR_Development.cost_adjustment, xlPETEUR_Development.cost_fullyLoaded, xlPETEUR_Development.cost_fullyLoaded_SF, xlPETEUR_Development.land_SF, xlPETEUR_Development.cost_construction_SF, xlPETEUR_Development.ERV_company, xlPETEUR_Development.ERV_GSA, xlPETEUR_Development.ERV, xlPETEUR_Development.netEffective_SF, xlPETEUR_Development.area, xlPETEUR_Development.price_SF, xlPETEUR_Development.grossDevelopmentYield_company, xlPETEUR_Development.grossDevelopmentYield_GSA, xlPETEUR_Development.NIY_company, xlPETEUR_Development.NIY_GSA, xlPETEUR_Development.capitalValue_SF, xlPETEUR_Development.value_end, xlPETEUR_Development.value_market, xlPETEUR_Development.risk_time, xlPETEUR_Development.risk_leasing, xlPETEUR_Development.risk_type, xlPETEUR_Development.risk_location, xlPETEUR_Development.risk_hurdle, xlPETEUR_Development.risk_override, xlPETEUR_Development.development_margin, xlPETEUR_Development.development_premium, xlPETEUR_Development.development_upside_x000d__x000a_FROM PET_EUR.dbo.xlPETEUR_Development xlPETEUR_Development_x000d__x000a_ORDER BY xlPETEUR_Development.property_id"/>
  </connection>
</connections>
</file>

<file path=xl/sharedStrings.xml><?xml version="1.0" encoding="utf-8"?>
<sst xmlns="http://schemas.openxmlformats.org/spreadsheetml/2006/main" count="4542" uniqueCount="1126">
  <si>
    <t>(Column O: outside print range)</t>
  </si>
  <si>
    <t>Page</t>
  </si>
  <si>
    <r>
      <t>www.greenstreetadvisors.com</t>
    </r>
    <r>
      <rPr>
        <sz val="10"/>
        <rFont val="Arial"/>
        <family val="2"/>
      </rPr>
      <t xml:space="preserve">  </t>
    </r>
    <r>
      <rPr>
        <sz val="8"/>
        <rFont val="Arial Narrow"/>
        <family val="2"/>
      </rPr>
      <t>© 2011, Green Street Advisors, Inc.</t>
    </r>
  </si>
  <si>
    <t>BLND</t>
  </si>
  <si>
    <t>Graph data</t>
  </si>
  <si>
    <t>Name</t>
  </si>
  <si>
    <t>Company</t>
  </si>
  <si>
    <t>(1) Average of selected REITs' London offices.</t>
  </si>
  <si>
    <t>Sector</t>
  </si>
  <si>
    <t>Property</t>
  </si>
  <si>
    <t>Location</t>
  </si>
  <si>
    <t>Occupancy</t>
  </si>
  <si>
    <t>Comments</t>
  </si>
  <si>
    <t>Total Operating Portfolio</t>
  </si>
  <si>
    <t>Other</t>
  </si>
  <si>
    <t>Completion Date</t>
  </si>
  <si>
    <t>Projected Cost (£m)</t>
  </si>
  <si>
    <t xml:space="preserve"> </t>
  </si>
  <si>
    <t>Other London Offices</t>
  </si>
  <si>
    <t>N/A</t>
  </si>
  <si>
    <t>Leasing</t>
  </si>
  <si>
    <t>Total</t>
  </si>
  <si>
    <t>Size
('000 sf)</t>
  </si>
  <si>
    <t>Rent/
sf</t>
  </si>
  <si>
    <t>Cost/
sf</t>
  </si>
  <si>
    <t>Total / Average</t>
  </si>
  <si>
    <t>NIY</t>
  </si>
  <si>
    <t>Value/sf</t>
  </si>
  <si>
    <t>Company Name</t>
  </si>
  <si>
    <t>Portfolio Breakdown</t>
  </si>
  <si>
    <t>% of Total Value</t>
  </si>
  <si>
    <t>(£m)</t>
  </si>
  <si>
    <t>Value/
sf</t>
  </si>
  <si>
    <t>% of Total Cost</t>
  </si>
  <si>
    <t>Estimated Dev. Yield</t>
  </si>
  <si>
    <t>Development Margin</t>
  </si>
  <si>
    <t xml:space="preserve">Valuation
Yield </t>
  </si>
  <si>
    <t>London Office Pricing</t>
  </si>
  <si>
    <t>Data</t>
  </si>
  <si>
    <t>Label under graph</t>
  </si>
  <si>
    <t>Company Data</t>
  </si>
  <si>
    <t xml:space="preserve">(1) </t>
  </si>
  <si>
    <t>Company #</t>
  </si>
  <si>
    <t>Ticker</t>
  </si>
  <si>
    <t>LAND</t>
  </si>
  <si>
    <t>DLN</t>
  </si>
  <si>
    <t>GPOR</t>
  </si>
  <si>
    <t>CAPC</t>
  </si>
  <si>
    <t>SHB</t>
  </si>
  <si>
    <t>Date</t>
  </si>
  <si>
    <t>(calc)</t>
  </si>
  <si>
    <t>Derwent London</t>
  </si>
  <si>
    <t>Last updated (date)</t>
  </si>
  <si>
    <t>By (Initials)</t>
  </si>
  <si>
    <t>British Land</t>
  </si>
  <si>
    <t>Land Securities</t>
  </si>
  <si>
    <t>Great Portland</t>
  </si>
  <si>
    <t>AVERAGE</t>
  </si>
  <si>
    <t>London Office Portfolio</t>
  </si>
  <si>
    <t>Sector lookup ref</t>
  </si>
  <si>
    <t>Value lookup ref</t>
  </si>
  <si>
    <t>Value lookup row</t>
  </si>
  <si>
    <t>Sector lookup row</t>
  </si>
  <si>
    <t>Average column</t>
  </si>
  <si>
    <t>Company column</t>
  </si>
  <si>
    <t>Total sf ('000)</t>
  </si>
  <si>
    <t>Total Value (£m)</t>
  </si>
  <si>
    <t>Value per sf (£)</t>
  </si>
  <si>
    <t>Average name</t>
  </si>
  <si>
    <t>Selected REITs' Avg.</t>
  </si>
  <si>
    <t>Lookup row</t>
  </si>
  <si>
    <t>Property to lookup</t>
  </si>
  <si>
    <t>Asset Number</t>
  </si>
  <si>
    <t>Rent (£m)</t>
  </si>
  <si>
    <t>Lookup</t>
  </si>
  <si>
    <t>NOTE: Maximum size for comments column is 325 pixels in font size 9</t>
  </si>
  <si>
    <t>325 pixels (font size 9)</t>
  </si>
  <si>
    <t xml:space="preserve">Key: </t>
  </si>
  <si>
    <t>Calculations</t>
  </si>
  <si>
    <t>Fixed values</t>
  </si>
  <si>
    <t>Lookup reference (fixed)</t>
  </si>
  <si>
    <t>(Avg. weighted by London Office Portfolio value)</t>
  </si>
  <si>
    <t>Asset</t>
  </si>
  <si>
    <t>Lookup Row</t>
  </si>
  <si>
    <t>Lookup col</t>
  </si>
  <si>
    <t>Col width</t>
  </si>
  <si>
    <t>Table start row</t>
  </si>
  <si>
    <t>Dev. Number</t>
  </si>
  <si>
    <t>Value
(£m)</t>
  </si>
  <si>
    <t>Last updated</t>
  </si>
  <si>
    <t>Initials</t>
  </si>
  <si>
    <t xml:space="preserve">Linked Images (please leave column widths).  All values from Data tabs.  </t>
  </si>
  <si>
    <t>comp_id</t>
  </si>
  <si>
    <t>company</t>
  </si>
  <si>
    <t>symbol</t>
  </si>
  <si>
    <t>sector</t>
  </si>
  <si>
    <t>totalNetRent</t>
  </si>
  <si>
    <t>totalNOI</t>
  </si>
  <si>
    <t>NIYBlend</t>
  </si>
  <si>
    <t>econCapBlend</t>
  </si>
  <si>
    <t>sector1</t>
  </si>
  <si>
    <t>dataSector1%</t>
  </si>
  <si>
    <t>sector2</t>
  </si>
  <si>
    <t>dataSector2%</t>
  </si>
  <si>
    <t>sector3</t>
  </si>
  <si>
    <t>dataSector3%</t>
  </si>
  <si>
    <t>sector4</t>
  </si>
  <si>
    <t>dataSector4%</t>
  </si>
  <si>
    <t>UK</t>
  </si>
  <si>
    <t>CE</t>
  </si>
  <si>
    <t>netRent1</t>
  </si>
  <si>
    <t>netRent2</t>
  </si>
  <si>
    <t>netRent3</t>
  </si>
  <si>
    <t>netRent4</t>
  </si>
  <si>
    <t>NIY1</t>
  </si>
  <si>
    <t>NIY2</t>
  </si>
  <si>
    <t>NIY3</t>
  </si>
  <si>
    <t>NIY4</t>
  </si>
  <si>
    <t>econCap1</t>
  </si>
  <si>
    <t>econCap2</t>
  </si>
  <si>
    <t>econCap3</t>
  </si>
  <si>
    <t>econCap4</t>
  </si>
  <si>
    <t>portVal1</t>
  </si>
  <si>
    <t>portVal2</t>
  </si>
  <si>
    <t>portVal3</t>
  </si>
  <si>
    <t>portVal4</t>
  </si>
  <si>
    <t>SEGRO PLC</t>
  </si>
  <si>
    <t>SGRO</t>
  </si>
  <si>
    <t>European Industrial</t>
  </si>
  <si>
    <t>Industrial</t>
  </si>
  <si>
    <t>Office</t>
  </si>
  <si>
    <t>Retail</t>
  </si>
  <si>
    <t>BRITISH LAND</t>
  </si>
  <si>
    <t>UK Majors</t>
  </si>
  <si>
    <t>Diversified</t>
  </si>
  <si>
    <t>HAMMERSON</t>
  </si>
  <si>
    <t>HMSO</t>
  </si>
  <si>
    <t>LAND SECURITIES</t>
  </si>
  <si>
    <t>HANSTEEN HOLDINGS</t>
  </si>
  <si>
    <t>HSTN</t>
  </si>
  <si>
    <t>UNIBAIL-RODAMCO</t>
  </si>
  <si>
    <t>UL</t>
  </si>
  <si>
    <t>Continental Retail</t>
  </si>
  <si>
    <t>DERWENT LONDON</t>
  </si>
  <si>
    <t>London Specialists</t>
  </si>
  <si>
    <t>GREAT PORTLAND ESTATES</t>
  </si>
  <si>
    <t>CAPITAL &amp; COUNTIES PROPERTIES PLC</t>
  </si>
  <si>
    <t>SHAFTESBURY</t>
  </si>
  <si>
    <t>Apartment</t>
  </si>
  <si>
    <t>KLEPIERRE</t>
  </si>
  <si>
    <t>LI</t>
  </si>
  <si>
    <t>SBD</t>
  </si>
  <si>
    <t>EUROCOMMERCIAL PROPERTIES</t>
  </si>
  <si>
    <t>ECMPA</t>
  </si>
  <si>
    <t>MERCIALYS</t>
  </si>
  <si>
    <t>MERY</t>
  </si>
  <si>
    <t>BIG YELLOW</t>
  </si>
  <si>
    <t>BYG</t>
  </si>
  <si>
    <t>UK Self Storage</t>
  </si>
  <si>
    <t>ALL</t>
  </si>
  <si>
    <t>SAFESTORE</t>
  </si>
  <si>
    <t>SAFE</t>
  </si>
  <si>
    <t>Self Storage</t>
  </si>
  <si>
    <t>FONCIERE DES REGIONS</t>
  </si>
  <si>
    <t>FDR</t>
  </si>
  <si>
    <t>Health Care</t>
  </si>
  <si>
    <t>GECINA</t>
  </si>
  <si>
    <t>GFC</t>
  </si>
  <si>
    <t>ICADE</t>
  </si>
  <si>
    <t>ICAD</t>
  </si>
  <si>
    <t>Sector1</t>
  </si>
  <si>
    <t>Value1</t>
  </si>
  <si>
    <t>Sector2</t>
  </si>
  <si>
    <t>Value2</t>
  </si>
  <si>
    <t>Valuation</t>
  </si>
  <si>
    <t>Sector3</t>
  </si>
  <si>
    <t>Value3</t>
  </si>
  <si>
    <t>Sector4</t>
  </si>
  <si>
    <t>Value4</t>
  </si>
  <si>
    <t>n/a</t>
  </si>
  <si>
    <t>Sector5</t>
  </si>
  <si>
    <t>MANUAL</t>
  </si>
  <si>
    <t>Value5</t>
  </si>
  <si>
    <t>Manual</t>
  </si>
  <si>
    <t>Office_TotalValue_m</t>
  </si>
  <si>
    <t>TOTAL (bn)</t>
  </si>
  <si>
    <t>Rent (m)</t>
  </si>
  <si>
    <t>Sector_Name1</t>
  </si>
  <si>
    <t>Sector_Name2</t>
  </si>
  <si>
    <t>Sector_Name3</t>
  </si>
  <si>
    <t>Sector_Name4</t>
  </si>
  <si>
    <t>Sector_Name5</t>
  </si>
  <si>
    <t>Value (bn)</t>
  </si>
  <si>
    <t>Value1_%</t>
  </si>
  <si>
    <t>Value2_%</t>
  </si>
  <si>
    <t>Value3_%</t>
  </si>
  <si>
    <t>Value4_%</t>
  </si>
  <si>
    <t>Value5_%</t>
  </si>
  <si>
    <t>Value (%)</t>
  </si>
  <si>
    <t>TotalValue_m</t>
  </si>
  <si>
    <r>
      <t>London Office Pricing</t>
    </r>
    <r>
      <rPr>
        <b/>
        <vertAlign val="superscript"/>
        <sz val="11"/>
        <rFont val="Arial"/>
        <family val="2"/>
      </rPr>
      <t>(1)</t>
    </r>
  </si>
  <si>
    <t xml:space="preserve">(2) </t>
  </si>
  <si>
    <t>Investment portfolio only.</t>
  </si>
  <si>
    <t>Source</t>
  </si>
  <si>
    <t>NoHo</t>
  </si>
  <si>
    <t>Victoria</t>
  </si>
  <si>
    <t>Use column?</t>
  </si>
  <si>
    <t>(3) Green Street estimated valuations.</t>
  </si>
  <si>
    <t>Q1 '15</t>
  </si>
  <si>
    <t>Report Title</t>
  </si>
  <si>
    <t>Source: Company disclosure, Google maps, Green Street Estimates</t>
  </si>
  <si>
    <t>Growing office estate in fringe West End</t>
  </si>
  <si>
    <t>99 Bishopsgate</t>
  </si>
  <si>
    <t>60 Threadneedle Street</t>
  </si>
  <si>
    <t>125 Old Broad Street</t>
  </si>
  <si>
    <t>Deutsche Bank lease expires in late 2011</t>
  </si>
  <si>
    <t>Site acquired in 2002 and redeveloped in 2009</t>
  </si>
  <si>
    <t>Redeveloped 26 floor tower. Former home to LSE.</t>
  </si>
  <si>
    <t>New Street Square</t>
  </si>
  <si>
    <t>One New Change</t>
  </si>
  <si>
    <t>Iconic mixed use development next to St Pauls</t>
  </si>
  <si>
    <t>City</t>
  </si>
  <si>
    <t>West End</t>
  </si>
  <si>
    <t>Midtown</t>
  </si>
  <si>
    <t>Regent's Place</t>
  </si>
  <si>
    <t>Principal Place</t>
  </si>
  <si>
    <t>Stake</t>
  </si>
  <si>
    <t>Number rounded to nearest…</t>
  </si>
  <si>
    <t>BR</t>
  </si>
  <si>
    <t>The Angel Building</t>
  </si>
  <si>
    <t>20 Fenchurch St (10%)</t>
  </si>
  <si>
    <t>25 Churchill Place</t>
  </si>
  <si>
    <t>Q1 '14</t>
  </si>
  <si>
    <t>Canary Wharf</t>
  </si>
  <si>
    <t>One Churchill Pl</t>
  </si>
  <si>
    <t>10 Upper Bank St</t>
  </si>
  <si>
    <t>One Canada Sq</t>
  </si>
  <si>
    <t xml:space="preserve">Mainly leased to Barclays on 25-year lease in '10 </t>
  </si>
  <si>
    <t>Fully let to Clifford Chance for c.17 years</t>
  </si>
  <si>
    <t>Iconic multi-let tower.  Built in 1991 &amp; ageing well</t>
  </si>
  <si>
    <t>Songbird</t>
  </si>
  <si>
    <t>sbd</t>
  </si>
  <si>
    <t>Use of this report is subject to the Terms of Use listed at the end of the report</t>
  </si>
  <si>
    <t>Average of London office investment portfolio for British Land, Derwent London, Great Portland, Hammerson, Land Securities and Songbird.</t>
  </si>
  <si>
    <t>sbdTotal</t>
  </si>
  <si>
    <t>total calc check:</t>
  </si>
  <si>
    <t>Central London Office Market - 15 September 2011</t>
  </si>
  <si>
    <r>
      <t>Investment Properties</t>
    </r>
    <r>
      <rPr>
        <b/>
        <vertAlign val="superscript"/>
        <sz val="10"/>
        <color indexed="63"/>
        <rFont val="Arial"/>
        <family val="2"/>
      </rPr>
      <t xml:space="preserve"> (3)</t>
    </r>
  </si>
  <si>
    <r>
      <t>In Process Developments</t>
    </r>
    <r>
      <rPr>
        <b/>
        <vertAlign val="superscript"/>
        <sz val="10"/>
        <color indexed="63"/>
        <rFont val="Arial"/>
        <family val="2"/>
      </rPr>
      <t xml:space="preserve"> (3)</t>
    </r>
  </si>
  <si>
    <t>Central London Office Market - 20 September 2011</t>
  </si>
  <si>
    <t>(3) Green Street estimated valuations on SBD's 69% pro rata share of Canary Wharf Group</t>
  </si>
  <si>
    <t>10 Upper bank St</t>
  </si>
  <si>
    <t>One canada Sq</t>
  </si>
  <si>
    <t/>
  </si>
  <si>
    <t xml:space="preserve">Mainly leased to Barclays on 30-year lease in '04 </t>
  </si>
  <si>
    <t>Q4 '13</t>
  </si>
  <si>
    <t>INTU PROPERTIES</t>
  </si>
  <si>
    <t>INTU</t>
  </si>
  <si>
    <t>DEUTSCHE EUROSHOP</t>
  </si>
  <si>
    <t>DEQ</t>
  </si>
  <si>
    <t>DEUTSCHE WOHNEN</t>
  </si>
  <si>
    <t>DWNI</t>
  </si>
  <si>
    <t>German Residential</t>
  </si>
  <si>
    <t>TAG IMMOBILIEN</t>
  </si>
  <si>
    <t>TEG</t>
  </si>
  <si>
    <t>LEG IMMOBILIEN</t>
  </si>
  <si>
    <t>LEG</t>
  </si>
  <si>
    <t>PSP SWISS PROPERTY</t>
  </si>
  <si>
    <t>PSPN</t>
  </si>
  <si>
    <t>Swiss Companies</t>
  </si>
  <si>
    <t>SWISS PRIME SITE</t>
  </si>
  <si>
    <t>SPSN</t>
  </si>
  <si>
    <t>VONOVIA</t>
  </si>
  <si>
    <t>VNA</t>
  </si>
  <si>
    <t>CITYCON</t>
  </si>
  <si>
    <t>CTY1S</t>
  </si>
  <si>
    <t>LONDONMETRIC PROPERTY</t>
  </si>
  <si>
    <t>LMP</t>
  </si>
  <si>
    <t>CASTELLUM</t>
  </si>
  <si>
    <t>CAST</t>
  </si>
  <si>
    <t>Nordic Diversified</t>
  </si>
  <si>
    <t>FABEGE</t>
  </si>
  <si>
    <t>FABG</t>
  </si>
  <si>
    <t>HUFVUDSTADEN</t>
  </si>
  <si>
    <t>HUFVA</t>
  </si>
  <si>
    <t>SPONDA</t>
  </si>
  <si>
    <t>SDA1V</t>
  </si>
  <si>
    <t>TRITAX BIG BOX</t>
  </si>
  <si>
    <t>BBOX</t>
  </si>
  <si>
    <t>KUNGSLEDEN</t>
  </si>
  <si>
    <t>KLED</t>
  </si>
  <si>
    <t>WIHLBORGS</t>
  </si>
  <si>
    <t>WIHL</t>
  </si>
  <si>
    <t>ALTAREA</t>
  </si>
  <si>
    <t>ALTA</t>
  </si>
  <si>
    <t>VASTNED</t>
  </si>
  <si>
    <t>VASTN</t>
  </si>
  <si>
    <t>WERELDHAVE</t>
  </si>
  <si>
    <t>WHA</t>
  </si>
  <si>
    <t>ASSURA</t>
  </si>
  <si>
    <t>AGR</t>
  </si>
  <si>
    <t>UK Small Caps</t>
  </si>
  <si>
    <t>GRAINGER</t>
  </si>
  <si>
    <t>GRI</t>
  </si>
  <si>
    <t>Residential</t>
  </si>
  <si>
    <t>UNITE GROUP</t>
  </si>
  <si>
    <t>UTG</t>
  </si>
  <si>
    <t>Student Housing</t>
  </si>
  <si>
    <t>WORKSPACE GROUP</t>
  </si>
  <si>
    <t>WKP</t>
  </si>
  <si>
    <t>From PET</t>
  </si>
  <si>
    <t>From indvidual company models, "Investment portfolio" tab</t>
  </si>
  <si>
    <t>AR</t>
  </si>
  <si>
    <t>Average of London office investment portfolio for British Land, Land Securities, Derwent London and Great Portland.</t>
  </si>
  <si>
    <t>Broadgate (50%)</t>
  </si>
  <si>
    <t>2015 BLND Major Holdings report @ 31/03/15.</t>
  </si>
  <si>
    <t>Paddington Central</t>
  </si>
  <si>
    <t>Full year results presentation for the year ended 31/03/15</t>
  </si>
  <si>
    <t>LAND website</t>
  </si>
  <si>
    <t>1-2 Stephen St</t>
  </si>
  <si>
    <t>8 Fitzroy St</t>
  </si>
  <si>
    <t>Wells &amp; More</t>
  </si>
  <si>
    <t>Noho</t>
  </si>
  <si>
    <t>Prime located mixed use development</t>
  </si>
  <si>
    <t>DLN's biggest ever redevelopment.</t>
  </si>
  <si>
    <t>Leased to Arup with uplifts of c.3% p.a. for 20 years</t>
  </si>
  <si>
    <t>Office campus built in 2008 and let to professional services</t>
  </si>
  <si>
    <t>DLN website</t>
  </si>
  <si>
    <t>GPOR website</t>
  </si>
  <si>
    <t>Fringe West End estate with fast links to Heathrow</t>
  </si>
  <si>
    <t>The Clarges Estate</t>
  </si>
  <si>
    <t>Yalding House</t>
  </si>
  <si>
    <t>1 New Street Square</t>
  </si>
  <si>
    <t>Q3 '16</t>
  </si>
  <si>
    <t>White Collar Factory</t>
  </si>
  <si>
    <t>73/89 Oxford St</t>
  </si>
  <si>
    <t>Rathbone Pl</t>
  </si>
  <si>
    <t>Q2 '17</t>
  </si>
  <si>
    <t>*Map figures were taken from the NAV model</t>
  </si>
  <si>
    <t>Hotel</t>
  </si>
  <si>
    <t>(3) Green Street estimated valuations - relate only to office proportions</t>
  </si>
  <si>
    <t>The Copyright Building</t>
  </si>
  <si>
    <t>Islington</t>
  </si>
  <si>
    <t>(1)</t>
  </si>
  <si>
    <t xml:space="preserve">(3) </t>
  </si>
  <si>
    <r>
      <t>London Office Pricing</t>
    </r>
    <r>
      <rPr>
        <b/>
        <vertAlign val="superscript"/>
        <sz val="11"/>
        <rFont val="Arial"/>
        <family val="2"/>
      </rPr>
      <t>(2)</t>
    </r>
  </si>
  <si>
    <r>
      <t>Portfolio Breakdown</t>
    </r>
    <r>
      <rPr>
        <b/>
        <vertAlign val="superscript"/>
        <sz val="11"/>
        <rFont val="Arial"/>
        <family val="2"/>
      </rPr>
      <t>(1)</t>
    </r>
  </si>
  <si>
    <t>(3) for key central london assets</t>
  </si>
  <si>
    <t>suggested including footnote 3 for title as below:</t>
  </si>
  <si>
    <t>Include disclosure on methodology to get to total portfolio value? Methodology in last email to Ed</t>
  </si>
  <si>
    <t>Take out "Key" central london assets</t>
  </si>
  <si>
    <t>13.6 total valuation - disclosure on methodology to get to this?</t>
  </si>
  <si>
    <t>AXIARE</t>
  </si>
  <si>
    <t>AXIA</t>
  </si>
  <si>
    <t>Southern European Diversified</t>
  </si>
  <si>
    <t>COLONIAL</t>
  </si>
  <si>
    <t>COL</t>
  </si>
  <si>
    <t>Paris Office</t>
  </si>
  <si>
    <t>HISPANIA</t>
  </si>
  <si>
    <t>HIS</t>
  </si>
  <si>
    <t>MERLIN</t>
  </si>
  <si>
    <t>MRL</t>
  </si>
  <si>
    <t>Continental Shopping Centres</t>
  </si>
  <si>
    <t>BENI STABILI</t>
  </si>
  <si>
    <t>BNS</t>
  </si>
  <si>
    <t>xlPETEUR_Development</t>
  </si>
  <si>
    <t>property_id</t>
  </si>
  <si>
    <t>REIT</t>
  </si>
  <si>
    <t>property</t>
  </si>
  <si>
    <t>pctOwnership</t>
  </si>
  <si>
    <t>visible</t>
  </si>
  <si>
    <t>date_updated</t>
  </si>
  <si>
    <t>analyst_lastUpdate</t>
  </si>
  <si>
    <t>status</t>
  </si>
  <si>
    <t>address</t>
  </si>
  <si>
    <t>city</t>
  </si>
  <si>
    <t>zip</t>
  </si>
  <si>
    <t>country</t>
  </si>
  <si>
    <t>submarket</t>
  </si>
  <si>
    <t>latitude</t>
  </si>
  <si>
    <t>longitude</t>
  </si>
  <si>
    <t>date_start</t>
  </si>
  <si>
    <t>date_completion</t>
  </si>
  <si>
    <t>date_value_company</t>
  </si>
  <si>
    <t>value_company</t>
  </si>
  <si>
    <t>pctPreLet</t>
  </si>
  <si>
    <t>SF_industrial</t>
  </si>
  <si>
    <t>SF_office</t>
  </si>
  <si>
    <t>SF_residential</t>
  </si>
  <si>
    <t>SF_retail</t>
  </si>
  <si>
    <t>SF_selfStorage</t>
  </si>
  <si>
    <t>SF</t>
  </si>
  <si>
    <t>SF_proRata</t>
  </si>
  <si>
    <t>numberUnits</t>
  </si>
  <si>
    <t>cost_site</t>
  </si>
  <si>
    <t>cost_construction</t>
  </si>
  <si>
    <t>cost_soft</t>
  </si>
  <si>
    <t>cost_capitalizedInterest_dev</t>
  </si>
  <si>
    <t>cost_capitalizedInterest_debt</t>
  </si>
  <si>
    <t>cost_tenantIncentives</t>
  </si>
  <si>
    <t>cost_tax</t>
  </si>
  <si>
    <t>cost_other</t>
  </si>
  <si>
    <t>cost_opportunity</t>
  </si>
  <si>
    <t>cost_adjustment</t>
  </si>
  <si>
    <t>cost_fullyLoaded</t>
  </si>
  <si>
    <t>cost_fullyLoaded_SF</t>
  </si>
  <si>
    <t>land_SF</t>
  </si>
  <si>
    <t>cost_construction_SF</t>
  </si>
  <si>
    <t>ERV_company</t>
  </si>
  <si>
    <t>ERV_GSA</t>
  </si>
  <si>
    <t>ERV</t>
  </si>
  <si>
    <t>netEffective_SF</t>
  </si>
  <si>
    <t>area</t>
  </si>
  <si>
    <t>price_SF</t>
  </si>
  <si>
    <t>grossDevelopmentYield_company</t>
  </si>
  <si>
    <t>grossDevelopmentYield_GSA</t>
  </si>
  <si>
    <t>NIY_company</t>
  </si>
  <si>
    <t>NIY_GSA</t>
  </si>
  <si>
    <t>capitalValue_SF</t>
  </si>
  <si>
    <t>value_end</t>
  </si>
  <si>
    <t>value_market</t>
  </si>
  <si>
    <t>risk_time</t>
  </si>
  <si>
    <t>risk_leasing</t>
  </si>
  <si>
    <t>risk_type</t>
  </si>
  <si>
    <t>risk_location</t>
  </si>
  <si>
    <t>risk_hurdle</t>
  </si>
  <si>
    <t>risk_override</t>
  </si>
  <si>
    <t>development_margin</t>
  </si>
  <si>
    <t>development_premium</t>
  </si>
  <si>
    <t>development_upside</t>
  </si>
  <si>
    <t>Trinity, Leeds</t>
  </si>
  <si>
    <t>2014-04-03</t>
  </si>
  <si>
    <t>HK</t>
  </si>
  <si>
    <t>Completed</t>
  </si>
  <si>
    <t>Leeds</t>
  </si>
  <si>
    <t>2010-07-01</t>
  </si>
  <si>
    <t>2013-03-01</t>
  </si>
  <si>
    <t>185-221 Buchanan St, Glasgow</t>
  </si>
  <si>
    <t>Glasdow</t>
  </si>
  <si>
    <t>2011-03-01</t>
  </si>
  <si>
    <t>2013-09-30</t>
  </si>
  <si>
    <t>Bishop Centre</t>
  </si>
  <si>
    <t>2014-11-12</t>
  </si>
  <si>
    <t>DM</t>
  </si>
  <si>
    <t>Taplow</t>
  </si>
  <si>
    <t>2014-07-01</t>
  </si>
  <si>
    <t>Crawley (Morrison &amp; Travelodge)</t>
  </si>
  <si>
    <t>Crawley</t>
  </si>
  <si>
    <t>2012-09-01</t>
  </si>
  <si>
    <t>2013-11-01</t>
  </si>
  <si>
    <t>20 Fenchurch Street, EC3</t>
  </si>
  <si>
    <t>2015-05-27</t>
  </si>
  <si>
    <t>2011-01-01</t>
  </si>
  <si>
    <t>2014-12-01</t>
  </si>
  <si>
    <t>62 Buckingham Gate, SW1</t>
  </si>
  <si>
    <t>2010-03-01</t>
  </si>
  <si>
    <t>2013-05-01</t>
  </si>
  <si>
    <t>123 Victoria Street, SW1</t>
  </si>
  <si>
    <t>2012-08-01</t>
  </si>
  <si>
    <t>1 &amp; 2 New Ludgate, EC4</t>
  </si>
  <si>
    <t>2013-04-01</t>
  </si>
  <si>
    <t>2015-04-01</t>
  </si>
  <si>
    <t>The Zig Zag Building</t>
  </si>
  <si>
    <t>2012-11-01</t>
  </si>
  <si>
    <t>2015-07-01</t>
  </si>
  <si>
    <t>Kings Gate, SW1</t>
  </si>
  <si>
    <t>2015-05-01</t>
  </si>
  <si>
    <t>2015-07-08</t>
  </si>
  <si>
    <t>In-Process</t>
  </si>
  <si>
    <t>2014-03-01</t>
  </si>
  <si>
    <t>2016-06-01</t>
  </si>
  <si>
    <t>Nova, Victoria (Office &amp; Retail)</t>
  </si>
  <si>
    <t>2016-07-01</t>
  </si>
  <si>
    <t>Nova, Victoria (Resi)</t>
  </si>
  <si>
    <t>2016-04-01</t>
  </si>
  <si>
    <t>20 Eastbourne Terrace, W2</t>
  </si>
  <si>
    <t>2014-06-01</t>
  </si>
  <si>
    <t>2016-03-01</t>
  </si>
  <si>
    <t>Oriana, W1 (Phase II)</t>
  </si>
  <si>
    <t>2016-11-01</t>
  </si>
  <si>
    <t>Intu Lakeside Retail Ext.</t>
  </si>
  <si>
    <t>Prospective2</t>
  </si>
  <si>
    <t>Thurrock</t>
  </si>
  <si>
    <t>2017-07-01</t>
  </si>
  <si>
    <t>2019-09-30</t>
  </si>
  <si>
    <t>Intu Lakeside Leisure Ext.</t>
  </si>
  <si>
    <t>Prospective1</t>
  </si>
  <si>
    <t>Intu Victoria</t>
  </si>
  <si>
    <t>Prospective3</t>
  </si>
  <si>
    <t>Nottingham</t>
  </si>
  <si>
    <t>2020-06-30</t>
  </si>
  <si>
    <t>Intu Braehead</t>
  </si>
  <si>
    <t>Glasgow</t>
  </si>
  <si>
    <t>Intu Watford</t>
  </si>
  <si>
    <t>Watford</t>
  </si>
  <si>
    <t>2015-11-01</t>
  </si>
  <si>
    <t>2017-09-30</t>
  </si>
  <si>
    <t>Active management opportunities</t>
  </si>
  <si>
    <t>Mix</t>
  </si>
  <si>
    <t>2013-09-01</t>
  </si>
  <si>
    <t>2015-12-01</t>
  </si>
  <si>
    <t>5 Broadgate, EC2</t>
  </si>
  <si>
    <t>2014-11-06</t>
  </si>
  <si>
    <t>2010-09-01</t>
  </si>
  <si>
    <t>2015-06-01</t>
  </si>
  <si>
    <t>The Leadenhall Building, EC3</t>
  </si>
  <si>
    <t>NEQ, Regentâ€™s Place, NW1</t>
  </si>
  <si>
    <t>2013-06-01</t>
  </si>
  <si>
    <t>199 Bishopsgate, EC2</t>
  </si>
  <si>
    <t>2012-12-01</t>
  </si>
  <si>
    <t>10 Portman Square, W1</t>
  </si>
  <si>
    <t>Marble Arch House, W1</t>
  </si>
  <si>
    <t>2010-12-01</t>
  </si>
  <si>
    <t>39 Victoria Street</t>
  </si>
  <si>
    <t>2011-12-01</t>
  </si>
  <si>
    <t>Hereford</t>
  </si>
  <si>
    <t>2012-10-01</t>
  </si>
  <si>
    <t>2014-09-15</t>
  </si>
  <si>
    <t>Mixed</t>
  </si>
  <si>
    <t>2017-09-15</t>
  </si>
  <si>
    <t>Canada Water Masterplan</t>
  </si>
  <si>
    <t>East London</t>
  </si>
  <si>
    <t>2018-01-01</t>
  </si>
  <si>
    <t>5 Kingdom Street</t>
  </si>
  <si>
    <t>2016-09-01</t>
  </si>
  <si>
    <t>4 Kingdom Street</t>
  </si>
  <si>
    <t>2015-02-01</t>
  </si>
  <si>
    <t>Bedford Street</t>
  </si>
  <si>
    <t>2014-06-05</t>
  </si>
  <si>
    <t>The Hempel Ph.2</t>
  </si>
  <si>
    <t>2016-06-15</t>
  </si>
  <si>
    <t>The Hempel Ph.1</t>
  </si>
  <si>
    <t>Aldgate Place Ph. 1</t>
  </si>
  <si>
    <t>City Fringe</t>
  </si>
  <si>
    <t>Aldgate Place, Ph. 2</t>
  </si>
  <si>
    <t>Zaragoza</t>
  </si>
  <si>
    <t>Spain</t>
  </si>
  <si>
    <t>Foodstores Extentions (x4)</t>
  </si>
  <si>
    <t>Various</t>
  </si>
  <si>
    <t>2012-03-31</t>
  </si>
  <si>
    <t>Les Terrasses du Port</t>
  </si>
  <si>
    <t>Marseille</t>
  </si>
  <si>
    <t>2014-05-03</t>
  </si>
  <si>
    <t>Croydon</t>
  </si>
  <si>
    <t>London</t>
  </si>
  <si>
    <t>2017-03-01</t>
  </si>
  <si>
    <t>2020-03-01</t>
  </si>
  <si>
    <t>The Orchard Centre, Didcot</t>
  </si>
  <si>
    <t>Didcot</t>
  </si>
  <si>
    <t>2017-06-01</t>
  </si>
  <si>
    <t>Cramlington</t>
  </si>
  <si>
    <t>2014-03-30</t>
  </si>
  <si>
    <t>2015-03-01</t>
  </si>
  <si>
    <t>Abbotsinch</t>
  </si>
  <si>
    <t>Paisley</t>
  </si>
  <si>
    <t>2013-12-01</t>
  </si>
  <si>
    <t>Cyfarthfa</t>
  </si>
  <si>
    <t>2015-08-25</t>
  </si>
  <si>
    <t>OC</t>
  </si>
  <si>
    <t>Merthyr Tydfil</t>
  </si>
  <si>
    <t>2015-10-01</t>
  </si>
  <si>
    <t>Silverburn</t>
  </si>
  <si>
    <t>Elliots Field</t>
  </si>
  <si>
    <t>Rugby</t>
  </si>
  <si>
    <t>2015-09-01</t>
  </si>
  <si>
    <t>Saint Quentin-en-Yvelines</t>
  </si>
  <si>
    <t>2016-01-01</t>
  </si>
  <si>
    <t>2018-12-01</t>
  </si>
  <si>
    <t>Parc Tawe</t>
  </si>
  <si>
    <t>Swansea</t>
  </si>
  <si>
    <t>Brent Cross Cinema</t>
  </si>
  <si>
    <t>2018-06-01</t>
  </si>
  <si>
    <t>WestQuay, Southampton</t>
  </si>
  <si>
    <t>Southampton</t>
  </si>
  <si>
    <t>Italie 2</t>
  </si>
  <si>
    <t>Paris 13eme</t>
  </si>
  <si>
    <t>Le Jeu de Paume, Beauvais</t>
  </si>
  <si>
    <t>Beauvais</t>
  </si>
  <si>
    <t>Halle en Ville</t>
  </si>
  <si>
    <t>Mantes</t>
  </si>
  <si>
    <t>Monument Mall</t>
  </si>
  <si>
    <t>Newcastle</t>
  </si>
  <si>
    <t>2012-06-01</t>
  </si>
  <si>
    <t>Victoria Gate Phase 1</t>
  </si>
  <si>
    <t>Victoria Gate Phase 2</t>
  </si>
  <si>
    <t>2021-06-01</t>
  </si>
  <si>
    <t>The Goodsyard (Phase 1 Only)</t>
  </si>
  <si>
    <t>2018-03-01</t>
  </si>
  <si>
    <t>Lillie Square</t>
  </si>
  <si>
    <t>Earls Court</t>
  </si>
  <si>
    <t>Kings Crt &amp; Carriage Hall</t>
  </si>
  <si>
    <t>Covent Garden</t>
  </si>
  <si>
    <t>2014-10-10</t>
  </si>
  <si>
    <t>Earls Court 1</t>
  </si>
  <si>
    <t>2023-09-01</t>
  </si>
  <si>
    <t>Earls Court 2</t>
  </si>
  <si>
    <t>2019-06-01</t>
  </si>
  <si>
    <t>2026-09-01</t>
  </si>
  <si>
    <t>Stephen St Phase 2</t>
  </si>
  <si>
    <t>2011-09-30</t>
  </si>
  <si>
    <t>2014-07-30</t>
  </si>
  <si>
    <t>40 Chancery Lane</t>
  </si>
  <si>
    <t>2015-03-25</t>
  </si>
  <si>
    <t>Mid-Town</t>
  </si>
  <si>
    <t>2012-06-30</t>
  </si>
  <si>
    <t>Turnmill</t>
  </si>
  <si>
    <t>City fringe</t>
  </si>
  <si>
    <t>2015-01-01</t>
  </si>
  <si>
    <t>Queen's, 96-98 Bishop's Bridge Rd</t>
  </si>
  <si>
    <t>2013-03-31</t>
  </si>
  <si>
    <t>2014-12-29</t>
  </si>
  <si>
    <t>73 Charlotte St</t>
  </si>
  <si>
    <t>2014-01-31</t>
  </si>
  <si>
    <t>2014-01-01</t>
  </si>
  <si>
    <t>2016-09-30</t>
  </si>
  <si>
    <t>Stephen St Phase 3 retail</t>
  </si>
  <si>
    <t>2014-07-28</t>
  </si>
  <si>
    <t>2015-06-30</t>
  </si>
  <si>
    <t>80 Charlotte St</t>
  </si>
  <si>
    <t>Paddington</t>
  </si>
  <si>
    <t>240 Blackfriars Rd</t>
  </si>
  <si>
    <t>2014-03-31</t>
  </si>
  <si>
    <t>Walmar House</t>
  </si>
  <si>
    <t>2011-08-30</t>
  </si>
  <si>
    <t>2014-08-30</t>
  </si>
  <si>
    <t>Fetter Lane</t>
  </si>
  <si>
    <t>2014-09-16</t>
  </si>
  <si>
    <t>2013-04-30</t>
  </si>
  <si>
    <t>30 Broadwick St</t>
  </si>
  <si>
    <t>Soho</t>
  </si>
  <si>
    <t>2014-06-30</t>
  </si>
  <si>
    <t>78/82 Great Portland St</t>
  </si>
  <si>
    <t>2017-12-31</t>
  </si>
  <si>
    <t>2017-06-30</t>
  </si>
  <si>
    <t>Oxford St (E)</t>
  </si>
  <si>
    <t>2015-03-31</t>
  </si>
  <si>
    <t>2017-04-30</t>
  </si>
  <si>
    <t>Tasman Hse, Wells St</t>
  </si>
  <si>
    <t>Oxford Hse, 76 Oxford St</t>
  </si>
  <si>
    <t>Oxford St. (E)</t>
  </si>
  <si>
    <t>2019-07-31</t>
  </si>
  <si>
    <t>Hanover Square</t>
  </si>
  <si>
    <t>Mayfair</t>
  </si>
  <si>
    <t>2017-09-01</t>
  </si>
  <si>
    <t>2020-09-30</t>
  </si>
  <si>
    <t>25 Churchill Pl</t>
  </si>
  <si>
    <t>2014-09-29</t>
  </si>
  <si>
    <t>Newfoundland</t>
  </si>
  <si>
    <t>2015-01-19</t>
  </si>
  <si>
    <t>2018-05-05</t>
  </si>
  <si>
    <t>Shell Centre</t>
  </si>
  <si>
    <t>Whole scheme</t>
  </si>
  <si>
    <t>Waterloo</t>
  </si>
  <si>
    <t>2017-03-31</t>
  </si>
  <si>
    <t>Heron Quays West (1&amp;10 Bank St)</t>
  </si>
  <si>
    <t>2014-11-30</t>
  </si>
  <si>
    <t>2017-05-31</t>
  </si>
  <si>
    <t>Wood Wharf 1</t>
  </si>
  <si>
    <t>2014-12-30</t>
  </si>
  <si>
    <t>2019-03-01</t>
  </si>
  <si>
    <t>Foubert's Place/Kingley St</t>
  </si>
  <si>
    <t>SoHo</t>
  </si>
  <si>
    <t>2013-06-30</t>
  </si>
  <si>
    <t>Carter Lane</t>
  </si>
  <si>
    <t>2014-04-01</t>
  </si>
  <si>
    <t>Berkhamsted</t>
  </si>
  <si>
    <t>Bishops Auckland Phase 2</t>
  </si>
  <si>
    <t>Bishops Auckland</t>
  </si>
  <si>
    <t>Kirkstall, Leeds</t>
  </si>
  <si>
    <t>2014-09-01</t>
  </si>
  <si>
    <t>St Austell</t>
  </si>
  <si>
    <t>Airport Retail Coventry</t>
  </si>
  <si>
    <t>Coventry</t>
  </si>
  <si>
    <t>2014-11-01</t>
  </si>
  <si>
    <t>2015-08-01</t>
  </si>
  <si>
    <t>Islip Distribution Centre</t>
  </si>
  <si>
    <t>Distribution</t>
  </si>
  <si>
    <t>Islip</t>
  </si>
  <si>
    <t>2014-08-01</t>
  </si>
  <si>
    <t>Derby</t>
  </si>
  <si>
    <t>Warrington</t>
  </si>
  <si>
    <t>Swindon</t>
  </si>
  <si>
    <t>Heathrow-Portal</t>
  </si>
  <si>
    <t>2015-08-26</t>
  </si>
  <si>
    <t>Heathrow</t>
  </si>
  <si>
    <t>Park Royal - Tudor</t>
  </si>
  <si>
    <t>W London</t>
  </si>
  <si>
    <t>Park Royal - Origin (Phase 3)</t>
  </si>
  <si>
    <t>Park Royal - Westway</t>
  </si>
  <si>
    <t>Riverside - Uxbridge</t>
  </si>
  <si>
    <t>Uxbridge</t>
  </si>
  <si>
    <t>Imperial Way - Reading</t>
  </si>
  <si>
    <t>Reading</t>
  </si>
  <si>
    <t>12 Liverpool Road - Slough</t>
  </si>
  <si>
    <t>2015-02-25</t>
  </si>
  <si>
    <t>Slough</t>
  </si>
  <si>
    <t>234 Bath Road - Slough</t>
  </si>
  <si>
    <t>2014-10-01</t>
  </si>
  <si>
    <t>2016-02-01</t>
  </si>
  <si>
    <t>255-8 Ipswich Road - Slough</t>
  </si>
  <si>
    <t>2016-05-01</t>
  </si>
  <si>
    <t>772-779 Buckingham Avenue - Slough</t>
  </si>
  <si>
    <t>Ajax Avenue North - Slough</t>
  </si>
  <si>
    <t>Dusseldorf (ASICS)</t>
  </si>
  <si>
    <t>Dusseldorf</t>
  </si>
  <si>
    <t>Dusseldorf (Speculative)</t>
  </si>
  <si>
    <t>Frankfurt (Oxid7)</t>
  </si>
  <si>
    <t>Frankfurt</t>
  </si>
  <si>
    <t>Nuremberg</t>
  </si>
  <si>
    <t>Paris (Norbert Dentressangle)</t>
  </si>
  <si>
    <t>Paris</t>
  </si>
  <si>
    <t>Gdansk</t>
  </si>
  <si>
    <t>Poznan (VW)</t>
  </si>
  <si>
    <t>Poznan</t>
  </si>
  <si>
    <t>Poznan (DPD)</t>
  </si>
  <si>
    <t>Warsaw</t>
  </si>
  <si>
    <t>UK 100% Future Pipeline</t>
  </si>
  <si>
    <t>2016-12-01</t>
  </si>
  <si>
    <t>UK JV Future Pipeline</t>
  </si>
  <si>
    <t>EU 100% Future Pipeline</t>
  </si>
  <si>
    <t>Europe</t>
  </si>
  <si>
    <t>EU JV Future Pipeline</t>
  </si>
  <si>
    <t>UK 100% Land Bank</t>
  </si>
  <si>
    <t>UK JV Land Bank</t>
  </si>
  <si>
    <t>EU 100% Land Bank</t>
  </si>
  <si>
    <t>EU JV Land Bank</t>
  </si>
  <si>
    <t>100 Liverpool Street</t>
  </si>
  <si>
    <t>Plymouth Leisure</t>
  </si>
  <si>
    <t>Plymouth</t>
  </si>
  <si>
    <t>2016-07-15</t>
  </si>
  <si>
    <t>21 Moorfields</t>
  </si>
  <si>
    <t>Westgate, Oxford</t>
  </si>
  <si>
    <t>Oxford</t>
  </si>
  <si>
    <t>2017-10-05</t>
  </si>
  <si>
    <t>Worcester Woods</t>
  </si>
  <si>
    <t>Worcester</t>
  </si>
  <si>
    <t>Selly Oak</t>
  </si>
  <si>
    <t>Birmingham</t>
  </si>
  <si>
    <t>2018-09-01</t>
  </si>
  <si>
    <t>Portland House</t>
  </si>
  <si>
    <t>2017-01-01</t>
  </si>
  <si>
    <t>Nova, Victoria (Phase II)</t>
  </si>
  <si>
    <t>2016-10-01</t>
  </si>
  <si>
    <t>Ealing Filmworks</t>
  </si>
  <si>
    <t>Intu Broadmarsh</t>
  </si>
  <si>
    <t>2018-09-30</t>
  </si>
  <si>
    <t>Cribbs Causeway</t>
  </si>
  <si>
    <t>Bristol</t>
  </si>
  <si>
    <t>2019-07-01</t>
  </si>
  <si>
    <t>2021-09-30</t>
  </si>
  <si>
    <t>Malaga</t>
  </si>
  <si>
    <t>2018-06-30</t>
  </si>
  <si>
    <t>Valancia</t>
  </si>
  <si>
    <t>Palma</t>
  </si>
  <si>
    <t>2022-12-30</t>
  </si>
  <si>
    <t>1 Oxford Street</t>
  </si>
  <si>
    <t>2018-07-31</t>
  </si>
  <si>
    <t>25 Savile Row</t>
  </si>
  <si>
    <t>2018-10-31</t>
  </si>
  <si>
    <t>Wedge House</t>
  </si>
  <si>
    <t>Hotel &amp; Office</t>
  </si>
  <si>
    <t>Southbank</t>
  </si>
  <si>
    <t>2016-03-31</t>
  </si>
  <si>
    <t>Balmoral Grove</t>
  </si>
  <si>
    <t>Monmouth House</t>
  </si>
  <si>
    <t>2017-10-31</t>
  </si>
  <si>
    <t>2020-01-31</t>
  </si>
  <si>
    <t>Network Building</t>
  </si>
  <si>
    <t>19-35 Baker Street</t>
  </si>
  <si>
    <t>2020-10-30</t>
  </si>
  <si>
    <t>2020-07-30</t>
  </si>
  <si>
    <t>Holden House</t>
  </si>
  <si>
    <t>Trenchard Street</t>
  </si>
  <si>
    <t>2015-08-05</t>
  </si>
  <si>
    <t>Greetham Street</t>
  </si>
  <si>
    <t>Student Resi</t>
  </si>
  <si>
    <t>Portsmouth</t>
  </si>
  <si>
    <t>Causewayend</t>
  </si>
  <si>
    <t>Aberdeen</t>
  </si>
  <si>
    <t>Far Gosford Street</t>
  </si>
  <si>
    <t>Newgate Street</t>
  </si>
  <si>
    <t>2017-08-01</t>
  </si>
  <si>
    <t>St Leonards</t>
  </si>
  <si>
    <t>Edinburgh</t>
  </si>
  <si>
    <t>Tara House</t>
  </si>
  <si>
    <t>Liverpool</t>
  </si>
  <si>
    <t>Constitution Street</t>
  </si>
  <si>
    <t>Angel Lane</t>
  </si>
  <si>
    <t>Stapleton House</t>
  </si>
  <si>
    <t>Grand Union Studios*</t>
  </si>
  <si>
    <t>2014-12-31</t>
  </si>
  <si>
    <t>2015-12-31</t>
  </si>
  <si>
    <t>Bow Enterprise Park (phase 1)*</t>
  </si>
  <si>
    <t>The Faircharm*</t>
  </si>
  <si>
    <t>2016-06-30</t>
  </si>
  <si>
    <t>Poplar Business Park (Phase 1)*</t>
  </si>
  <si>
    <t>Bow Enterprise Park (Phase 2)*</t>
  </si>
  <si>
    <t>The Biscuit Factory*</t>
  </si>
  <si>
    <t>Bow Enterprise Park (Phase 3)*</t>
  </si>
  <si>
    <t>2019-05-31</t>
  </si>
  <si>
    <t>Poplar Business Park (phase 2/3)*</t>
  </si>
  <si>
    <t>2017-05-01</t>
  </si>
  <si>
    <t>2019-04-30</t>
  </si>
  <si>
    <t>The Light Bulb (Phase 2)*</t>
  </si>
  <si>
    <t>Arches Business Centre*</t>
  </si>
  <si>
    <t>Marshgate*</t>
  </si>
  <si>
    <t>2018-12-31</t>
  </si>
  <si>
    <t>Rainbow Industrial Estate*</t>
  </si>
  <si>
    <t>Highway Business Park*</t>
  </si>
  <si>
    <t>Lombard House*</t>
  </si>
  <si>
    <t>Chocolate Factory*</t>
  </si>
  <si>
    <t>Stratford Office Village*</t>
  </si>
  <si>
    <t>Cargo Works</t>
  </si>
  <si>
    <t>2014-04-30</t>
  </si>
  <si>
    <t>2015-04-30</t>
  </si>
  <si>
    <t>Barley Mow Centre</t>
  </si>
  <si>
    <t>Greville Street</t>
  </si>
  <si>
    <t>Southbank House</t>
  </si>
  <si>
    <t>2019-06-30</t>
  </si>
  <si>
    <t>Leroy House</t>
  </si>
  <si>
    <t>Mare Street Studios</t>
  </si>
  <si>
    <t>Pall Mall Deposit</t>
  </si>
  <si>
    <t>Havelock Terrace</t>
  </si>
  <si>
    <t>Apex House</t>
  </si>
  <si>
    <t>2015-07-31</t>
  </si>
  <si>
    <t>2017-12-01</t>
  </si>
  <si>
    <t>Macaulay Road</t>
  </si>
  <si>
    <t>Hortensia Road</t>
  </si>
  <si>
    <t>Seven Sisters</t>
  </si>
  <si>
    <t>Berewood</t>
  </si>
  <si>
    <t>Various Schemes (2015)</t>
  </si>
  <si>
    <t>Healthcare</t>
  </si>
  <si>
    <t>Various Schemes (2016)</t>
  </si>
  <si>
    <t>Silverburn Phase 4</t>
  </si>
  <si>
    <t>Les 3 Fontaines</t>
  </si>
  <si>
    <t>Enfield - Navigation Park</t>
  </si>
  <si>
    <t>N London</t>
  </si>
  <si>
    <t>Heathrow - Poyle</t>
  </si>
  <si>
    <t>Park Royal Origin (ph 2)</t>
  </si>
  <si>
    <t>Slough 415/448 Montrose Avenue</t>
  </si>
  <si>
    <t>Germany - Berlin</t>
  </si>
  <si>
    <t>Germany</t>
  </si>
  <si>
    <t>Berlin</t>
  </si>
  <si>
    <t>Cologne</t>
  </si>
  <si>
    <t>Bologna</t>
  </si>
  <si>
    <t>Italy</t>
  </si>
  <si>
    <t>Gliwice</t>
  </si>
  <si>
    <t>Poland</t>
  </si>
  <si>
    <t>Nadarzyn</t>
  </si>
  <si>
    <t>2015-08-27</t>
  </si>
  <si>
    <t>Switzerland</t>
  </si>
  <si>
    <t>Rheinfelden</t>
  </si>
  <si>
    <t>2013-08-01</t>
  </si>
  <si>
    <t>Grosspeter Tower</t>
  </si>
  <si>
    <t>Basel</t>
  </si>
  <si>
    <t>2016-12-31</t>
  </si>
  <si>
    <t>Geneve Plage</t>
  </si>
  <si>
    <t>Leisure</t>
  </si>
  <si>
    <t>Geneva</t>
  </si>
  <si>
    <t>Hardturmstrasse 161</t>
  </si>
  <si>
    <t>Zurich</t>
  </si>
  <si>
    <t>Bahnhofquai Platz</t>
  </si>
  <si>
    <t>Bellinzona</t>
  </si>
  <si>
    <t>Senior Living</t>
  </si>
  <si>
    <t>2015-08-28</t>
  </si>
  <si>
    <t>Berne, Weltpoststrasse 1-3</t>
  </si>
  <si>
    <t>Berne</t>
  </si>
  <si>
    <t>Zurich, Flurstrasse 55</t>
  </si>
  <si>
    <t>Zurich, Naphtastrasse 10</t>
  </si>
  <si>
    <t>2015-11-30</t>
  </si>
  <si>
    <t>2015-10-31</t>
  </si>
  <si>
    <t>2016-05-23</t>
  </si>
  <si>
    <t>2016-05-31</t>
  </si>
  <si>
    <t>Blossom St, Shoreditch</t>
  </si>
  <si>
    <t>2020-04-01</t>
  </si>
  <si>
    <t>2020-03-15</t>
  </si>
  <si>
    <t>SQY Ouest</t>
  </si>
  <si>
    <t>Brent Cross Extension</t>
  </si>
  <si>
    <t>2016-11-30</t>
  </si>
  <si>
    <t>2016-02-25</t>
  </si>
  <si>
    <t>2019-05-01</t>
  </si>
  <si>
    <t>Brunel Building</t>
  </si>
  <si>
    <t>2016-08-31</t>
  </si>
  <si>
    <t>2015-11-28</t>
  </si>
  <si>
    <t>Sold</t>
  </si>
  <si>
    <t>2017-10-01</t>
  </si>
  <si>
    <t>Warrington (Old)</t>
  </si>
  <si>
    <t>2016-02-19</t>
  </si>
  <si>
    <t>2019-01-01</t>
  </si>
  <si>
    <t>2022-06-30</t>
  </si>
  <si>
    <t>2024-12-31</t>
  </si>
  <si>
    <t>2019-12-01</t>
  </si>
  <si>
    <t>2019-09-01</t>
  </si>
  <si>
    <t>1 Sherwood Street</t>
  </si>
  <si>
    <t>2018-04-01</t>
  </si>
  <si>
    <t>2020-09-01</t>
  </si>
  <si>
    <t>Valencia</t>
  </si>
  <si>
    <t>2018-02-01</t>
  </si>
  <si>
    <t>2016-02-24</t>
  </si>
  <si>
    <t>Wembley Park / Olympic Way</t>
  </si>
  <si>
    <t>2015-11-20</t>
  </si>
  <si>
    <t>Vox Studios</t>
  </si>
  <si>
    <t>The Print Rooms</t>
  </si>
  <si>
    <t>2020-03-31</t>
  </si>
  <si>
    <t>2015-11-23</t>
  </si>
  <si>
    <t>2016-02-28</t>
  </si>
  <si>
    <t>Germany - Cologne Phase 1</t>
  </si>
  <si>
    <t>Germany - Cologne Phase 2/3</t>
  </si>
  <si>
    <t>2016-08-01</t>
  </si>
  <si>
    <t>Salmenpark Phase 1</t>
  </si>
  <si>
    <t>2016-03-16</t>
  </si>
  <si>
    <t>2016-01-15</t>
  </si>
  <si>
    <t>Wakefield</t>
  </si>
  <si>
    <t>Kings Lynn</t>
  </si>
  <si>
    <t>Leicester, St Margarets</t>
  </si>
  <si>
    <t>Leicester</t>
  </si>
  <si>
    <t>Hove</t>
  </si>
  <si>
    <t>Tonbridge</t>
  </si>
  <si>
    <t>Loughborough</t>
  </si>
  <si>
    <t>Ferndown</t>
  </si>
  <si>
    <t>2015-12-05</t>
  </si>
  <si>
    <t>Glasgow Fort</t>
  </si>
  <si>
    <t>1 Finsbury Avenue</t>
  </si>
  <si>
    <t>2019-12-31</t>
  </si>
  <si>
    <t>1 Triton Square</t>
  </si>
  <si>
    <t>New Mersey Shopping Park</t>
  </si>
  <si>
    <t>Forster Retail Park, Bradford</t>
  </si>
  <si>
    <t>54 Broadway, Ealing</t>
  </si>
  <si>
    <t>Eden Walk, Kingston</t>
  </si>
  <si>
    <t>2020-12-31</t>
  </si>
  <si>
    <t>2-3 Finsbury Avenue</t>
  </si>
  <si>
    <t>Meadowhall Leisure</t>
  </si>
  <si>
    <t>Putney High Street</t>
  </si>
  <si>
    <t>Buchanan Galleries, Glasgow</t>
  </si>
  <si>
    <t>84/86 Great Portland St</t>
  </si>
  <si>
    <t>W1</t>
  </si>
  <si>
    <t>57 Broadwick Street</t>
  </si>
  <si>
    <t>Heathrow - Skyline</t>
  </si>
  <si>
    <t>2016-08-30</t>
  </si>
  <si>
    <t>Portsmouth - Voyager Park</t>
  </si>
  <si>
    <t>Germany - Ingolstadt 2</t>
  </si>
  <si>
    <t>Germany - Leipzig</t>
  </si>
  <si>
    <t>France - Paris</t>
  </si>
  <si>
    <t>France</t>
  </si>
  <si>
    <t>France - Paris 2</t>
  </si>
  <si>
    <t>Italy - Milan</t>
  </si>
  <si>
    <t>Milan</t>
  </si>
  <si>
    <t>Italy - Piacenza</t>
  </si>
  <si>
    <t>Piacenza</t>
  </si>
  <si>
    <t>Poland - Gliwice 2</t>
  </si>
  <si>
    <t>Poland - Hostivice</t>
  </si>
  <si>
    <t>Hostivice</t>
  </si>
  <si>
    <t>Poland - Duchnice</t>
  </si>
  <si>
    <t>Duchnice</t>
  </si>
  <si>
    <t>Spain - Barcelona</t>
  </si>
  <si>
    <t>Barcelona</t>
  </si>
  <si>
    <t>Millenium Point</t>
  </si>
  <si>
    <t>Old BRI</t>
  </si>
  <si>
    <t>Brunel House</t>
  </si>
  <si>
    <t>Union Square</t>
  </si>
  <si>
    <t>Oldbury, Dudley</t>
  </si>
  <si>
    <t>Dudley</t>
  </si>
  <si>
    <t>20 Farringdon Road</t>
  </si>
  <si>
    <t>Angel Square</t>
  </si>
  <si>
    <t>Paradiso Lugano</t>
  </si>
  <si>
    <t>Lugano</t>
  </si>
  <si>
    <t>Salmenpark Phase 2</t>
  </si>
  <si>
    <t>Berne, Viktoriastasse 21</t>
  </si>
  <si>
    <t>Schlieren, Zurcherstrasse 29 (NZZ printing Facility)</t>
  </si>
  <si>
    <t>Education</t>
  </si>
  <si>
    <t>Schlieren</t>
  </si>
  <si>
    <t>Zurich, Brandschenkenstrasse 25 (Motel One)</t>
  </si>
  <si>
    <t>2015-09-30</t>
  </si>
  <si>
    <t>2017-08-31</t>
  </si>
  <si>
    <t>Project Orion (Zurich)</t>
  </si>
  <si>
    <t>2016-04-22</t>
  </si>
  <si>
    <t>Siemens Site (Zurich)</t>
  </si>
  <si>
    <t>Espace Tourbillon, Plan-Les-Ouates</t>
  </si>
  <si>
    <t>Science Park, Basel</t>
  </si>
  <si>
    <t>2021-06-30</t>
  </si>
  <si>
    <t>Skelhorne, Liverpool</t>
  </si>
  <si>
    <t>Crawley Homewares Park</t>
  </si>
  <si>
    <t>2016-05-24</t>
  </si>
  <si>
    <t>Glasgow Fort Retail</t>
  </si>
  <si>
    <t>Gun Hill, Wellesley</t>
  </si>
  <si>
    <t>2016-05-27</t>
  </si>
  <si>
    <t>Clippers Quay</t>
  </si>
  <si>
    <t>Newbury</t>
  </si>
  <si>
    <t>Leicester Aldi</t>
  </si>
  <si>
    <t>Non-office properties make up 6% of the portfolio.</t>
  </si>
  <si>
    <t>West End excludes Islington/Camden</t>
  </si>
  <si>
    <t>City is Holborn + Old Street</t>
  </si>
  <si>
    <t>Office and retail development, completed in 2015</t>
  </si>
  <si>
    <t>Q4 '16</t>
  </si>
  <si>
    <t>Q1 '19</t>
  </si>
  <si>
    <t>*Map figures were taken from the company presentation</t>
  </si>
  <si>
    <t>The Picadilly Buildings</t>
  </si>
  <si>
    <t>Series of 6 buildings on Piccadilly and Jermyn Streets</t>
  </si>
  <si>
    <t>20 Fenchurch St</t>
  </si>
  <si>
    <t>Walkie-Talkie development, completed in 2014</t>
  </si>
  <si>
    <t>Nova, Victoria</t>
  </si>
  <si>
    <t>City Tower &amp; City Place</t>
  </si>
  <si>
    <t>Large campus next to Crossrail. Capex required.</t>
  </si>
  <si>
    <t>Oxford St</t>
  </si>
  <si>
    <t>(3) Green Street estimated valuations</t>
  </si>
  <si>
    <t>French Diversified</t>
  </si>
  <si>
    <r>
      <t>www.greenstreetadvisors.com</t>
    </r>
    <r>
      <rPr>
        <sz val="10"/>
        <rFont val="Arial"/>
        <family val="2"/>
      </rPr>
      <t xml:space="preserve">  </t>
    </r>
    <r>
      <rPr>
        <sz val="8"/>
        <rFont val="Arial Narrow"/>
        <family val="2"/>
      </rPr>
      <t>© 2016, Green Street Advisors, LLC</t>
    </r>
  </si>
  <si>
    <t>Madrid Office</t>
  </si>
  <si>
    <t>Barcelona Office</t>
  </si>
  <si>
    <t>Office sf</t>
  </si>
  <si>
    <t>Total sf</t>
  </si>
  <si>
    <t>2016-07-28</t>
  </si>
  <si>
    <t>2016-07-26</t>
  </si>
  <si>
    <t>Rugby Pre-let</t>
  </si>
  <si>
    <t>2018-08-01</t>
  </si>
  <si>
    <t>2019-08-01</t>
  </si>
  <si>
    <t>2017-07-31</t>
  </si>
  <si>
    <t>The Record Hall</t>
  </si>
  <si>
    <t>2018-05-31</t>
  </si>
  <si>
    <t>Germany Frankfurt</t>
  </si>
  <si>
    <t>Italy - Bologna</t>
  </si>
  <si>
    <t>Poland - Gliwice 1</t>
  </si>
  <si>
    <t>Rugby Speculative</t>
  </si>
  <si>
    <t>Germany - Ingolstadt 1</t>
  </si>
  <si>
    <t>Ingolstadt</t>
  </si>
  <si>
    <t>Leipzig</t>
  </si>
  <si>
    <t>France - Paris 1</t>
  </si>
  <si>
    <t>The Leathermarket</t>
  </si>
  <si>
    <t>Edinburgh House</t>
  </si>
  <si>
    <t>Chaucer House</t>
  </si>
  <si>
    <t>International House</t>
  </si>
  <si>
    <t>Rathbone Square</t>
  </si>
  <si>
    <t>Prominent office buildings in the core of the City</t>
  </si>
  <si>
    <t>Q3 '19</t>
  </si>
  <si>
    <t>Cancelled</t>
  </si>
  <si>
    <t>2016-08-18</t>
  </si>
  <si>
    <t>2019-10-01</t>
  </si>
  <si>
    <t>Q2 '16</t>
  </si>
  <si>
    <t>2016-11-22</t>
  </si>
  <si>
    <t>2016-09-13</t>
  </si>
  <si>
    <t>2016-10-30</t>
  </si>
  <si>
    <t>2017-02-15</t>
  </si>
  <si>
    <t>2023-06-30</t>
  </si>
  <si>
    <t>2026-06-30</t>
  </si>
  <si>
    <t>The Clarges Office</t>
  </si>
  <si>
    <t>2016-11-23</t>
  </si>
  <si>
    <t>2016-10-15</t>
  </si>
  <si>
    <t>2021-03-30</t>
  </si>
  <si>
    <t>2027-12-31</t>
  </si>
  <si>
    <t>2021-03-15</t>
  </si>
  <si>
    <t>2017-06-15</t>
  </si>
  <si>
    <t>2022-03-01</t>
  </si>
  <si>
    <t>2016-09-07</t>
  </si>
  <si>
    <t>2018-01-06</t>
  </si>
  <si>
    <t>2021-03-01</t>
  </si>
  <si>
    <t>2016-11-21</t>
  </si>
  <si>
    <t>W1W 7NW</t>
  </si>
  <si>
    <t xml:space="preserve">160 Old Street </t>
  </si>
  <si>
    <t>2018-10-15</t>
  </si>
  <si>
    <t>2020-09-15</t>
  </si>
  <si>
    <t>2021-04-01</t>
  </si>
  <si>
    <t>2023-09-30</t>
  </si>
  <si>
    <t>2023-12-30</t>
  </si>
  <si>
    <t>2024-03-30</t>
  </si>
  <si>
    <t>2027-06-30</t>
  </si>
  <si>
    <t>2018-07-01</t>
  </si>
  <si>
    <t>2020-09-28</t>
  </si>
  <si>
    <t>2020-07-31</t>
  </si>
  <si>
    <t>2022-10-31</t>
  </si>
  <si>
    <t>Premier House</t>
  </si>
  <si>
    <t>2016-11-11</t>
  </si>
  <si>
    <t>The Frames</t>
  </si>
  <si>
    <t>Brickfields</t>
  </si>
  <si>
    <t>2016-12-05</t>
  </si>
  <si>
    <t>Various Schemes (2017)</t>
  </si>
  <si>
    <t>2016-11-25</t>
  </si>
  <si>
    <t>2022-06-01</t>
  </si>
  <si>
    <t>2016-08-25</t>
  </si>
  <si>
    <t>2016-08-26</t>
  </si>
  <si>
    <t>2019-03-31</t>
  </si>
  <si>
    <t>2016-12-08</t>
  </si>
  <si>
    <t>VB</t>
  </si>
  <si>
    <t>2018-10-01</t>
  </si>
  <si>
    <t>2017-04-15</t>
  </si>
  <si>
    <t>On Hold</t>
  </si>
  <si>
    <t>2017-02-01</t>
  </si>
  <si>
    <t>Charing Cross Road (Newport Court)</t>
  </si>
  <si>
    <t>2016-09-06</t>
  </si>
  <si>
    <t>The White Chapel Building Phase 1</t>
  </si>
  <si>
    <t>2016-08-24</t>
  </si>
  <si>
    <t>2021-12-31</t>
  </si>
  <si>
    <t>Aldershot</t>
  </si>
  <si>
    <t>Salford</t>
  </si>
  <si>
    <t>Berkshire</t>
  </si>
  <si>
    <t>The White Chapel Building Phase 2</t>
  </si>
  <si>
    <t>wkp</t>
  </si>
  <si>
    <t>Vox Studios (Phase 2)</t>
  </si>
  <si>
    <t>The Light Box</t>
  </si>
  <si>
    <t>2016-12-29</t>
  </si>
  <si>
    <t>Easton Street</t>
  </si>
  <si>
    <t>Various Schemes (2018+)</t>
  </si>
  <si>
    <t>The Clarges Retail / Resi</t>
  </si>
  <si>
    <t>135 Bishopsgate</t>
  </si>
  <si>
    <t>Gateway Building</t>
  </si>
  <si>
    <t>Bradford Retail/Leisure</t>
  </si>
  <si>
    <t>Re</t>
  </si>
  <si>
    <t>Finzels Reach</t>
  </si>
  <si>
    <t>Yorkshire Post</t>
  </si>
  <si>
    <t>Tonbridge 2</t>
  </si>
  <si>
    <t>2016-10-31</t>
  </si>
  <si>
    <t>Ipswich</t>
  </si>
  <si>
    <t>Bedford</t>
  </si>
  <si>
    <t>2017-03-07</t>
  </si>
  <si>
    <t>Stoke</t>
  </si>
  <si>
    <t>2018-03-31</t>
  </si>
  <si>
    <t>Crawley 2</t>
  </si>
  <si>
    <t>Launcestion</t>
  </si>
  <si>
    <t>London Office</t>
  </si>
  <si>
    <t>UK Retail</t>
  </si>
  <si>
    <t>UK Shopping Centres</t>
  </si>
  <si>
    <t>UK Retail Parks</t>
  </si>
  <si>
    <t>Q1 2017</t>
  </si>
  <si>
    <t>Q1 2018</t>
  </si>
  <si>
    <t>Q2 2017</t>
  </si>
  <si>
    <t>Q4 2017</t>
  </si>
  <si>
    <r>
      <t>www.greenstreetadvisors.com</t>
    </r>
    <r>
      <rPr>
        <sz val="10"/>
        <rFont val="Arial"/>
        <family val="2"/>
      </rPr>
      <t xml:space="preserve">  </t>
    </r>
    <r>
      <rPr>
        <sz val="8"/>
        <rFont val="Arial Narrow"/>
        <family val="2"/>
      </rPr>
      <t>© 2017, Green Street Advisors, LLC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</si>
</sst>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6" formatCode="&quot;£&quot;#,##0;[Red]\-&quot;£&quot;#,##0"/>
    <numFmt numFmtId="41" formatCode="_-* #,##0_-;\-* #,##0_-;_-* &quot;-&quot;_-;_-@_-"/>
    <numFmt numFmtId="43" formatCode="_-* #,##0.00_-;\-* #,##0.00_-;_-* &quot;-&quot;??_-;_-@_-"/>
    <numFmt numFmtId="164" formatCode="&quot;$&quot;#,##0_);\(&quot;$&quot;#,##0\)"/>
    <numFmt numFmtId="165" formatCode="&quot;$&quot;#,##0.00_);[Red]\(&quot;$&quot;#,##0.00\)"/>
    <numFmt numFmtId="166" formatCode="&quot;£&quot;#,##0.0"/>
    <numFmt numFmtId="167" formatCode="0.0%"/>
    <numFmt numFmtId="168" formatCode="&quot;£&quot;#,##0"/>
    <numFmt numFmtId="169" formatCode="#,##0.0_);\(#,##0.0\)"/>
    <numFmt numFmtId="170" formatCode="General_)"/>
    <numFmt numFmtId="171" formatCode="mmmm\ d\,\ yyyy"/>
    <numFmt numFmtId="172" formatCode="m/d/yy_%_)"/>
    <numFmt numFmtId="173" formatCode="_([$€-2]* #,##0.00_);_([$€-2]* \(#,##0.00\);_([$€-2]* &quot;-&quot;??_)"/>
    <numFmt numFmtId="174" formatCode="#,##0.0"/>
    <numFmt numFmtId="175" formatCode="#,##0.0_);[Red]\(#,##0.0\)"/>
    <numFmt numFmtId="176" formatCode=";;;@*."/>
    <numFmt numFmtId="177" formatCode="#,##0.0\x_)_);\(#,##0.0\x\)_);#,##0.0\x_)_);@_%_)"/>
    <numFmt numFmtId="178" formatCode="###0.0;[Red]\-###0.0"/>
    <numFmt numFmtId="179" formatCode="0.0%;[Red]\(0.0%\)"/>
    <numFmt numFmtId="180" formatCode="#,##0.0\%_);\(#,##0.0\%\);#,##0.0\%_);@_%_)"/>
    <numFmt numFmtId="181" formatCode="&quot;fl&quot;\ #,##0_-;&quot;fl&quot;\ #,##0\-"/>
    <numFmt numFmtId="182" formatCode="#,##0\ &quot;DM&quot;;[Red]\-#,##0\ &quot;DM&quot;"/>
    <numFmt numFmtId="183" formatCode="#,##0.000"/>
    <numFmt numFmtId="184" formatCode="0_%_);\(0\)_%;0_%_);@_%_)"/>
    <numFmt numFmtId="185" formatCode="&quot;£&quot;#,##0.00"/>
    <numFmt numFmtId="186" formatCode="#,##0_ ;\-#,##0\ "/>
    <numFmt numFmtId="187" formatCode="&quot;£&quot;#,##0;\-&quot;£&quot;#,##0;"/>
    <numFmt numFmtId="188" formatCode="0%;\-0%;"/>
    <numFmt numFmtId="189" formatCode="#,##0.0000"/>
    <numFmt numFmtId="190" formatCode="mmmm\ yyyy"/>
  </numFmts>
  <fonts count="79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b/>
      <sz val="6"/>
      <color indexed="18"/>
      <name val="Arial"/>
      <family val="2"/>
    </font>
    <font>
      <b/>
      <sz val="6"/>
      <name val="Arial"/>
      <family val="2"/>
    </font>
    <font>
      <i/>
      <sz val="10.5"/>
      <name val="Georgia"/>
      <family val="1"/>
    </font>
    <font>
      <b/>
      <sz val="10"/>
      <name val="Arial"/>
      <family val="2"/>
    </font>
    <font>
      <sz val="24.5"/>
      <color indexed="16"/>
      <name val="Arial"/>
      <family val="2"/>
    </font>
    <font>
      <b/>
      <sz val="11"/>
      <name val="Georgia"/>
      <family val="1"/>
    </font>
    <font>
      <sz val="13"/>
      <name val="Georgia"/>
      <family val="1"/>
    </font>
    <font>
      <sz val="8"/>
      <name val="Arial"/>
      <family val="2"/>
    </font>
    <font>
      <sz val="9"/>
      <name val="Arial"/>
      <family val="2"/>
    </font>
    <font>
      <sz val="8"/>
      <name val="Arial Narrow"/>
      <family val="2"/>
    </font>
    <font>
      <sz val="10.5"/>
      <color indexed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1"/>
      <name val="ＭＳ 明朝"/>
      <family val="1"/>
      <charset val="128"/>
    </font>
    <font>
      <sz val="8"/>
      <color indexed="8"/>
      <name val="Verdana"/>
      <family val="2"/>
    </font>
    <font>
      <b/>
      <sz val="9"/>
      <color indexed="63"/>
      <name val="Arial"/>
      <family val="2"/>
    </font>
    <font>
      <sz val="5"/>
      <name val="Arial"/>
      <family val="2"/>
    </font>
    <font>
      <sz val="8"/>
      <color indexed="9"/>
      <name val="Verdana"/>
      <family val="2"/>
    </font>
    <font>
      <b/>
      <sz val="10"/>
      <color indexed="63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color indexed="12"/>
      <name val="Garamond"/>
      <family val="1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color indexed="8"/>
      <name val="Arial"/>
      <family val="2"/>
    </font>
    <font>
      <b/>
      <sz val="12"/>
      <name val="Arial"/>
      <family val="2"/>
    </font>
    <font>
      <b/>
      <sz val="8"/>
      <color indexed="8"/>
      <name val="Arial"/>
      <family val="2"/>
    </font>
    <font>
      <sz val="8"/>
      <color indexed="20"/>
      <name val="Verdana"/>
      <family val="2"/>
    </font>
    <font>
      <sz val="8"/>
      <name val="Times New Roman"/>
      <family val="1"/>
    </font>
    <font>
      <b/>
      <sz val="8"/>
      <color indexed="52"/>
      <name val="Verdana"/>
      <family val="2"/>
    </font>
    <font>
      <b/>
      <sz val="8"/>
      <color indexed="9"/>
      <name val="Verdana"/>
      <family val="2"/>
    </font>
    <font>
      <sz val="10"/>
      <name val="Book Antiqua"/>
      <family val="1"/>
    </font>
    <font>
      <b/>
      <sz val="14"/>
      <color indexed="10"/>
      <name val="Times New Roman"/>
      <family val="1"/>
    </font>
    <font>
      <sz val="8"/>
      <name val="Times New Roman"/>
      <family val="1"/>
    </font>
    <font>
      <sz val="10"/>
      <name val="Helv"/>
    </font>
    <font>
      <sz val="12"/>
      <color indexed="10"/>
      <name val="Times New Roman"/>
      <family val="1"/>
    </font>
    <font>
      <i/>
      <sz val="8"/>
      <color indexed="55"/>
      <name val="Verdana"/>
      <family val="2"/>
    </font>
    <font>
      <sz val="8"/>
      <color indexed="17"/>
      <name val="Verdana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Verdana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color indexed="62"/>
      <name val="Verdana"/>
      <family val="2"/>
    </font>
    <font>
      <sz val="8"/>
      <color indexed="52"/>
      <name val="Verdana"/>
      <family val="2"/>
    </font>
    <font>
      <sz val="8"/>
      <name val="Palatino"/>
      <family val="1"/>
    </font>
    <font>
      <sz val="10"/>
      <name val="Garamond"/>
      <family val="1"/>
    </font>
    <font>
      <sz val="8"/>
      <color indexed="60"/>
      <name val="Verdana"/>
      <family val="2"/>
    </font>
    <font>
      <sz val="10"/>
      <name val="Times New Roman"/>
      <family val="1"/>
    </font>
    <font>
      <b/>
      <sz val="8"/>
      <color indexed="63"/>
      <name val="Verdana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sz val="7"/>
      <name val="Times New Roman"/>
      <family val="1"/>
    </font>
    <font>
      <b/>
      <u val="singleAccounting"/>
      <sz val="14"/>
      <name val="Times New Roman"/>
      <family val="1"/>
    </font>
    <font>
      <i/>
      <sz val="14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b/>
      <sz val="18"/>
      <color indexed="62"/>
      <name val="Cambria"/>
      <family val="2"/>
    </font>
    <font>
      <b/>
      <u/>
      <sz val="14"/>
      <name val="SWISS"/>
    </font>
    <font>
      <sz val="8"/>
      <color indexed="10"/>
      <name val="Verdana"/>
      <family val="2"/>
    </font>
    <font>
      <b/>
      <sz val="8"/>
      <color indexed="18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vertAlign val="superscript"/>
      <sz val="11"/>
      <name val="Arial"/>
      <family val="2"/>
    </font>
    <font>
      <b/>
      <vertAlign val="superscript"/>
      <sz val="10"/>
      <color indexed="63"/>
      <name val="Arial"/>
      <family val="2"/>
    </font>
    <font>
      <i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9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1"/>
      </patternFill>
    </fill>
    <fill>
      <patternFill patternType="solid">
        <fgColor indexed="37"/>
      </patternFill>
    </fill>
    <fill>
      <patternFill patternType="solid">
        <fgColor indexed="54"/>
      </patternFill>
    </fill>
    <fill>
      <patternFill patternType="solid">
        <fgColor indexed="38"/>
      </patternFill>
    </fill>
    <fill>
      <patternFill patternType="solid">
        <fgColor indexed="25"/>
      </patternFill>
    </fill>
    <fill>
      <patternFill patternType="solid">
        <fgColor indexed="22"/>
      </patternFill>
    </fill>
    <fill>
      <patternFill patternType="solid">
        <fgColor indexed="39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3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mediumGray">
        <fgColor indexed="22"/>
      </patternFill>
    </fill>
    <fill>
      <patternFill patternType="solid">
        <fgColor indexed="31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58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E2F"/>
        <bgColor indexed="64"/>
      </patternFill>
    </fill>
    <fill>
      <patternFill patternType="solid">
        <fgColor rgb="FFFFC000"/>
        <bgColor indexed="64"/>
      </patternFill>
    </fill>
  </fills>
  <borders count="57">
    <border>
      <left/>
      <right/>
      <top/>
      <bottom/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double">
        <color indexed="55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5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39"/>
      </top>
      <bottom/>
      <diagonal/>
    </border>
    <border>
      <left style="medium">
        <color indexed="39"/>
      </left>
      <right/>
      <top style="medium">
        <color indexed="39"/>
      </top>
      <bottom/>
      <diagonal/>
    </border>
    <border>
      <left/>
      <right/>
      <top style="double">
        <color indexed="0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1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41">
    <xf numFmtId="0" fontId="0" fillId="0" borderId="0"/>
    <xf numFmtId="0" fontId="16" fillId="0" borderId="0"/>
    <xf numFmtId="0" fontId="16" fillId="0" borderId="0"/>
    <xf numFmtId="0" fontId="2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2" borderId="0" applyNumberFormat="0" applyBorder="0" applyAlignment="0" applyProtection="0"/>
    <xf numFmtId="0" fontId="17" fillId="5" borderId="0" applyNumberFormat="0" applyBorder="0" applyAlignment="0" applyProtection="0"/>
    <xf numFmtId="0" fontId="17" fillId="3" borderId="0" applyNumberFormat="0" applyBorder="0" applyAlignment="0" applyProtection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2" borderId="0" applyNumberFormat="0" applyBorder="0" applyAlignment="0" applyProtection="0"/>
    <xf numFmtId="0" fontId="17" fillId="6" borderId="0" applyNumberFormat="0" applyBorder="0" applyAlignment="0" applyProtection="0"/>
    <xf numFmtId="0" fontId="17" fillId="3" borderId="0" applyNumberFormat="0" applyBorder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7" borderId="0" applyNumberFormat="0" applyBorder="0" applyAlignment="0" applyProtection="0"/>
    <xf numFmtId="0" fontId="20" fillId="3" borderId="0" applyNumberFormat="0" applyBorder="0" applyAlignment="0" applyProtection="0"/>
    <xf numFmtId="0" fontId="23" fillId="0" borderId="0">
      <alignment horizontal="left"/>
    </xf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169" fontId="24" fillId="14" borderId="1" applyProtection="0"/>
    <xf numFmtId="0" fontId="28" fillId="15" borderId="2" applyNumberFormat="0" applyFont="0" applyFill="0" applyBorder="0" applyAlignment="0" applyProtection="0">
      <alignment vertical="center"/>
    </xf>
    <xf numFmtId="0" fontId="28" fillId="16" borderId="2" applyNumberFormat="0" applyFont="0" applyFill="0" applyBorder="0" applyAlignment="0" applyProtection="0">
      <alignment vertical="center"/>
    </xf>
    <xf numFmtId="0" fontId="30" fillId="16" borderId="3" applyNumberFormat="0" applyFont="0" applyFill="0" applyBorder="0" applyAlignment="0" applyProtection="0">
      <alignment vertical="center"/>
    </xf>
    <xf numFmtId="0" fontId="31" fillId="17" borderId="0" applyNumberFormat="0" applyBorder="0" applyAlignment="0" applyProtection="0"/>
    <xf numFmtId="0" fontId="32" fillId="0" borderId="4" applyNumberFormat="0" applyFont="0" applyFill="0" applyAlignment="0" applyProtection="0"/>
    <xf numFmtId="0" fontId="32" fillId="0" borderId="5" applyNumberFormat="0" applyFont="0" applyFill="0" applyAlignment="0" applyProtection="0"/>
    <xf numFmtId="0" fontId="33" fillId="2" borderId="2" applyNumberFormat="0" applyAlignment="0" applyProtection="0"/>
    <xf numFmtId="0" fontId="34" fillId="18" borderId="6" applyNumberFormat="0" applyAlignment="0" applyProtection="0"/>
    <xf numFmtId="43" fontId="2" fillId="0" borderId="0" applyFont="0" applyFill="0" applyBorder="0" applyAlignment="0" applyProtection="0"/>
    <xf numFmtId="3" fontId="2" fillId="0" borderId="0" applyFill="0" applyBorder="0" applyAlignment="0" applyProtection="0"/>
    <xf numFmtId="170" fontId="35" fillId="0" borderId="0" applyBorder="0"/>
    <xf numFmtId="164" fontId="2" fillId="0" borderId="0" applyFill="0" applyBorder="0" applyAlignment="0" applyProtection="0"/>
    <xf numFmtId="0" fontId="36" fillId="0" borderId="0"/>
    <xf numFmtId="171" fontId="2" fillId="0" borderId="0" applyFill="0" applyBorder="0" applyAlignment="0" applyProtection="0"/>
    <xf numFmtId="17" fontId="22" fillId="0" borderId="0" applyFill="0" applyBorder="0">
      <alignment horizontal="right"/>
    </xf>
    <xf numFmtId="172" fontId="37" fillId="0" borderId="0" applyFont="0" applyFill="0" applyBorder="0" applyProtection="0">
      <alignment horizontal="right"/>
    </xf>
    <xf numFmtId="1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" fontId="38" fillId="0" borderId="0" applyFont="0" applyFill="0" applyBorder="0" applyAlignment="0" applyProtection="0"/>
    <xf numFmtId="0" fontId="29" fillId="0" borderId="0"/>
    <xf numFmtId="0" fontId="6" fillId="0" borderId="0">
      <alignment horizontal="left"/>
    </xf>
    <xf numFmtId="0" fontId="22" fillId="0" borderId="0"/>
    <xf numFmtId="164" fontId="39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38" fillId="0" borderId="0"/>
    <xf numFmtId="2" fontId="2" fillId="0" borderId="0" applyFill="0" applyBorder="0" applyAlignment="0" applyProtection="0"/>
    <xf numFmtId="0" fontId="41" fillId="6" borderId="0" applyNumberFormat="0" applyBorder="0" applyAlignment="0" applyProtection="0"/>
    <xf numFmtId="38" fontId="25" fillId="16" borderId="0" applyNumberFormat="0" applyBorder="0" applyAlignment="0" applyProtection="0"/>
    <xf numFmtId="0" fontId="42" fillId="0" borderId="4" applyFill="0" applyProtection="0"/>
    <xf numFmtId="0" fontId="43" fillId="0" borderId="7" applyNumberFormat="0" applyAlignment="0" applyProtection="0">
      <alignment horizontal="left"/>
    </xf>
    <xf numFmtId="0" fontId="43" fillId="0" borderId="8">
      <alignment horizontal="left"/>
    </xf>
    <xf numFmtId="0" fontId="4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ont="0" applyFill="0" applyBorder="0" applyAlignment="0" applyProtection="0"/>
    <xf numFmtId="174" fontId="47" fillId="0" borderId="0"/>
    <xf numFmtId="0" fontId="48" fillId="3" borderId="2" applyNumberFormat="0" applyAlignment="0" applyProtection="0"/>
    <xf numFmtId="10" fontId="25" fillId="15" borderId="10" applyNumberFormat="0" applyBorder="0" applyAlignment="0" applyProtection="0"/>
    <xf numFmtId="175" fontId="25" fillId="19" borderId="0">
      <protection locked="0"/>
    </xf>
    <xf numFmtId="3" fontId="2" fillId="0" borderId="0" applyFont="0" applyFill="0" applyBorder="0" applyAlignment="0" applyProtection="0"/>
    <xf numFmtId="0" fontId="44" fillId="0" borderId="0" applyNumberFormat="0" applyFont="0" applyFill="0" applyAlignment="0" applyProtection="0"/>
    <xf numFmtId="0" fontId="43" fillId="0" borderId="0" applyNumberFormat="0" applyFont="0" applyFill="0" applyAlignment="0" applyProtection="0"/>
    <xf numFmtId="176" fontId="37" fillId="0" borderId="0" applyFont="0" applyFill="0" applyBorder="0" applyAlignment="0" applyProtection="0"/>
    <xf numFmtId="0" fontId="49" fillId="0" borderId="11" applyNumberFormat="0" applyFill="0" applyAlignment="0" applyProtection="0"/>
    <xf numFmtId="177" fontId="50" fillId="0" borderId="0" applyFont="0" applyFill="0" applyBorder="0" applyProtection="0">
      <alignment horizontal="right"/>
    </xf>
    <xf numFmtId="169" fontId="51" fillId="0" borderId="0" applyFill="0" applyBorder="0" applyProtection="0"/>
    <xf numFmtId="0" fontId="52" fillId="20" borderId="0" applyNumberFormat="0" applyBorder="0" applyAlignment="0" applyProtection="0"/>
    <xf numFmtId="169" fontId="53" fillId="0" borderId="0"/>
    <xf numFmtId="178" fontId="2" fillId="0" borderId="0"/>
    <xf numFmtId="0" fontId="14" fillId="0" borderId="0">
      <alignment vertical="top"/>
    </xf>
    <xf numFmtId="175" fontId="22" fillId="0" borderId="0" applyNumberFormat="0" applyFill="0" applyBorder="0" applyAlignment="0" applyProtection="0"/>
    <xf numFmtId="0" fontId="2" fillId="0" borderId="0"/>
    <xf numFmtId="0" fontId="25" fillId="20" borderId="12" applyNumberFormat="0" applyFont="0" applyAlignment="0" applyProtection="0"/>
    <xf numFmtId="0" fontId="54" fillId="2" borderId="13" applyNumberFormat="0" applyAlignment="0" applyProtection="0"/>
    <xf numFmtId="0" fontId="55" fillId="0" borderId="0" applyFill="0" applyBorder="0" applyProtection="0">
      <alignment horizontal="left"/>
    </xf>
    <xf numFmtId="0" fontId="56" fillId="0" borderId="0" applyFill="0" applyBorder="0" applyProtection="0">
      <alignment horizontal="left"/>
    </xf>
    <xf numFmtId="9" fontId="2" fillId="0" borderId="0" applyFont="0" applyFill="0" applyBorder="0" applyAlignment="0" applyProtection="0"/>
    <xf numFmtId="179" fontId="25" fillId="0" borderId="0" applyFont="0" applyFill="0" applyBorder="0" applyAlignment="0"/>
    <xf numFmtId="10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180" fontId="37" fillId="0" borderId="0" applyFont="0" applyFill="0" applyBorder="0" applyProtection="0">
      <alignment horizontal="right"/>
    </xf>
    <xf numFmtId="0" fontId="57" fillId="0" borderId="0" applyNumberFormat="0" applyFont="0" applyFill="0" applyBorder="0" applyAlignment="0" applyProtection="0">
      <alignment horizontal="left"/>
    </xf>
    <xf numFmtId="15" fontId="57" fillId="0" borderId="0" applyFont="0" applyFill="0" applyBorder="0" applyAlignment="0" applyProtection="0"/>
    <xf numFmtId="4" fontId="57" fillId="0" borderId="0" applyFont="0" applyFill="0" applyBorder="0" applyAlignment="0" applyProtection="0"/>
    <xf numFmtId="0" fontId="58" fillId="0" borderId="4">
      <alignment horizontal="center"/>
    </xf>
    <xf numFmtId="3" fontId="57" fillId="0" borderId="0" applyFont="0" applyFill="0" applyBorder="0" applyAlignment="0" applyProtection="0"/>
    <xf numFmtId="0" fontId="57" fillId="21" borderId="0" applyNumberFormat="0" applyFont="0" applyBorder="0" applyAlignment="0" applyProtection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horizontal="left" wrapText="1"/>
    </xf>
    <xf numFmtId="0" fontId="46" fillId="22" borderId="14" applyNumberFormat="0" applyProtection="0">
      <alignment horizontal="center" wrapText="1"/>
    </xf>
    <xf numFmtId="0" fontId="46" fillId="22" borderId="15" applyNumberFormat="0" applyAlignment="0" applyProtection="0">
      <alignment wrapText="1"/>
    </xf>
    <xf numFmtId="0" fontId="2" fillId="23" borderId="0" applyNumberFormat="0" applyBorder="0">
      <alignment horizontal="center" wrapText="1"/>
    </xf>
    <xf numFmtId="0" fontId="2" fillId="23" borderId="0" applyNumberFormat="0" applyBorder="0">
      <alignment wrapText="1"/>
    </xf>
    <xf numFmtId="0" fontId="2" fillId="0" borderId="0" applyNumberFormat="0" applyFill="0" applyBorder="0" applyProtection="0">
      <alignment horizontal="right" wrapText="1"/>
    </xf>
    <xf numFmtId="14" fontId="2" fillId="0" borderId="0" applyFill="0" applyBorder="0" applyAlignment="0" applyProtection="0">
      <alignment wrapText="1"/>
    </xf>
    <xf numFmtId="0" fontId="2" fillId="0" borderId="0" applyNumberFormat="0" applyFill="0" applyBorder="0" applyProtection="0">
      <alignment horizontal="right" wrapText="1"/>
    </xf>
    <xf numFmtId="0" fontId="2" fillId="0" borderId="0" applyNumberFormat="0" applyFill="0" applyBorder="0">
      <alignment horizontal="right" wrapText="1"/>
    </xf>
    <xf numFmtId="17" fontId="2" fillId="0" borderId="0" applyFill="0" applyBorder="0">
      <alignment horizontal="right" wrapText="1"/>
    </xf>
    <xf numFmtId="165" fontId="2" fillId="0" borderId="0" applyFill="0" applyBorder="0" applyAlignment="0" applyProtection="0">
      <alignment wrapText="1"/>
    </xf>
    <xf numFmtId="0" fontId="43" fillId="0" borderId="0" applyNumberFormat="0" applyFill="0" applyBorder="0">
      <alignment horizontal="left" wrapText="1"/>
    </xf>
    <xf numFmtId="0" fontId="46" fillId="0" borderId="0" applyNumberFormat="0" applyFill="0" applyBorder="0">
      <alignment horizontal="center" wrapText="1"/>
    </xf>
    <xf numFmtId="0" fontId="46" fillId="0" borderId="0" applyNumberFormat="0" applyFill="0" applyBorder="0">
      <alignment horizontal="center" wrapText="1"/>
    </xf>
    <xf numFmtId="0" fontId="46" fillId="0" borderId="0" applyNumberFormat="0" applyFill="0" applyBorder="0">
      <alignment horizontal="center" wrapText="1"/>
    </xf>
    <xf numFmtId="0" fontId="46" fillId="0" borderId="0" applyNumberFormat="0" applyFill="0" applyBorder="0">
      <alignment horizontal="center" wrapText="1"/>
    </xf>
    <xf numFmtId="0" fontId="15" fillId="0" borderId="0" applyFill="0" applyBorder="0" applyProtection="0">
      <alignment horizontal="center" vertical="center"/>
    </xf>
    <xf numFmtId="0" fontId="15" fillId="0" borderId="0" applyFill="0" applyBorder="0" applyProtection="0"/>
    <xf numFmtId="0" fontId="6" fillId="0" borderId="0" applyFill="0" applyBorder="0" applyProtection="0">
      <alignment horizontal="left"/>
    </xf>
    <xf numFmtId="0" fontId="59" fillId="0" borderId="0" applyFill="0" applyBorder="0" applyProtection="0">
      <alignment horizontal="left" vertical="top"/>
    </xf>
    <xf numFmtId="0" fontId="43" fillId="0" borderId="0" applyNumberFormat="0" applyFont="0" applyFill="0" applyBorder="0" applyAlignment="0" applyProtection="0"/>
    <xf numFmtId="0" fontId="60" fillId="0" borderId="0" applyFill="0" applyBorder="0" applyProtection="0">
      <alignment horizontal="center" vertical="center"/>
    </xf>
    <xf numFmtId="0" fontId="61" fillId="0" borderId="0" applyFill="0" applyBorder="0" applyProtection="0">
      <alignment vertical="top"/>
    </xf>
    <xf numFmtId="0" fontId="62" fillId="0" borderId="0" applyFill="0" applyBorder="0" applyProtection="0">
      <alignment vertical="center"/>
    </xf>
    <xf numFmtId="0" fontId="63" fillId="0" borderId="0" applyFill="0" applyBorder="0" applyProtection="0"/>
    <xf numFmtId="0" fontId="64" fillId="0" borderId="0" applyNumberFormat="0" applyFill="0" applyBorder="0" applyAlignment="0" applyProtection="0"/>
    <xf numFmtId="0" fontId="2" fillId="0" borderId="16" applyNumberFormat="0" applyFont="0" applyBorder="0" applyAlignment="0" applyProtection="0"/>
    <xf numFmtId="0" fontId="2" fillId="0" borderId="17" applyNumberFormat="0" applyFill="0" applyAlignment="0" applyProtection="0"/>
    <xf numFmtId="0" fontId="65" fillId="0" borderId="0"/>
    <xf numFmtId="181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182" fontId="57" fillId="0" borderId="0" applyFont="0" applyFill="0" applyBorder="0" applyAlignment="0" applyProtection="0"/>
    <xf numFmtId="183" fontId="2" fillId="0" borderId="0" applyFont="0" applyFill="0" applyBorder="0" applyAlignment="0" applyProtection="0"/>
    <xf numFmtId="0" fontId="66" fillId="0" borderId="0" applyNumberFormat="0" applyFill="0" applyBorder="0" applyAlignment="0" applyProtection="0"/>
    <xf numFmtId="0" fontId="46" fillId="0" borderId="0" applyNumberFormat="0" applyFont="0" applyFill="0" applyBorder="0" applyAlignment="0" applyProtection="0"/>
    <xf numFmtId="184" fontId="32" fillId="0" borderId="0" applyFont="0" applyFill="0" applyBorder="0" applyProtection="0">
      <alignment horizontal="right"/>
    </xf>
    <xf numFmtId="0" fontId="76" fillId="0" borderId="0"/>
  </cellStyleXfs>
  <cellXfs count="427">
    <xf numFmtId="0" fontId="0" fillId="0" borderId="0" xfId="0"/>
    <xf numFmtId="0" fontId="15" fillId="0" borderId="0" xfId="0" applyFont="1" applyFill="1" applyBorder="1" applyAlignment="1">
      <alignment horizontal="center" vertical="top" wrapText="1"/>
    </xf>
    <xf numFmtId="0" fontId="0" fillId="24" borderId="0" xfId="0" applyFill="1"/>
    <xf numFmtId="0" fontId="3" fillId="25" borderId="0" xfId="0" applyFont="1" applyFill="1" applyAlignment="1">
      <alignment horizontal="center" vertical="center"/>
    </xf>
    <xf numFmtId="2" fontId="3" fillId="25" borderId="0" xfId="0" applyNumberFormat="1" applyFont="1" applyFill="1" applyAlignment="1">
      <alignment horizontal="center" vertical="center"/>
    </xf>
    <xf numFmtId="0" fontId="0" fillId="26" borderId="0" xfId="0" applyFill="1"/>
    <xf numFmtId="0" fontId="0" fillId="0" borderId="18" xfId="0" applyBorder="1"/>
    <xf numFmtId="0" fontId="0" fillId="25" borderId="0" xfId="0" applyFill="1"/>
    <xf numFmtId="0" fontId="6" fillId="25" borderId="19" xfId="0" applyFont="1" applyFill="1" applyBorder="1" applyAlignment="1">
      <alignment horizontal="center" vertical="center"/>
    </xf>
    <xf numFmtId="0" fontId="6" fillId="25" borderId="20" xfId="0" applyFont="1" applyFill="1" applyBorder="1" applyAlignment="1">
      <alignment horizontal="center" vertical="center"/>
    </xf>
    <xf numFmtId="0" fontId="7" fillId="0" borderId="21" xfId="0" applyFont="1" applyBorder="1" applyAlignment="1">
      <alignment horizontal="left" vertical="top"/>
    </xf>
    <xf numFmtId="0" fontId="0" fillId="0" borderId="21" xfId="0" applyBorder="1" applyAlignment="1">
      <alignment vertical="top"/>
    </xf>
    <xf numFmtId="0" fontId="0" fillId="0" borderId="21" xfId="0" applyBorder="1"/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left" indent="1"/>
    </xf>
    <xf numFmtId="0" fontId="10" fillId="24" borderId="0" xfId="0" applyFont="1" applyFill="1" applyAlignment="1">
      <alignment horizontal="center" vertical="center"/>
    </xf>
    <xf numFmtId="0" fontId="11" fillId="0" borderId="0" xfId="0" applyFont="1"/>
    <xf numFmtId="0" fontId="0" fillId="0" borderId="4" xfId="0" applyBorder="1"/>
    <xf numFmtId="0" fontId="0" fillId="0" borderId="0" xfId="0" applyFill="1"/>
    <xf numFmtId="0" fontId="13" fillId="0" borderId="0" xfId="0" applyFont="1" applyFill="1" applyAlignment="1">
      <alignment horizontal="right"/>
    </xf>
    <xf numFmtId="0" fontId="12" fillId="0" borderId="0" xfId="0" applyFont="1" applyAlignment="1">
      <alignment horizontal="right" vertical="center"/>
    </xf>
    <xf numFmtId="0" fontId="3" fillId="24" borderId="0" xfId="0" applyFont="1" applyFill="1" applyAlignment="1">
      <alignment horizontal="center" vertical="center"/>
    </xf>
    <xf numFmtId="0" fontId="0" fillId="25" borderId="22" xfId="0" applyFill="1" applyBorder="1" applyAlignment="1">
      <alignment horizontal="center"/>
    </xf>
    <xf numFmtId="167" fontId="0" fillId="0" borderId="0" xfId="0" applyNumberFormat="1"/>
    <xf numFmtId="0" fontId="6" fillId="16" borderId="0" xfId="0" applyFont="1" applyFill="1"/>
    <xf numFmtId="0" fontId="0" fillId="16" borderId="0" xfId="0" applyFill="1"/>
    <xf numFmtId="0" fontId="0" fillId="0" borderId="0" xfId="0" applyBorder="1"/>
    <xf numFmtId="0" fontId="21" fillId="27" borderId="0" xfId="0" applyFont="1" applyFill="1" applyBorder="1" applyAlignment="1">
      <alignment horizontal="left" vertical="center"/>
    </xf>
    <xf numFmtId="0" fontId="10" fillId="0" borderId="0" xfId="0" applyFont="1" applyBorder="1" applyAlignment="1">
      <alignment horizontal="left" vertical="top" wrapText="1"/>
    </xf>
    <xf numFmtId="0" fontId="22" fillId="0" borderId="0" xfId="0" applyFont="1" applyFill="1" applyBorder="1" applyAlignment="1">
      <alignment horizontal="center" vertical="top" wrapText="1"/>
    </xf>
    <xf numFmtId="0" fontId="5" fillId="0" borderId="0" xfId="0" applyFont="1" applyAlignment="1">
      <alignment horizontal="left"/>
    </xf>
    <xf numFmtId="0" fontId="10" fillId="0" borderId="0" xfId="0" applyFont="1" applyAlignment="1">
      <alignment vertical="center"/>
    </xf>
    <xf numFmtId="9" fontId="10" fillId="0" borderId="0" xfId="0" applyNumberFormat="1" applyFont="1" applyAlignment="1">
      <alignment horizontal="center" vertical="center"/>
    </xf>
    <xf numFmtId="0" fontId="6" fillId="0" borderId="0" xfId="0" applyFont="1" applyBorder="1"/>
    <xf numFmtId="0" fontId="10" fillId="0" borderId="0" xfId="0" applyFont="1" applyBorder="1" applyAlignment="1">
      <alignment horizontal="left"/>
    </xf>
    <xf numFmtId="0" fontId="0" fillId="0" borderId="0" xfId="0" applyBorder="1" applyAlignment="1">
      <alignment horizontal="center" vertical="top" wrapText="1"/>
    </xf>
    <xf numFmtId="0" fontId="6" fillId="0" borderId="0" xfId="0" applyFont="1" applyFill="1" applyBorder="1"/>
    <xf numFmtId="0" fontId="10" fillId="0" borderId="0" xfId="0" applyFont="1" applyFill="1" applyBorder="1" applyAlignment="1">
      <alignment horizontal="left" vertical="top" wrapText="1"/>
    </xf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11" fillId="0" borderId="0" xfId="0" quotePrefix="1" applyFont="1" applyAlignment="1">
      <alignment vertical="top"/>
    </xf>
    <xf numFmtId="0" fontId="26" fillId="0" borderId="0" xfId="0" applyFont="1" applyBorder="1" applyAlignment="1">
      <alignment vertical="center"/>
    </xf>
    <xf numFmtId="0" fontId="21" fillId="28" borderId="0" xfId="0" applyFont="1" applyFill="1" applyBorder="1" applyAlignment="1">
      <alignment horizontal="left" vertical="center"/>
    </xf>
    <xf numFmtId="0" fontId="0" fillId="28" borderId="0" xfId="0" applyFill="1"/>
    <xf numFmtId="0" fontId="26" fillId="0" borderId="0" xfId="0" applyFont="1" applyBorder="1" applyAlignment="1">
      <alignment vertical="top" wrapText="1"/>
    </xf>
    <xf numFmtId="0" fontId="0" fillId="0" borderId="0" xfId="0" applyAlignment="1">
      <alignment horizontal="center"/>
    </xf>
    <xf numFmtId="2" fontId="3" fillId="24" borderId="0" xfId="0" applyNumberFormat="1" applyFont="1" applyFill="1" applyAlignment="1">
      <alignment horizontal="center" vertical="center"/>
    </xf>
    <xf numFmtId="0" fontId="18" fillId="28" borderId="23" xfId="0" applyFont="1" applyFill="1" applyBorder="1" applyAlignment="1">
      <alignment vertical="center"/>
    </xf>
    <xf numFmtId="0" fontId="18" fillId="28" borderId="23" xfId="0" applyFont="1" applyFill="1" applyBorder="1" applyAlignment="1">
      <alignment horizontal="center" vertical="center"/>
    </xf>
    <xf numFmtId="6" fontId="18" fillId="28" borderId="23" xfId="0" applyNumberFormat="1" applyFont="1" applyFill="1" applyBorder="1" applyAlignment="1">
      <alignment horizontal="center" vertical="center"/>
    </xf>
    <xf numFmtId="9" fontId="18" fillId="28" borderId="23" xfId="0" applyNumberFormat="1" applyFont="1" applyFill="1" applyBorder="1" applyAlignment="1">
      <alignment horizontal="center" vertical="center"/>
    </xf>
    <xf numFmtId="167" fontId="18" fillId="28" borderId="23" xfId="0" applyNumberFormat="1" applyFont="1" applyFill="1" applyBorder="1" applyAlignment="1">
      <alignment horizontal="center" vertical="center"/>
    </xf>
    <xf numFmtId="0" fontId="18" fillId="27" borderId="23" xfId="0" applyFont="1" applyFill="1" applyBorder="1" applyAlignment="1">
      <alignment vertical="center"/>
    </xf>
    <xf numFmtId="0" fontId="18" fillId="27" borderId="23" xfId="0" applyFont="1" applyFill="1" applyBorder="1" applyAlignment="1">
      <alignment horizontal="center" vertical="center"/>
    </xf>
    <xf numFmtId="9" fontId="18" fillId="27" borderId="23" xfId="0" applyNumberFormat="1" applyFont="1" applyFill="1" applyBorder="1" applyAlignment="1">
      <alignment horizontal="center" vertical="center"/>
    </xf>
    <xf numFmtId="168" fontId="18" fillId="27" borderId="23" xfId="0" applyNumberFormat="1" applyFont="1" applyFill="1" applyBorder="1" applyAlignment="1">
      <alignment horizontal="center" vertical="center"/>
    </xf>
    <xf numFmtId="0" fontId="18" fillId="27" borderId="23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vertical="center"/>
    </xf>
    <xf numFmtId="0" fontId="15" fillId="0" borderId="24" xfId="0" applyFont="1" applyFill="1" applyBorder="1" applyAlignment="1">
      <alignment horizontal="center" vertical="center"/>
    </xf>
    <xf numFmtId="0" fontId="27" fillId="29" borderId="0" xfId="0" applyFont="1" applyFill="1"/>
    <xf numFmtId="0" fontId="27" fillId="29" borderId="0" xfId="0" applyFont="1" applyFill="1" applyBorder="1" applyAlignment="1">
      <alignment horizontal="center"/>
    </xf>
    <xf numFmtId="6" fontId="27" fillId="29" borderId="0" xfId="0" applyNumberFormat="1" applyFont="1" applyFill="1" applyBorder="1" applyAlignment="1">
      <alignment horizontal="center"/>
    </xf>
    <xf numFmtId="9" fontId="27" fillId="29" borderId="0" xfId="0" applyNumberFormat="1" applyFont="1" applyFill="1" applyBorder="1" applyAlignment="1">
      <alignment horizontal="center"/>
    </xf>
    <xf numFmtId="9" fontId="27" fillId="29" borderId="25" xfId="0" applyNumberFormat="1" applyFont="1" applyFill="1" applyBorder="1" applyAlignment="1">
      <alignment horizontal="center"/>
    </xf>
    <xf numFmtId="0" fontId="27" fillId="29" borderId="25" xfId="0" applyFont="1" applyFill="1" applyBorder="1" applyAlignment="1">
      <alignment vertical="top" wrapText="1"/>
    </xf>
    <xf numFmtId="0" fontId="27" fillId="0" borderId="0" xfId="0" applyFont="1" applyFill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6" fontId="27" fillId="0" borderId="0" xfId="0" applyNumberFormat="1" applyFont="1" applyFill="1" applyBorder="1" applyAlignment="1">
      <alignment horizontal="center" vertical="center"/>
    </xf>
    <xf numFmtId="9" fontId="27" fillId="0" borderId="0" xfId="0" applyNumberFormat="1" applyFont="1" applyFill="1" applyBorder="1" applyAlignment="1">
      <alignment horizontal="center" vertical="center"/>
    </xf>
    <xf numFmtId="6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68" fontId="27" fillId="29" borderId="0" xfId="0" applyNumberFormat="1" applyFont="1" applyFill="1" applyBorder="1" applyAlignment="1">
      <alignment horizontal="center"/>
    </xf>
    <xf numFmtId="0" fontId="27" fillId="29" borderId="0" xfId="0" applyFont="1" applyFill="1" applyBorder="1" applyAlignment="1">
      <alignment vertical="top" wrapText="1"/>
    </xf>
    <xf numFmtId="0" fontId="15" fillId="0" borderId="0" xfId="0" applyFont="1" applyFill="1" applyBorder="1" applyAlignment="1">
      <alignment horizontal="center" vertical="top"/>
    </xf>
    <xf numFmtId="0" fontId="15" fillId="0" borderId="24" xfId="0" applyFont="1" applyBorder="1"/>
    <xf numFmtId="0" fontId="15" fillId="0" borderId="24" xfId="0" applyFont="1" applyBorder="1" applyAlignment="1">
      <alignment vertical="top"/>
    </xf>
    <xf numFmtId="0" fontId="27" fillId="0" borderId="24" xfId="0" applyFont="1" applyBorder="1" applyAlignment="1">
      <alignment horizontal="center" vertical="top" wrapText="1"/>
    </xf>
    <xf numFmtId="0" fontId="27" fillId="16" borderId="0" xfId="0" applyFont="1" applyFill="1" applyAlignment="1">
      <alignment vertical="center"/>
    </xf>
    <xf numFmtId="0" fontId="27" fillId="16" borderId="0" xfId="0" applyFont="1" applyFill="1" applyBorder="1" applyAlignment="1">
      <alignment horizontal="center" vertical="center"/>
    </xf>
    <xf numFmtId="6" fontId="27" fillId="16" borderId="0" xfId="0" applyNumberFormat="1" applyFont="1" applyFill="1" applyBorder="1" applyAlignment="1">
      <alignment horizontal="right" vertical="center" indent="1"/>
    </xf>
    <xf numFmtId="9" fontId="27" fillId="16" borderId="0" xfId="89" applyFont="1" applyFill="1" applyBorder="1" applyAlignment="1">
      <alignment horizontal="right" vertical="center" indent="1"/>
    </xf>
    <xf numFmtId="0" fontId="27" fillId="16" borderId="0" xfId="0" applyFont="1" applyFill="1" applyBorder="1" applyAlignment="1">
      <alignment horizontal="right" vertical="center" indent="1"/>
    </xf>
    <xf numFmtId="6" fontId="27" fillId="16" borderId="0" xfId="0" applyNumberFormat="1" applyFont="1" applyFill="1" applyBorder="1" applyAlignment="1">
      <alignment horizontal="center" vertical="center"/>
    </xf>
    <xf numFmtId="9" fontId="27" fillId="16" borderId="0" xfId="0" applyNumberFormat="1" applyFont="1" applyFill="1" applyAlignment="1">
      <alignment horizontal="center" vertical="center"/>
    </xf>
    <xf numFmtId="167" fontId="27" fillId="16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9" fontId="18" fillId="28" borderId="23" xfId="0" applyNumberFormat="1" applyFont="1" applyFill="1" applyBorder="1" applyAlignment="1">
      <alignment horizontal="right" vertical="center" indent="1"/>
    </xf>
    <xf numFmtId="0" fontId="18" fillId="28" borderId="23" xfId="0" applyFont="1" applyFill="1" applyBorder="1" applyAlignment="1">
      <alignment horizontal="right" vertical="center" indent="1"/>
    </xf>
    <xf numFmtId="6" fontId="18" fillId="28" borderId="23" xfId="0" applyNumberFormat="1" applyFont="1" applyFill="1" applyBorder="1" applyAlignment="1">
      <alignment horizontal="right" vertical="center" indent="1"/>
    </xf>
    <xf numFmtId="6" fontId="27" fillId="29" borderId="0" xfId="0" applyNumberFormat="1" applyFont="1" applyFill="1" applyBorder="1" applyAlignment="1">
      <alignment horizontal="right" indent="1"/>
    </xf>
    <xf numFmtId="6" fontId="27" fillId="0" borderId="0" xfId="0" applyNumberFormat="1" applyFont="1" applyFill="1" applyBorder="1" applyAlignment="1">
      <alignment horizontal="right" vertical="center" indent="1"/>
    </xf>
    <xf numFmtId="168" fontId="27" fillId="29" borderId="0" xfId="0" applyNumberFormat="1" applyFont="1" applyFill="1" applyBorder="1" applyAlignment="1">
      <alignment horizontal="right" indent="1"/>
    </xf>
    <xf numFmtId="6" fontId="18" fillId="27" borderId="23" xfId="0" applyNumberFormat="1" applyFont="1" applyFill="1" applyBorder="1" applyAlignment="1">
      <alignment horizontal="right" vertical="center" indent="1"/>
    </xf>
    <xf numFmtId="3" fontId="27" fillId="29" borderId="0" xfId="0" applyNumberFormat="1" applyFont="1" applyFill="1" applyBorder="1" applyAlignment="1">
      <alignment horizontal="left" indent="1"/>
    </xf>
    <xf numFmtId="3" fontId="27" fillId="0" borderId="0" xfId="0" applyNumberFormat="1" applyFont="1" applyFill="1" applyBorder="1" applyAlignment="1">
      <alignment horizontal="left" vertical="center" indent="1"/>
    </xf>
    <xf numFmtId="3" fontId="18" fillId="27" borderId="23" xfId="0" applyNumberFormat="1" applyFont="1" applyFill="1" applyBorder="1" applyAlignment="1">
      <alignment horizontal="left" vertical="center" indent="1"/>
    </xf>
    <xf numFmtId="2" fontId="4" fillId="25" borderId="0" xfId="0" applyNumberFormat="1" applyFont="1" applyFill="1" applyAlignment="1">
      <alignment horizontal="center" vertical="center"/>
    </xf>
    <xf numFmtId="0" fontId="11" fillId="0" borderId="0" xfId="0" quotePrefix="1" applyFont="1" applyAlignment="1">
      <alignment vertical="top" wrapText="1"/>
    </xf>
    <xf numFmtId="0" fontId="15" fillId="15" borderId="10" xfId="0" applyFont="1" applyFill="1" applyBorder="1" applyAlignment="1">
      <alignment horizontal="left" vertical="center"/>
    </xf>
    <xf numFmtId="0" fontId="15" fillId="15" borderId="10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167" fontId="27" fillId="0" borderId="26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168" fontId="27" fillId="0" borderId="27" xfId="0" applyNumberFormat="1" applyFont="1" applyBorder="1" applyAlignment="1">
      <alignment horizontal="center" vertical="center"/>
    </xf>
    <xf numFmtId="0" fontId="15" fillId="30" borderId="0" xfId="0" applyFont="1" applyFill="1" applyAlignment="1">
      <alignment vertical="center"/>
    </xf>
    <xf numFmtId="0" fontId="15" fillId="0" borderId="8" xfId="0" applyFont="1" applyBorder="1" applyAlignment="1">
      <alignment vertical="center"/>
    </xf>
    <xf numFmtId="0" fontId="29" fillId="0" borderId="0" xfId="0" applyFont="1"/>
    <xf numFmtId="0" fontId="10" fillId="0" borderId="19" xfId="0" applyFont="1" applyBorder="1" applyAlignment="1">
      <alignment vertical="center"/>
    </xf>
    <xf numFmtId="0" fontId="10" fillId="0" borderId="10" xfId="0" applyFont="1" applyBorder="1" applyAlignment="1">
      <alignment horizontal="center" vertical="center"/>
    </xf>
    <xf numFmtId="0" fontId="6" fillId="26" borderId="0" xfId="0" applyFont="1" applyFill="1" applyAlignment="1">
      <alignment horizontal="center"/>
    </xf>
    <xf numFmtId="0" fontId="10" fillId="25" borderId="27" xfId="0" applyFont="1" applyFill="1" applyBorder="1" applyAlignment="1">
      <alignment horizontal="center" vertical="center"/>
    </xf>
    <xf numFmtId="0" fontId="10" fillId="25" borderId="28" xfId="0" applyFont="1" applyFill="1" applyBorder="1" applyAlignment="1">
      <alignment vertical="center"/>
    </xf>
    <xf numFmtId="0" fontId="10" fillId="25" borderId="29" xfId="84" applyFont="1" applyFill="1" applyBorder="1" applyAlignment="1">
      <alignment vertical="center"/>
    </xf>
    <xf numFmtId="0" fontId="10" fillId="24" borderId="19" xfId="0" applyFont="1" applyFill="1" applyBorder="1" applyAlignment="1">
      <alignment horizontal="center" vertical="center"/>
    </xf>
    <xf numFmtId="0" fontId="10" fillId="24" borderId="20" xfId="0" applyFont="1" applyFill="1" applyBorder="1" applyAlignment="1">
      <alignment horizontal="center" vertical="center"/>
    </xf>
    <xf numFmtId="0" fontId="10" fillId="0" borderId="10" xfId="0" applyFont="1" applyBorder="1"/>
    <xf numFmtId="0" fontId="0" fillId="15" borderId="24" xfId="0" applyFill="1" applyBorder="1"/>
    <xf numFmtId="0" fontId="15" fillId="15" borderId="24" xfId="0" applyFont="1" applyFill="1" applyBorder="1"/>
    <xf numFmtId="0" fontId="10" fillId="24" borderId="10" xfId="0" applyFont="1" applyFill="1" applyBorder="1" applyAlignment="1">
      <alignment horizontal="center" vertical="center"/>
    </xf>
    <xf numFmtId="0" fontId="10" fillId="24" borderId="30" xfId="0" applyFont="1" applyFill="1" applyBorder="1" applyAlignment="1">
      <alignment horizontal="center"/>
    </xf>
    <xf numFmtId="0" fontId="10" fillId="24" borderId="0" xfId="0" applyFont="1" applyFill="1" applyBorder="1" applyAlignment="1">
      <alignment horizontal="center"/>
    </xf>
    <xf numFmtId="0" fontId="10" fillId="24" borderId="31" xfId="0" applyFont="1" applyFill="1" applyBorder="1" applyAlignment="1">
      <alignment horizontal="center"/>
    </xf>
    <xf numFmtId="0" fontId="10" fillId="24" borderId="29" xfId="0" applyFont="1" applyFill="1" applyBorder="1" applyAlignment="1">
      <alignment horizontal="center"/>
    </xf>
    <xf numFmtId="0" fontId="10" fillId="24" borderId="24" xfId="0" applyFont="1" applyFill="1" applyBorder="1" applyAlignment="1">
      <alignment horizontal="center"/>
    </xf>
    <xf numFmtId="0" fontId="10" fillId="24" borderId="32" xfId="0" applyFont="1" applyFill="1" applyBorder="1" applyAlignment="1">
      <alignment horizontal="center"/>
    </xf>
    <xf numFmtId="0" fontId="10" fillId="0" borderId="30" xfId="0" applyFont="1" applyBorder="1" applyAlignment="1">
      <alignment vertical="center"/>
    </xf>
    <xf numFmtId="0" fontId="0" fillId="0" borderId="29" xfId="0" applyBorder="1"/>
    <xf numFmtId="0" fontId="10" fillId="24" borderId="8" xfId="0" applyFont="1" applyFill="1" applyBorder="1" applyAlignment="1">
      <alignment horizontal="center" vertical="center"/>
    </xf>
    <xf numFmtId="0" fontId="10" fillId="24" borderId="28" xfId="0" applyFont="1" applyFill="1" applyBorder="1" applyAlignment="1">
      <alignment horizontal="center"/>
    </xf>
    <xf numFmtId="0" fontId="10" fillId="24" borderId="33" xfId="0" applyFont="1" applyFill="1" applyBorder="1" applyAlignment="1">
      <alignment horizontal="center"/>
    </xf>
    <xf numFmtId="0" fontId="0" fillId="24" borderId="30" xfId="0" applyFill="1" applyBorder="1"/>
    <xf numFmtId="0" fontId="0" fillId="24" borderId="31" xfId="0" applyFill="1" applyBorder="1"/>
    <xf numFmtId="3" fontId="0" fillId="0" borderId="0" xfId="0" applyNumberFormat="1"/>
    <xf numFmtId="0" fontId="10" fillId="0" borderId="10" xfId="0" applyFont="1" applyFill="1" applyBorder="1" applyAlignment="1">
      <alignment vertical="center"/>
    </xf>
    <xf numFmtId="0" fontId="11" fillId="25" borderId="0" xfId="0" applyFont="1" applyFill="1"/>
    <xf numFmtId="0" fontId="67" fillId="25" borderId="0" xfId="0" applyFont="1" applyFill="1" applyAlignment="1">
      <alignment horizontal="left" vertical="center"/>
    </xf>
    <xf numFmtId="0" fontId="68" fillId="25" borderId="0" xfId="0" applyFont="1" applyFill="1"/>
    <xf numFmtId="0" fontId="10" fillId="26" borderId="0" xfId="0" applyFont="1" applyFill="1"/>
    <xf numFmtId="0" fontId="10" fillId="0" borderId="0" xfId="0" applyFont="1" applyFill="1"/>
    <xf numFmtId="0" fontId="10" fillId="26" borderId="24" xfId="0" applyFont="1" applyFill="1" applyBorder="1"/>
    <xf numFmtId="0" fontId="0" fillId="24" borderId="0" xfId="0" applyFill="1" applyAlignment="1">
      <alignment horizontal="center"/>
    </xf>
    <xf numFmtId="0" fontId="0" fillId="24" borderId="25" xfId="0" applyFill="1" applyBorder="1"/>
    <xf numFmtId="0" fontId="0" fillId="24" borderId="0" xfId="0" applyFill="1" applyBorder="1"/>
    <xf numFmtId="0" fontId="0" fillId="24" borderId="24" xfId="0" applyFill="1" applyBorder="1"/>
    <xf numFmtId="0" fontId="6" fillId="24" borderId="24" xfId="0" applyFont="1" applyFill="1" applyBorder="1" applyAlignment="1">
      <alignment horizontal="center"/>
    </xf>
    <xf numFmtId="0" fontId="10" fillId="0" borderId="34" xfId="0" applyFont="1" applyFill="1" applyBorder="1" applyAlignment="1">
      <alignment horizontal="center"/>
    </xf>
    <xf numFmtId="0" fontId="10" fillId="0" borderId="35" xfId="0" applyFont="1" applyFill="1" applyBorder="1" applyAlignment="1">
      <alignment horizontal="center"/>
    </xf>
    <xf numFmtId="0" fontId="10" fillId="0" borderId="36" xfId="0" applyFont="1" applyFill="1" applyBorder="1" applyAlignment="1">
      <alignment horizontal="center"/>
    </xf>
    <xf numFmtId="185" fontId="0" fillId="30" borderId="0" xfId="0" applyNumberFormat="1" applyFill="1"/>
    <xf numFmtId="167" fontId="0" fillId="30" borderId="0" xfId="89" applyNumberFormat="1" applyFont="1" applyFill="1"/>
    <xf numFmtId="0" fontId="6" fillId="26" borderId="0" xfId="84" applyFont="1" applyFill="1"/>
    <xf numFmtId="0" fontId="2" fillId="26" borderId="0" xfId="84" applyFont="1" applyFill="1"/>
    <xf numFmtId="0" fontId="0" fillId="26" borderId="25" xfId="0" applyFill="1" applyBorder="1"/>
    <xf numFmtId="0" fontId="0" fillId="26" borderId="24" xfId="0" applyFill="1" applyBorder="1"/>
    <xf numFmtId="0" fontId="10" fillId="24" borderId="0" xfId="84" applyFont="1" applyFill="1" applyAlignment="1">
      <alignment horizontal="center"/>
    </xf>
    <xf numFmtId="0" fontId="2" fillId="24" borderId="0" xfId="84" applyFill="1"/>
    <xf numFmtId="0" fontId="0" fillId="24" borderId="0" xfId="0" applyFill="1" applyAlignment="1">
      <alignment horizontal="left"/>
    </xf>
    <xf numFmtId="166" fontId="0" fillId="0" borderId="0" xfId="0" applyNumberFormat="1"/>
    <xf numFmtId="0" fontId="10" fillId="24" borderId="28" xfId="0" applyFont="1" applyFill="1" applyBorder="1" applyAlignment="1">
      <alignment horizontal="center" vertical="center"/>
    </xf>
    <xf numFmtId="0" fontId="10" fillId="24" borderId="33" xfId="0" applyFont="1" applyFill="1" applyBorder="1" applyAlignment="1">
      <alignment horizontal="center" vertical="center"/>
    </xf>
    <xf numFmtId="0" fontId="10" fillId="24" borderId="30" xfId="0" applyFont="1" applyFill="1" applyBorder="1" applyAlignment="1">
      <alignment horizontal="center" vertical="center"/>
    </xf>
    <xf numFmtId="0" fontId="10" fillId="24" borderId="31" xfId="0" applyFont="1" applyFill="1" applyBorder="1" applyAlignment="1">
      <alignment horizontal="center" vertical="center"/>
    </xf>
    <xf numFmtId="0" fontId="10" fillId="24" borderId="29" xfId="0" applyFont="1" applyFill="1" applyBorder="1" applyAlignment="1">
      <alignment horizontal="center" vertical="center"/>
    </xf>
    <xf numFmtId="0" fontId="10" fillId="24" borderId="32" xfId="0" applyFont="1" applyFill="1" applyBorder="1" applyAlignment="1">
      <alignment horizontal="center" vertical="center"/>
    </xf>
    <xf numFmtId="0" fontId="10" fillId="25" borderId="8" xfId="0" applyFont="1" applyFill="1" applyBorder="1" applyAlignment="1">
      <alignment horizontal="center" vertical="center"/>
    </xf>
    <xf numFmtId="0" fontId="10" fillId="25" borderId="20" xfId="0" applyFont="1" applyFill="1" applyBorder="1" applyAlignment="1">
      <alignment horizontal="center" vertical="center"/>
    </xf>
    <xf numFmtId="0" fontId="10" fillId="25" borderId="19" xfId="0" applyFont="1" applyFill="1" applyBorder="1" applyAlignment="1">
      <alignment horizontal="center" vertical="center"/>
    </xf>
    <xf numFmtId="49" fontId="27" fillId="0" borderId="0" xfId="0" applyNumberFormat="1" applyFont="1" applyFill="1" applyBorder="1" applyAlignment="1">
      <alignment horizontal="center" vertical="center"/>
    </xf>
    <xf numFmtId="0" fontId="22" fillId="24" borderId="8" xfId="0" applyFont="1" applyFill="1" applyBorder="1" applyAlignment="1">
      <alignment horizontal="center" vertical="center"/>
    </xf>
    <xf numFmtId="0" fontId="10" fillId="0" borderId="0" xfId="0" applyFont="1" applyFill="1" applyBorder="1"/>
    <xf numFmtId="0" fontId="22" fillId="26" borderId="0" xfId="0" applyFont="1" applyFill="1" applyAlignment="1">
      <alignment vertical="center"/>
    </xf>
    <xf numFmtId="0" fontId="6" fillId="31" borderId="8" xfId="0" applyFont="1" applyFill="1" applyBorder="1" applyAlignment="1">
      <alignment vertical="center"/>
    </xf>
    <xf numFmtId="0" fontId="6" fillId="31" borderId="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31" borderId="8" xfId="0" applyFont="1" applyFill="1" applyBorder="1" applyAlignment="1">
      <alignment horizontal="center" vertical="center" wrapText="1"/>
    </xf>
    <xf numFmtId="0" fontId="10" fillId="24" borderId="24" xfId="0" applyFont="1" applyFill="1" applyBorder="1" applyAlignment="1">
      <alignment horizontal="center" vertical="center"/>
    </xf>
    <xf numFmtId="0" fontId="22" fillId="24" borderId="24" xfId="0" applyFont="1" applyFill="1" applyBorder="1" applyAlignment="1">
      <alignment horizontal="center" vertical="center"/>
    </xf>
    <xf numFmtId="0" fontId="68" fillId="25" borderId="20" xfId="0" applyFont="1" applyFill="1" applyBorder="1" applyAlignment="1">
      <alignment horizontal="center" vertical="center"/>
    </xf>
    <xf numFmtId="0" fontId="22" fillId="26" borderId="25" xfId="0" applyFont="1" applyFill="1" applyBorder="1"/>
    <xf numFmtId="0" fontId="6" fillId="31" borderId="25" xfId="0" applyFont="1" applyFill="1" applyBorder="1" applyAlignment="1">
      <alignment vertical="center"/>
    </xf>
    <xf numFmtId="0" fontId="6" fillId="31" borderId="25" xfId="0" applyFont="1" applyFill="1" applyBorder="1" applyAlignment="1">
      <alignment horizontal="center" vertical="center"/>
    </xf>
    <xf numFmtId="0" fontId="6" fillId="31" borderId="25" xfId="0" applyFont="1" applyFill="1" applyBorder="1" applyAlignment="1">
      <alignment horizontal="center" vertical="center" wrapText="1"/>
    </xf>
    <xf numFmtId="0" fontId="15" fillId="31" borderId="25" xfId="0" applyFont="1" applyFill="1" applyBorder="1" applyAlignment="1">
      <alignment vertical="center"/>
    </xf>
    <xf numFmtId="0" fontId="10" fillId="25" borderId="10" xfId="0" applyFont="1" applyFill="1" applyBorder="1" applyAlignment="1">
      <alignment horizontal="center" vertical="center"/>
    </xf>
    <xf numFmtId="0" fontId="27" fillId="16" borderId="0" xfId="0" applyNumberFormat="1" applyFont="1" applyFill="1" applyBorder="1" applyAlignment="1">
      <alignment horizontal="center" vertical="center"/>
    </xf>
    <xf numFmtId="166" fontId="2" fillId="30" borderId="0" xfId="0" applyNumberFormat="1" applyFont="1" applyFill="1"/>
    <xf numFmtId="167" fontId="2" fillId="30" borderId="0" xfId="0" applyNumberFormat="1" applyFont="1" applyFill="1"/>
    <xf numFmtId="186" fontId="2" fillId="30" borderId="0" xfId="39" applyNumberFormat="1" applyFont="1" applyFill="1"/>
    <xf numFmtId="0" fontId="6" fillId="0" borderId="24" xfId="0" applyFont="1" applyFill="1" applyBorder="1"/>
    <xf numFmtId="0" fontId="15" fillId="0" borderId="24" xfId="0" applyFont="1" applyFill="1" applyBorder="1"/>
    <xf numFmtId="0" fontId="2" fillId="0" borderId="0" xfId="0" applyFont="1" applyFill="1"/>
    <xf numFmtId="0" fontId="6" fillId="0" borderId="0" xfId="0" applyFont="1"/>
    <xf numFmtId="0" fontId="0" fillId="26" borderId="0" xfId="0" applyFill="1" applyBorder="1"/>
    <xf numFmtId="0" fontId="14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3" fontId="0" fillId="0" borderId="0" xfId="0" applyNumberFormat="1" applyAlignment="1">
      <alignment horizontal="right"/>
    </xf>
    <xf numFmtId="3" fontId="0" fillId="30" borderId="0" xfId="0" applyNumberFormat="1" applyFill="1" applyAlignment="1">
      <alignment horizontal="right"/>
    </xf>
    <xf numFmtId="0" fontId="14" fillId="26" borderId="25" xfId="0" applyFont="1" applyFill="1" applyBorder="1" applyAlignment="1">
      <alignment horizontal="center"/>
    </xf>
    <xf numFmtId="0" fontId="0" fillId="26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14" fillId="26" borderId="24" xfId="0" applyFont="1" applyFill="1" applyBorder="1" applyAlignment="1">
      <alignment horizontal="center"/>
    </xf>
    <xf numFmtId="0" fontId="0" fillId="26" borderId="24" xfId="0" applyFill="1" applyBorder="1" applyAlignment="1">
      <alignment horizontal="center"/>
    </xf>
    <xf numFmtId="3" fontId="0" fillId="0" borderId="24" xfId="0" applyNumberFormat="1" applyBorder="1" applyAlignment="1">
      <alignment horizontal="right"/>
    </xf>
    <xf numFmtId="0" fontId="14" fillId="0" borderId="25" xfId="0" applyFont="1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7" fillId="25" borderId="0" xfId="0" applyFont="1" applyFill="1" applyAlignment="1">
      <alignment vertical="center"/>
    </xf>
    <xf numFmtId="174" fontId="27" fillId="25" borderId="0" xfId="0" applyNumberFormat="1" applyFont="1" applyFill="1" applyAlignment="1">
      <alignment vertical="center"/>
    </xf>
    <xf numFmtId="166" fontId="6" fillId="26" borderId="24" xfId="0" applyNumberFormat="1" applyFont="1" applyFill="1" applyBorder="1"/>
    <xf numFmtId="3" fontId="6" fillId="26" borderId="24" xfId="0" applyNumberFormat="1" applyFont="1" applyFill="1" applyBorder="1"/>
    <xf numFmtId="167" fontId="6" fillId="26" borderId="24" xfId="89" applyNumberFormat="1" applyFont="1" applyFill="1" applyBorder="1"/>
    <xf numFmtId="9" fontId="27" fillId="0" borderId="0" xfId="89" applyFont="1" applyFill="1" applyBorder="1" applyAlignment="1">
      <alignment horizontal="right" vertical="center" indent="1"/>
    </xf>
    <xf numFmtId="0" fontId="27" fillId="0" borderId="0" xfId="0" applyFont="1" applyFill="1" applyBorder="1" applyAlignment="1">
      <alignment horizontal="right" vertical="center" indent="1"/>
    </xf>
    <xf numFmtId="9" fontId="27" fillId="0" borderId="0" xfId="0" applyNumberFormat="1" applyFont="1" applyFill="1" applyAlignment="1">
      <alignment horizontal="center" vertical="center"/>
    </xf>
    <xf numFmtId="167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166" fontId="6" fillId="0" borderId="24" xfId="0" applyNumberFormat="1" applyFont="1" applyFill="1" applyBorder="1"/>
    <xf numFmtId="3" fontId="6" fillId="0" borderId="24" xfId="0" applyNumberFormat="1" applyFont="1" applyFill="1" applyBorder="1"/>
    <xf numFmtId="0" fontId="6" fillId="0" borderId="37" xfId="0" applyFont="1" applyFill="1" applyBorder="1" applyAlignment="1">
      <alignment horizontal="center" vertical="center" wrapText="1"/>
    </xf>
    <xf numFmtId="0" fontId="6" fillId="0" borderId="38" xfId="0" applyFont="1" applyFill="1" applyBorder="1" applyAlignment="1">
      <alignment horizontal="center" vertical="center" wrapText="1"/>
    </xf>
    <xf numFmtId="15" fontId="10" fillId="0" borderId="39" xfId="0" applyNumberFormat="1" applyFont="1" applyFill="1" applyBorder="1" applyAlignment="1">
      <alignment horizontal="center" vertical="center"/>
    </xf>
    <xf numFmtId="0" fontId="10" fillId="0" borderId="40" xfId="0" applyFont="1" applyFill="1" applyBorder="1" applyAlignment="1">
      <alignment horizontal="center" vertical="center"/>
    </xf>
    <xf numFmtId="0" fontId="10" fillId="0" borderId="41" xfId="0" applyFont="1" applyFill="1" applyBorder="1" applyAlignment="1">
      <alignment horizontal="center" vertical="center"/>
    </xf>
    <xf numFmtId="0" fontId="10" fillId="0" borderId="42" xfId="0" applyFont="1" applyFill="1" applyBorder="1" applyAlignment="1">
      <alignment horizontal="center" vertical="center"/>
    </xf>
    <xf numFmtId="0" fontId="2" fillId="24" borderId="0" xfId="0" applyFont="1" applyFill="1"/>
    <xf numFmtId="0" fontId="0" fillId="30" borderId="0" xfId="0" applyFill="1"/>
    <xf numFmtId="166" fontId="0" fillId="30" borderId="0" xfId="0" applyNumberFormat="1" applyFill="1"/>
    <xf numFmtId="3" fontId="0" fillId="30" borderId="0" xfId="0" applyNumberFormat="1" applyFill="1"/>
    <xf numFmtId="0" fontId="0" fillId="0" borderId="0" xfId="0" applyFill="1" applyAlignment="1">
      <alignment horizontal="center"/>
    </xf>
    <xf numFmtId="167" fontId="6" fillId="0" borderId="24" xfId="0" applyNumberFormat="1" applyFont="1" applyFill="1" applyBorder="1"/>
    <xf numFmtId="0" fontId="0" fillId="0" borderId="24" xfId="0" applyFill="1" applyBorder="1"/>
    <xf numFmtId="167" fontId="0" fillId="0" borderId="0" xfId="0" applyNumberFormat="1" applyFill="1"/>
    <xf numFmtId="15" fontId="10" fillId="25" borderId="10" xfId="0" applyNumberFormat="1" applyFont="1" applyFill="1" applyBorder="1" applyAlignment="1">
      <alignment horizontal="center" vertical="center"/>
    </xf>
    <xf numFmtId="3" fontId="0" fillId="25" borderId="0" xfId="0" applyNumberFormat="1" applyFill="1"/>
    <xf numFmtId="0" fontId="14" fillId="26" borderId="0" xfId="0" applyFont="1" applyFill="1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5" borderId="0" xfId="0" applyFill="1" applyBorder="1"/>
    <xf numFmtId="9" fontId="0" fillId="25" borderId="0" xfId="0" applyNumberFormat="1" applyFill="1" applyBorder="1" applyAlignment="1">
      <alignment horizontal="center"/>
    </xf>
    <xf numFmtId="174" fontId="27" fillId="0" borderId="8" xfId="0" applyNumberFormat="1" applyFont="1" applyBorder="1" applyAlignment="1">
      <alignment vertical="center"/>
    </xf>
    <xf numFmtId="9" fontId="27" fillId="0" borderId="0" xfId="89" applyFont="1" applyAlignment="1">
      <alignment vertical="center"/>
    </xf>
    <xf numFmtId="0" fontId="10" fillId="24" borderId="20" xfId="0" applyFont="1" applyFill="1" applyBorder="1" applyAlignment="1">
      <alignment horizontal="center"/>
    </xf>
    <xf numFmtId="168" fontId="0" fillId="0" borderId="0" xfId="0" applyNumberFormat="1"/>
    <xf numFmtId="0" fontId="11" fillId="0" borderId="0" xfId="0" applyFont="1" applyBorder="1"/>
    <xf numFmtId="15" fontId="10" fillId="0" borderId="41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10" fillId="0" borderId="43" xfId="0" applyFont="1" applyBorder="1"/>
    <xf numFmtId="15" fontId="25" fillId="0" borderId="44" xfId="0" applyNumberFormat="1" applyFont="1" applyFill="1" applyBorder="1" applyAlignment="1">
      <alignment horizontal="center" vertical="center"/>
    </xf>
    <xf numFmtId="0" fontId="25" fillId="0" borderId="45" xfId="0" applyFont="1" applyFill="1" applyBorder="1" applyAlignment="1">
      <alignment horizontal="center" vertical="center"/>
    </xf>
    <xf numFmtId="9" fontId="0" fillId="0" borderId="0" xfId="89" applyFont="1"/>
    <xf numFmtId="3" fontId="27" fillId="16" borderId="0" xfId="0" applyNumberFormat="1" applyFont="1" applyFill="1" applyBorder="1" applyAlignment="1">
      <alignment horizontal="right" vertical="center" indent="1"/>
    </xf>
    <xf numFmtId="3" fontId="27" fillId="0" borderId="0" xfId="0" applyNumberFormat="1" applyFont="1" applyFill="1" applyBorder="1" applyAlignment="1">
      <alignment horizontal="right" vertical="center" indent="1"/>
    </xf>
    <xf numFmtId="3" fontId="18" fillId="28" borderId="23" xfId="0" applyNumberFormat="1" applyFont="1" applyFill="1" applyBorder="1" applyAlignment="1">
      <alignment horizontal="right" vertical="center" indent="1"/>
    </xf>
    <xf numFmtId="0" fontId="2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/>
    <xf numFmtId="167" fontId="0" fillId="0" borderId="24" xfId="89" applyNumberFormat="1" applyFont="1" applyFill="1" applyBorder="1"/>
    <xf numFmtId="10" fontId="0" fillId="0" borderId="24" xfId="89" applyNumberFormat="1" applyFont="1" applyFill="1" applyBorder="1"/>
    <xf numFmtId="9" fontId="27" fillId="16" borderId="0" xfId="0" applyNumberFormat="1" applyFont="1" applyFill="1" applyBorder="1" applyAlignment="1">
      <alignment horizontal="center" vertical="center"/>
    </xf>
    <xf numFmtId="1" fontId="27" fillId="16" borderId="0" xfId="0" applyNumberFormat="1" applyFont="1" applyFill="1" applyBorder="1" applyAlignment="1">
      <alignment horizontal="right" vertical="center" indent="1"/>
    </xf>
    <xf numFmtId="1" fontId="18" fillId="28" borderId="23" xfId="0" applyNumberFormat="1" applyFont="1" applyFill="1" applyBorder="1" applyAlignment="1">
      <alignment horizontal="right" vertical="center" indent="1"/>
    </xf>
    <xf numFmtId="0" fontId="0" fillId="25" borderId="19" xfId="0" applyFill="1" applyBorder="1"/>
    <xf numFmtId="0" fontId="0" fillId="25" borderId="8" xfId="0" applyFill="1" applyBorder="1"/>
    <xf numFmtId="0" fontId="0" fillId="25" borderId="20" xfId="0" applyFill="1" applyBorder="1"/>
    <xf numFmtId="174" fontId="27" fillId="25" borderId="8" xfId="0" applyNumberFormat="1" applyFont="1" applyFill="1" applyBorder="1" applyAlignment="1">
      <alignment vertical="center"/>
    </xf>
    <xf numFmtId="187" fontId="27" fillId="29" borderId="0" xfId="0" applyNumberFormat="1" applyFont="1" applyFill="1" applyBorder="1" applyAlignment="1">
      <alignment horizontal="center"/>
    </xf>
    <xf numFmtId="187" fontId="27" fillId="0" borderId="0" xfId="0" applyNumberFormat="1" applyFont="1" applyFill="1" applyBorder="1" applyAlignment="1">
      <alignment horizontal="center" vertical="center"/>
    </xf>
    <xf numFmtId="188" fontId="27" fillId="29" borderId="25" xfId="0" applyNumberFormat="1" applyFont="1" applyFill="1" applyBorder="1" applyAlignment="1">
      <alignment horizontal="center"/>
    </xf>
    <xf numFmtId="188" fontId="27" fillId="0" borderId="0" xfId="0" applyNumberFormat="1" applyFont="1" applyFill="1" applyBorder="1" applyAlignment="1">
      <alignment horizontal="center" vertical="center"/>
    </xf>
    <xf numFmtId="188" fontId="27" fillId="29" borderId="0" xfId="0" applyNumberFormat="1" applyFont="1" applyFill="1" applyBorder="1" applyAlignment="1">
      <alignment horizontal="center"/>
    </xf>
    <xf numFmtId="9" fontId="0" fillId="0" borderId="0" xfId="0" applyNumberFormat="1"/>
    <xf numFmtId="0" fontId="0" fillId="0" borderId="0" xfId="0" quotePrefix="1"/>
    <xf numFmtId="0" fontId="10" fillId="25" borderId="10" xfId="0" quotePrefix="1" applyFont="1" applyFill="1" applyBorder="1" applyAlignment="1">
      <alignment horizontal="center" vertical="center"/>
    </xf>
    <xf numFmtId="189" fontId="27" fillId="0" borderId="8" xfId="0" applyNumberFormat="1" applyFont="1" applyBorder="1" applyAlignment="1">
      <alignment vertical="center"/>
    </xf>
    <xf numFmtId="0" fontId="73" fillId="0" borderId="8" xfId="0" applyFont="1" applyBorder="1"/>
    <xf numFmtId="9" fontId="73" fillId="0" borderId="8" xfId="89" applyFont="1" applyBorder="1" applyAlignment="1">
      <alignment horizontal="center"/>
    </xf>
    <xf numFmtId="167" fontId="73" fillId="0" borderId="8" xfId="89" applyNumberFormat="1" applyFont="1" applyBorder="1" applyAlignment="1">
      <alignment horizontal="center"/>
    </xf>
    <xf numFmtId="9" fontId="73" fillId="0" borderId="8" xfId="89" applyNumberFormat="1" applyFont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25" borderId="0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14" fillId="0" borderId="0" xfId="0" applyFont="1"/>
    <xf numFmtId="0" fontId="14" fillId="25" borderId="25" xfId="0" applyFont="1" applyFill="1" applyBorder="1" applyAlignment="1">
      <alignment horizontal="center"/>
    </xf>
    <xf numFmtId="0" fontId="14" fillId="25" borderId="0" xfId="0" applyFont="1" applyFill="1" applyBorder="1" applyAlignment="1">
      <alignment horizontal="center"/>
    </xf>
    <xf numFmtId="3" fontId="0" fillId="32" borderId="0" xfId="0" applyNumberFormat="1" applyFill="1"/>
    <xf numFmtId="166" fontId="0" fillId="32" borderId="0" xfId="0" applyNumberFormat="1" applyFill="1"/>
    <xf numFmtId="9" fontId="0" fillId="32" borderId="0" xfId="0" applyNumberFormat="1" applyFill="1"/>
    <xf numFmtId="167" fontId="0" fillId="32" borderId="0" xfId="0" applyNumberFormat="1" applyFill="1"/>
    <xf numFmtId="168" fontId="0" fillId="0" borderId="0" xfId="0" applyNumberFormat="1" applyFill="1"/>
    <xf numFmtId="168" fontId="0" fillId="33" borderId="0" xfId="0" applyNumberFormat="1" applyFill="1"/>
    <xf numFmtId="166" fontId="0" fillId="33" borderId="0" xfId="0" applyNumberFormat="1" applyFill="1"/>
    <xf numFmtId="9" fontId="0" fillId="33" borderId="0" xfId="0" applyNumberFormat="1" applyFill="1"/>
    <xf numFmtId="167" fontId="0" fillId="33" borderId="0" xfId="0" applyNumberFormat="1" applyFill="1"/>
    <xf numFmtId="0" fontId="0" fillId="0" borderId="25" xfId="0" applyFill="1" applyBorder="1"/>
    <xf numFmtId="0" fontId="0" fillId="0" borderId="0" xfId="0" applyFill="1" applyBorder="1"/>
    <xf numFmtId="9" fontId="0" fillId="0" borderId="0" xfId="0" applyNumberFormat="1" applyFill="1" applyBorder="1" applyAlignment="1">
      <alignment horizontal="center"/>
    </xf>
    <xf numFmtId="3" fontId="0" fillId="0" borderId="24" xfId="0" applyNumberFormat="1" applyFill="1" applyBorder="1" applyAlignment="1">
      <alignment horizontal="right"/>
    </xf>
    <xf numFmtId="3" fontId="0" fillId="0" borderId="0" xfId="0" applyNumberFormat="1" applyFill="1" applyAlignment="1">
      <alignment horizontal="right"/>
    </xf>
    <xf numFmtId="3" fontId="0" fillId="0" borderId="0" xfId="0" applyNumberFormat="1" applyFill="1"/>
    <xf numFmtId="174" fontId="0" fillId="0" borderId="0" xfId="0" applyNumberFormat="1" applyFill="1"/>
    <xf numFmtId="185" fontId="0" fillId="0" borderId="0" xfId="0" applyNumberFormat="1" applyFill="1"/>
    <xf numFmtId="9" fontId="0" fillId="0" borderId="0" xfId="0" applyNumberFormat="1" applyFill="1"/>
    <xf numFmtId="166" fontId="0" fillId="0" borderId="0" xfId="0" applyNumberFormat="1" applyFill="1"/>
    <xf numFmtId="3" fontId="0" fillId="0" borderId="0" xfId="0" applyNumberFormat="1" applyBorder="1" applyAlignment="1">
      <alignment horizontal="right"/>
    </xf>
    <xf numFmtId="3" fontId="0" fillId="0" borderId="0" xfId="0" applyNumberFormat="1" applyFill="1" applyBorder="1" applyAlignment="1">
      <alignment horizontal="right"/>
    </xf>
    <xf numFmtId="3" fontId="0" fillId="25" borderId="0" xfId="0" applyNumberFormat="1" applyFill="1" applyBorder="1" applyAlignment="1">
      <alignment horizontal="right"/>
    </xf>
    <xf numFmtId="0" fontId="0" fillId="0" borderId="28" xfId="0" applyBorder="1" applyAlignment="1">
      <alignment horizontal="center"/>
    </xf>
    <xf numFmtId="0" fontId="0" fillId="0" borderId="33" xfId="0" applyFill="1" applyBorder="1"/>
    <xf numFmtId="0" fontId="0" fillId="0" borderId="30" xfId="0" applyBorder="1" applyAlignment="1">
      <alignment horizontal="center"/>
    </xf>
    <xf numFmtId="0" fontId="0" fillId="0" borderId="31" xfId="0" applyFill="1" applyBorder="1"/>
    <xf numFmtId="3" fontId="0" fillId="0" borderId="30" xfId="0" applyNumberFormat="1" applyBorder="1" applyAlignment="1">
      <alignment horizontal="right"/>
    </xf>
    <xf numFmtId="0" fontId="0" fillId="0" borderId="33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3" fontId="0" fillId="0" borderId="32" xfId="0" applyNumberFormat="1" applyFill="1" applyBorder="1" applyAlignment="1">
      <alignment horizontal="right"/>
    </xf>
    <xf numFmtId="3" fontId="0" fillId="33" borderId="0" xfId="0" applyNumberFormat="1" applyFill="1"/>
    <xf numFmtId="167" fontId="14" fillId="33" borderId="0" xfId="0" applyNumberFormat="1" applyFont="1" applyFill="1"/>
    <xf numFmtId="3" fontId="14" fillId="0" borderId="0" xfId="0" applyNumberFormat="1" applyFont="1" applyFill="1"/>
    <xf numFmtId="167" fontId="14" fillId="0" borderId="0" xfId="0" applyNumberFormat="1" applyFont="1"/>
    <xf numFmtId="166" fontId="14" fillId="0" borderId="0" xfId="0" applyNumberFormat="1" applyFont="1" applyFill="1"/>
    <xf numFmtId="0" fontId="11" fillId="0" borderId="24" xfId="0" applyFont="1" applyFill="1" applyBorder="1"/>
    <xf numFmtId="0" fontId="10" fillId="0" borderId="46" xfId="0" applyFont="1" applyFill="1" applyBorder="1" applyAlignment="1">
      <alignment horizontal="center" vertical="center"/>
    </xf>
    <xf numFmtId="0" fontId="10" fillId="0" borderId="47" xfId="0" applyFont="1" applyFill="1" applyBorder="1" applyAlignment="1">
      <alignment horizontal="center" vertical="center"/>
    </xf>
    <xf numFmtId="15" fontId="10" fillId="0" borderId="44" xfId="0" applyNumberFormat="1" applyFont="1" applyFill="1" applyBorder="1" applyAlignment="1">
      <alignment horizontal="center" vertical="center"/>
    </xf>
    <xf numFmtId="0" fontId="10" fillId="0" borderId="45" xfId="0" applyFont="1" applyFill="1" applyBorder="1" applyAlignment="1">
      <alignment horizontal="center" vertical="center"/>
    </xf>
    <xf numFmtId="9" fontId="6" fillId="26" borderId="24" xfId="89" applyFont="1" applyFill="1" applyBorder="1"/>
    <xf numFmtId="14" fontId="10" fillId="0" borderId="39" xfId="0" applyNumberFormat="1" applyFont="1" applyFill="1" applyBorder="1" applyAlignment="1">
      <alignment horizontal="center" vertical="center"/>
    </xf>
    <xf numFmtId="0" fontId="68" fillId="0" borderId="48" xfId="0" applyFont="1" applyFill="1" applyBorder="1" applyAlignment="1">
      <alignment horizontal="center" vertical="center"/>
    </xf>
    <xf numFmtId="0" fontId="68" fillId="0" borderId="49" xfId="0" applyFont="1" applyFill="1" applyBorder="1" applyAlignment="1">
      <alignment horizontal="center" vertical="center"/>
    </xf>
    <xf numFmtId="14" fontId="10" fillId="0" borderId="41" xfId="0" applyNumberFormat="1" applyFont="1" applyFill="1" applyBorder="1" applyAlignment="1">
      <alignment horizontal="center" vertical="center"/>
    </xf>
    <xf numFmtId="14" fontId="10" fillId="0" borderId="44" xfId="0" applyNumberFormat="1" applyFont="1" applyFill="1" applyBorder="1" applyAlignment="1">
      <alignment horizontal="center" vertical="center"/>
    </xf>
    <xf numFmtId="0" fontId="11" fillId="32" borderId="0" xfId="0" applyFont="1" applyFill="1"/>
    <xf numFmtId="0" fontId="15" fillId="32" borderId="24" xfId="0" applyFont="1" applyFill="1" applyBorder="1"/>
    <xf numFmtId="0" fontId="0" fillId="32" borderId="0" xfId="0" applyFill="1"/>
    <xf numFmtId="0" fontId="14" fillId="0" borderId="0" xfId="0" applyFont="1" applyFill="1"/>
    <xf numFmtId="0" fontId="11" fillId="0" borderId="0" xfId="0" applyFont="1" applyFill="1"/>
    <xf numFmtId="10" fontId="0" fillId="32" borderId="0" xfId="0" applyNumberFormat="1" applyFill="1"/>
    <xf numFmtId="0" fontId="0" fillId="32" borderId="0" xfId="0" applyFill="1" applyAlignment="1">
      <alignment horizontal="center"/>
    </xf>
    <xf numFmtId="0" fontId="6" fillId="32" borderId="24" xfId="0" applyFont="1" applyFill="1" applyBorder="1"/>
    <xf numFmtId="166" fontId="6" fillId="32" borderId="24" xfId="0" applyNumberFormat="1" applyFont="1" applyFill="1" applyBorder="1"/>
    <xf numFmtId="3" fontId="6" fillId="32" borderId="24" xfId="0" applyNumberFormat="1" applyFont="1" applyFill="1" applyBorder="1"/>
    <xf numFmtId="167" fontId="6" fillId="32" borderId="24" xfId="0" applyNumberFormat="1" applyFont="1" applyFill="1" applyBorder="1"/>
    <xf numFmtId="10" fontId="0" fillId="32" borderId="24" xfId="0" applyNumberFormat="1" applyFill="1" applyBorder="1"/>
    <xf numFmtId="0" fontId="0" fillId="32" borderId="24" xfId="0" applyFill="1" applyBorder="1"/>
    <xf numFmtId="9" fontId="6" fillId="32" borderId="24" xfId="0" applyNumberFormat="1" applyFont="1" applyFill="1" applyBorder="1"/>
    <xf numFmtId="167" fontId="0" fillId="32" borderId="24" xfId="0" applyNumberFormat="1" applyFill="1" applyBorder="1"/>
    <xf numFmtId="0" fontId="15" fillId="32" borderId="0" xfId="0" applyFont="1" applyFill="1"/>
    <xf numFmtId="10" fontId="0" fillId="0" borderId="0" xfId="0" applyNumberFormat="1" applyFill="1"/>
    <xf numFmtId="0" fontId="6" fillId="0" borderId="24" xfId="0" applyNumberFormat="1" applyFont="1" applyFill="1" applyBorder="1"/>
    <xf numFmtId="0" fontId="14" fillId="30" borderId="0" xfId="0" applyFont="1" applyFill="1"/>
    <xf numFmtId="9" fontId="0" fillId="0" borderId="0" xfId="89" applyFont="1" applyFill="1"/>
    <xf numFmtId="9" fontId="2" fillId="0" borderId="0" xfId="89" applyFill="1"/>
    <xf numFmtId="6" fontId="0" fillId="0" borderId="0" xfId="0" applyNumberFormat="1"/>
    <xf numFmtId="3" fontId="27" fillId="29" borderId="0" xfId="0" applyNumberFormat="1" applyFont="1" applyFill="1" applyBorder="1" applyAlignment="1">
      <alignment horizontal="center"/>
    </xf>
    <xf numFmtId="3" fontId="27" fillId="0" borderId="0" xfId="0" applyNumberFormat="1" applyFont="1" applyFill="1" applyBorder="1" applyAlignment="1">
      <alignment horizontal="center" vertical="center"/>
    </xf>
    <xf numFmtId="3" fontId="18" fillId="28" borderId="23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4" fillId="32" borderId="0" xfId="0" applyFont="1" applyFill="1"/>
    <xf numFmtId="3" fontId="6" fillId="25" borderId="20" xfId="0" applyNumberFormat="1" applyFont="1" applyFill="1" applyBorder="1" applyAlignment="1">
      <alignment horizontal="center" vertical="center"/>
    </xf>
    <xf numFmtId="0" fontId="10" fillId="24" borderId="25" xfId="0" applyFont="1" applyFill="1" applyBorder="1" applyAlignment="1">
      <alignment horizontal="center" vertical="center"/>
    </xf>
    <xf numFmtId="0" fontId="10" fillId="24" borderId="0" xfId="0" applyFont="1" applyFill="1" applyBorder="1" applyAlignment="1">
      <alignment horizontal="center" vertical="center"/>
    </xf>
    <xf numFmtId="0" fontId="77" fillId="0" borderId="0" xfId="140" applyFont="1"/>
    <xf numFmtId="0" fontId="76" fillId="0" borderId="0" xfId="140"/>
    <xf numFmtId="0" fontId="76" fillId="0" borderId="56" xfId="140" applyNumberFormat="1" applyFont="1" applyBorder="1" applyAlignment="1"/>
    <xf numFmtId="0" fontId="2" fillId="32" borderId="0" xfId="0" applyFont="1" applyFill="1" applyAlignment="1">
      <alignment horizontal="center"/>
    </xf>
    <xf numFmtId="0" fontId="14" fillId="32" borderId="0" xfId="0" applyFont="1" applyFill="1" applyAlignment="1">
      <alignment horizontal="center"/>
    </xf>
    <xf numFmtId="0" fontId="2" fillId="0" borderId="0" xfId="0" applyFont="1" applyFill="1" applyBorder="1"/>
    <xf numFmtId="185" fontId="0" fillId="0" borderId="0" xfId="0" applyNumberFormat="1"/>
    <xf numFmtId="0" fontId="2" fillId="30" borderId="0" xfId="0" applyFont="1" applyFill="1"/>
    <xf numFmtId="9" fontId="0" fillId="30" borderId="0" xfId="0" applyNumberFormat="1" applyFill="1"/>
    <xf numFmtId="0" fontId="2" fillId="32" borderId="0" xfId="0" applyFont="1" applyFill="1"/>
    <xf numFmtId="0" fontId="2" fillId="0" borderId="0" xfId="0" applyFont="1" applyAlignment="1">
      <alignment vertical="center"/>
    </xf>
    <xf numFmtId="0" fontId="27" fillId="16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10" fillId="0" borderId="31" xfId="0" applyFont="1" applyBorder="1"/>
    <xf numFmtId="0" fontId="10" fillId="0" borderId="31" xfId="0" applyFont="1" applyBorder="1" applyAlignment="1">
      <alignment horizontal="center"/>
    </xf>
    <xf numFmtId="0" fontId="10" fillId="0" borderId="32" xfId="0" applyFont="1" applyBorder="1"/>
    <xf numFmtId="0" fontId="0" fillId="28" borderId="0" xfId="0" applyFill="1" applyBorder="1"/>
    <xf numFmtId="0" fontId="15" fillId="0" borderId="0" xfId="0" applyFont="1" applyFill="1" applyBorder="1" applyAlignment="1">
      <alignment horizontal="center" vertical="top" wrapText="1"/>
    </xf>
    <xf numFmtId="0" fontId="21" fillId="28" borderId="0" xfId="0" applyFont="1" applyFill="1" applyBorder="1" applyAlignment="1">
      <alignment horizontal="left" vertical="center"/>
    </xf>
    <xf numFmtId="1" fontId="27" fillId="16" borderId="0" xfId="0" applyNumberFormat="1" applyFont="1" applyFill="1" applyBorder="1" applyAlignment="1">
      <alignment horizontal="center" vertical="center"/>
    </xf>
    <xf numFmtId="0" fontId="1" fillId="0" borderId="0" xfId="140" applyFont="1"/>
    <xf numFmtId="0" fontId="0" fillId="0" borderId="0" xfId="0" applyAlignment="1"/>
    <xf numFmtId="9" fontId="27" fillId="16" borderId="0" xfId="89" applyFont="1" applyFill="1" applyBorder="1" applyAlignment="1">
      <alignment horizontal="center" vertical="center"/>
    </xf>
    <xf numFmtId="190" fontId="27" fillId="16" borderId="0" xfId="0" applyNumberFormat="1" applyFont="1" applyFill="1" applyBorder="1" applyAlignment="1">
      <alignment horizontal="center" vertical="center"/>
    </xf>
    <xf numFmtId="171" fontId="0" fillId="0" borderId="0" xfId="0" applyNumberFormat="1" applyAlignment="1"/>
    <xf numFmtId="0" fontId="2" fillId="34" borderId="0" xfId="0" applyFont="1" applyFill="1"/>
    <xf numFmtId="9" fontId="27" fillId="0" borderId="0" xfId="89" applyFont="1" applyFill="1" applyBorder="1" applyAlignment="1">
      <alignment horizontal="center" vertical="center"/>
    </xf>
    <xf numFmtId="1" fontId="27" fillId="0" borderId="0" xfId="0" applyNumberFormat="1" applyFont="1" applyFill="1" applyBorder="1" applyAlignment="1">
      <alignment horizontal="center" vertical="center"/>
    </xf>
    <xf numFmtId="190" fontId="27" fillId="0" borderId="0" xfId="0" applyNumberFormat="1" applyFont="1" applyFill="1" applyBorder="1" applyAlignment="1">
      <alignment horizontal="center" vertical="center"/>
    </xf>
    <xf numFmtId="0" fontId="18" fillId="28" borderId="23" xfId="0" applyFont="1" applyFill="1" applyBorder="1" applyAlignment="1">
      <alignment horizontal="left" vertical="center"/>
    </xf>
    <xf numFmtId="0" fontId="68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3" fontId="0" fillId="0" borderId="29" xfId="0" applyNumberForma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top" wrapText="1"/>
    </xf>
    <xf numFmtId="0" fontId="15" fillId="0" borderId="24" xfId="0" applyFont="1" applyFill="1" applyBorder="1" applyAlignment="1">
      <alignment horizontal="center" vertical="top" wrapText="1"/>
    </xf>
    <xf numFmtId="0" fontId="21" fillId="27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left"/>
    </xf>
    <xf numFmtId="0" fontId="5" fillId="0" borderId="0" xfId="0" applyFont="1" applyAlignment="1">
      <alignment horizontal="left"/>
    </xf>
    <xf numFmtId="3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21" fillId="28" borderId="0" xfId="0" applyFont="1" applyFill="1" applyBorder="1" applyAlignment="1">
      <alignment horizontal="left" vertical="center"/>
    </xf>
    <xf numFmtId="0" fontId="78" fillId="0" borderId="0" xfId="0" applyFont="1" applyAlignment="1">
      <alignment horizontal="left" vertical="top" wrapText="1"/>
    </xf>
    <xf numFmtId="0" fontId="78" fillId="0" borderId="0" xfId="0" quotePrefix="1" applyFont="1" applyAlignment="1">
      <alignment horizontal="left" vertical="top" wrapText="1"/>
    </xf>
    <xf numFmtId="0" fontId="15" fillId="0" borderId="0" xfId="0" applyFont="1" applyFill="1" applyBorder="1" applyAlignment="1">
      <alignment horizontal="right" vertical="center" wrapText="1" indent="1"/>
    </xf>
    <xf numFmtId="0" fontId="27" fillId="0" borderId="24" xfId="0" applyFont="1" applyBorder="1" applyAlignment="1">
      <alignment horizontal="right" vertical="center" wrapText="1" indent="1"/>
    </xf>
    <xf numFmtId="0" fontId="11" fillId="0" borderId="0" xfId="0" applyFont="1" applyAlignment="1">
      <alignment horizontal="left" vertical="top" wrapText="1"/>
    </xf>
    <xf numFmtId="0" fontId="11" fillId="0" borderId="0" xfId="0" quotePrefix="1" applyFont="1" applyAlignment="1">
      <alignment horizontal="left" vertical="top" wrapText="1"/>
    </xf>
    <xf numFmtId="0" fontId="10" fillId="30" borderId="50" xfId="0" applyFont="1" applyFill="1" applyBorder="1" applyAlignment="1">
      <alignment horizontal="center"/>
    </xf>
    <xf numFmtId="0" fontId="10" fillId="30" borderId="51" xfId="0" applyFont="1" applyFill="1" applyBorder="1" applyAlignment="1">
      <alignment horizontal="center"/>
    </xf>
    <xf numFmtId="0" fontId="10" fillId="24" borderId="0" xfId="0" applyFont="1" applyFill="1" applyBorder="1" applyAlignment="1">
      <alignment horizontal="center"/>
    </xf>
    <xf numFmtId="0" fontId="10" fillId="24" borderId="52" xfId="0" applyFont="1" applyFill="1" applyBorder="1" applyAlignment="1">
      <alignment horizontal="center"/>
    </xf>
    <xf numFmtId="0" fontId="10" fillId="26" borderId="4" xfId="0" applyFont="1" applyFill="1" applyBorder="1" applyAlignment="1">
      <alignment horizontal="center"/>
    </xf>
    <xf numFmtId="0" fontId="10" fillId="26" borderId="53" xfId="0" applyFont="1" applyFill="1" applyBorder="1" applyAlignment="1">
      <alignment horizontal="center"/>
    </xf>
    <xf numFmtId="0" fontId="10" fillId="25" borderId="0" xfId="0" applyFont="1" applyFill="1" applyBorder="1" applyAlignment="1">
      <alignment horizontal="center" vertical="center"/>
    </xf>
    <xf numFmtId="0" fontId="10" fillId="25" borderId="52" xfId="0" applyFont="1" applyFill="1" applyBorder="1" applyAlignment="1">
      <alignment horizontal="center" vertical="center"/>
    </xf>
    <xf numFmtId="0" fontId="6" fillId="25" borderId="54" xfId="0" applyFont="1" applyFill="1" applyBorder="1" applyAlignment="1">
      <alignment horizontal="center" vertical="center" wrapText="1"/>
    </xf>
    <xf numFmtId="0" fontId="6" fillId="25" borderId="55" xfId="0" applyFont="1" applyFill="1" applyBorder="1" applyAlignment="1">
      <alignment horizontal="center" vertical="center" wrapText="1"/>
    </xf>
    <xf numFmtId="0" fontId="10" fillId="26" borderId="0" xfId="0" applyFont="1" applyFill="1" applyBorder="1" applyAlignment="1">
      <alignment horizontal="center"/>
    </xf>
  </cellXfs>
  <cellStyles count="141">
    <cellStyle name="_A West Side Story" xfId="1"/>
    <cellStyle name="_GPOR NAV FY 2010 31 May 11" xfId="2"/>
    <cellStyle name="=C:\WINNT\SYSTEM32\COMMAND.COM" xfId="3"/>
    <cellStyle name="20% - Accent1" xfId="4" builtinId="30" customBuiltin="1"/>
    <cellStyle name="20% - Accent2" xfId="5" builtinId="34" customBuiltin="1"/>
    <cellStyle name="20% - Accent3" xfId="6" builtinId="38" customBuiltin="1"/>
    <cellStyle name="20% - Accent4" xfId="7" builtinId="42" customBuiltin="1"/>
    <cellStyle name="20% - Accent5" xfId="8" builtinId="46" customBuiltin="1"/>
    <cellStyle name="20% - Accent6" xfId="9" builtinId="50" customBuiltin="1"/>
    <cellStyle name="40% - Accent1" xfId="10" builtinId="31" customBuiltin="1"/>
    <cellStyle name="40% - Accent2" xfId="11" builtinId="35" customBuiltin="1"/>
    <cellStyle name="40% - Accent3" xfId="12" builtinId="39" customBuiltin="1"/>
    <cellStyle name="40% - Accent4" xfId="13" builtinId="43" customBuiltin="1"/>
    <cellStyle name="40% - Accent5" xfId="14" builtinId="47" customBuiltin="1"/>
    <cellStyle name="40% - Accent6" xfId="15" builtinId="51" customBuiltin="1"/>
    <cellStyle name="5pt" xfId="16"/>
    <cellStyle name="60% - Accent1" xfId="17" builtinId="32" customBuiltin="1"/>
    <cellStyle name="60% - Accent2" xfId="18" builtinId="36" customBuiltin="1"/>
    <cellStyle name="60% - Accent3" xfId="19" builtinId="40" customBuiltin="1"/>
    <cellStyle name="60% - Accent4" xfId="20" builtinId="44" customBuiltin="1"/>
    <cellStyle name="60% - Accent5" xfId="21" builtinId="48" customBuiltin="1"/>
    <cellStyle name="60% - Accent6" xfId="22" builtinId="52" customBuiltin="1"/>
    <cellStyle name="7pt" xfId="23"/>
    <cellStyle name="Accent1" xfId="24" builtinId="29" customBuiltin="1"/>
    <cellStyle name="Accent2" xfId="25" builtinId="33" customBuiltin="1"/>
    <cellStyle name="Accent3" xfId="26" builtinId="37" customBuiltin="1"/>
    <cellStyle name="Accent4" xfId="27" builtinId="41" customBuiltin="1"/>
    <cellStyle name="Accent5" xfId="28" builtinId="45" customBuiltin="1"/>
    <cellStyle name="Accent6" xfId="29" builtinId="49" customBuiltin="1"/>
    <cellStyle name="b" xfId="30"/>
    <cellStyle name="B01" xfId="31"/>
    <cellStyle name="B02" xfId="32"/>
    <cellStyle name="B04" xfId="33"/>
    <cellStyle name="Bad" xfId="34" builtinId="27" customBuiltin="1"/>
    <cellStyle name="Border Heavy" xfId="35"/>
    <cellStyle name="Border Thin" xfId="36"/>
    <cellStyle name="Calculation" xfId="37" builtinId="22" customBuiltin="1"/>
    <cellStyle name="Check Cell" xfId="38" builtinId="23" customBuiltin="1"/>
    <cellStyle name="Comma" xfId="39" builtinId="3"/>
    <cellStyle name="Comma0" xfId="40"/>
    <cellStyle name="Currency [2]" xfId="41"/>
    <cellStyle name="Currency0" xfId="42"/>
    <cellStyle name="darren" xfId="43"/>
    <cellStyle name="Date" xfId="44"/>
    <cellStyle name="Date [mmm-yy]" xfId="45"/>
    <cellStyle name="Date_Book1 (3)" xfId="46"/>
    <cellStyle name="Datum" xfId="47"/>
    <cellStyle name="Dezimal [0]_48 Seitz v. oebel korrektur KWI" xfId="48"/>
    <cellStyle name="Dezimal_48 Seitz v. oebel korrektur KWI" xfId="49"/>
    <cellStyle name="Digest heading 1" xfId="50"/>
    <cellStyle name="Digest heading 2" xfId="51"/>
    <cellStyle name="Digest heading 3" xfId="52"/>
    <cellStyle name="Dollar" xfId="53"/>
    <cellStyle name="Euro" xfId="54"/>
    <cellStyle name="Explanatory Text" xfId="55" builtinId="53" customBuiltin="1"/>
    <cellStyle name="F0 - Style2" xfId="56"/>
    <cellStyle name="Fixed" xfId="57"/>
    <cellStyle name="Good" xfId="58" builtinId="26" customBuiltin="1"/>
    <cellStyle name="Grey" xfId="59"/>
    <cellStyle name="Header" xfId="60"/>
    <cellStyle name="Header1" xfId="61"/>
    <cellStyle name="Header2" xfId="62"/>
    <cellStyle name="Heading 1" xfId="63" builtinId="16" customBuiltin="1"/>
    <cellStyle name="Heading 2" xfId="64" builtinId="17" customBuiltin="1"/>
    <cellStyle name="Heading 3" xfId="65" builtinId="18" customBuiltin="1"/>
    <cellStyle name="Heading 4" xfId="66" builtinId="19" customBuiltin="1"/>
    <cellStyle name="Headings" xfId="67"/>
    <cellStyle name="Imput" xfId="68"/>
    <cellStyle name="Input" xfId="69" builtinId="20" customBuiltin="1"/>
    <cellStyle name="Input [yellow]" xfId="70"/>
    <cellStyle name="Input Normal" xfId="71"/>
    <cellStyle name="Komma0" xfId="72"/>
    <cellStyle name="Koptekst 1" xfId="73"/>
    <cellStyle name="Koptekst 2" xfId="74"/>
    <cellStyle name="LineItem" xfId="75"/>
    <cellStyle name="Linked Cell" xfId="76" builtinId="24" customBuiltin="1"/>
    <cellStyle name="Multiple" xfId="77"/>
    <cellStyle name="n" xfId="78"/>
    <cellStyle name="Neutral" xfId="79" builtinId="28" customBuiltin="1"/>
    <cellStyle name="Norm" xfId="80"/>
    <cellStyle name="Normal" xfId="0" builtinId="0"/>
    <cellStyle name="Normal - Style1" xfId="81"/>
    <cellStyle name="Normal 2" xfId="82"/>
    <cellStyle name="Normal 3" xfId="140"/>
    <cellStyle name="Normal Bold" xfId="83"/>
    <cellStyle name="Normal_InputData" xfId="84"/>
    <cellStyle name="Note" xfId="85" builtinId="10" customBuiltin="1"/>
    <cellStyle name="Output" xfId="86" builtinId="21" customBuiltin="1"/>
    <cellStyle name="Page Heading Large" xfId="87"/>
    <cellStyle name="Page Heading Small" xfId="88"/>
    <cellStyle name="Percent" xfId="89" builtinId="5"/>
    <cellStyle name="Percent [1]" xfId="90"/>
    <cellStyle name="Percent [2]" xfId="91"/>
    <cellStyle name="Percent 2" xfId="92"/>
    <cellStyle name="Percent Hard" xfId="93"/>
    <cellStyle name="PSChar" xfId="94"/>
    <cellStyle name="PSDate" xfId="95"/>
    <cellStyle name="PSDec" xfId="96"/>
    <cellStyle name="PSHeading" xfId="97"/>
    <cellStyle name="PSInt" xfId="98"/>
    <cellStyle name="PSSpacer" xfId="99"/>
    <cellStyle name="Row_Headings" xfId="100"/>
    <cellStyle name="SAPOutput" xfId="101"/>
    <cellStyle name="Source" xfId="102"/>
    <cellStyle name="Standard_~0012129" xfId="103"/>
    <cellStyle name="Style 1" xfId="104"/>
    <cellStyle name="Style 21" xfId="105"/>
    <cellStyle name="Style 22" xfId="106"/>
    <cellStyle name="Style 23" xfId="107"/>
    <cellStyle name="Style 24" xfId="108"/>
    <cellStyle name="Style 25" xfId="109"/>
    <cellStyle name="Style 26" xfId="110"/>
    <cellStyle name="Style 27" xfId="111"/>
    <cellStyle name="Style 28" xfId="112"/>
    <cellStyle name="Style 29" xfId="113"/>
    <cellStyle name="Style 30" xfId="114"/>
    <cellStyle name="Style 31" xfId="115"/>
    <cellStyle name="Style 32" xfId="116"/>
    <cellStyle name="Style 33" xfId="117"/>
    <cellStyle name="Style 35" xfId="118"/>
    <cellStyle name="Style 36" xfId="119"/>
    <cellStyle name="Table Col Head" xfId="120"/>
    <cellStyle name="Table Sub Head" xfId="121"/>
    <cellStyle name="Table Title" xfId="122"/>
    <cellStyle name="Table Units" xfId="123"/>
    <cellStyle name="Table_Name" xfId="124"/>
    <cellStyle name="TableColumnHeading" xfId="125"/>
    <cellStyle name="TableSubTitleItalic" xfId="126"/>
    <cellStyle name="TableText" xfId="127"/>
    <cellStyle name="TableTitle" xfId="128"/>
    <cellStyle name="Title" xfId="129" builtinId="15" customBuiltin="1"/>
    <cellStyle name="Totaal" xfId="130"/>
    <cellStyle name="Total" xfId="131" builtinId="25" customBuiltin="1"/>
    <cellStyle name="User_Defined_A" xfId="132"/>
    <cellStyle name="Valuta0" xfId="133"/>
    <cellStyle name="Vast" xfId="134"/>
    <cellStyle name="Währung [0]_48 Seitz v. oebel korrektur KWI" xfId="135"/>
    <cellStyle name="Währung_48 Seitz v. oebel korrektur KWI" xfId="136"/>
    <cellStyle name="Warning Text" xfId="137" builtinId="11" customBuiltin="1"/>
    <cellStyle name="Warnings" xfId="138"/>
    <cellStyle name="Year" xfId="139"/>
  </cellStyles>
  <dxfs count="15">
    <dxf>
      <numFmt numFmtId="171" formatCode="mmmm\ d\,\ yyyy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"/>
      <tableStyleElement type="headerRow" dxfId="1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2ECD8"/>
      <rgbColor rgb="00559B23"/>
      <rgbColor rgb="004C789C"/>
      <rgbColor rgb="008CA091"/>
      <rgbColor rgb="0033658E"/>
      <rgbColor rgb="00003F72"/>
      <rgbColor rgb="00668CAA"/>
      <rgbColor rgb="00194123"/>
      <rgbColor rgb="005E7A65"/>
      <rgbColor rgb="0000747C"/>
      <rgbColor rgb="0047674F"/>
      <rgbColor rgb="00BBD7A7"/>
      <rgbColor rgb="00758D7B"/>
      <rgbColor rgb="00B2C5D4"/>
      <rgbColor rgb="00BAC6BD"/>
      <rgbColor rgb="00194123"/>
      <rgbColor rgb="00559B23"/>
      <rgbColor rgb="00003F72"/>
      <rgbColor rgb="00A7193B"/>
      <rgbColor rgb="004E151C"/>
      <rgbColor rgb="00E78216"/>
      <rgbColor rgb="0000747C"/>
      <rgbColor rgb="00FFDE2F"/>
      <rgbColor rgb="00194123"/>
      <rgbColor rgb="00559B23"/>
      <rgbColor rgb="00003F72"/>
      <rgbColor rgb="00A7193B"/>
      <rgbColor rgb="004E151C"/>
      <rgbColor rgb="00E78216"/>
      <rgbColor rgb="0000747C"/>
      <rgbColor rgb="00FFDE2F"/>
      <rgbColor rgb="007F9FB8"/>
      <rgbColor rgb="00E5D9B1"/>
      <rgbColor rgb="00E0D2A5"/>
      <rgbColor rgb="00DCCC97"/>
      <rgbColor rgb="00E9DFBE"/>
      <rgbColor rgb="00D3BF7D"/>
      <rgbColor rgb="00EDE5CB"/>
      <rgbColor rgb="00D7C58A"/>
      <rgbColor rgb="00AACD91"/>
      <rgbColor rgb="0099C37B"/>
      <rgbColor rgb="0077AF4F"/>
      <rgbColor rgb="00195280"/>
      <rgbColor rgb="0066A539"/>
      <rgbColor rgb="00305439"/>
      <rgbColor rgb="00A3B3A7"/>
      <rgbColor rgb="00CCE1BD"/>
      <rgbColor rgb="00353735"/>
      <rgbColor rgb="0088B965"/>
      <rgbColor rgb="008B8D8E"/>
      <rgbColor rgb="00A4B3C9"/>
      <rgbColor rgb="00A7193B"/>
      <rgbColor rgb="0099B2C7"/>
      <rgbColor rgb="00FFDE2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66718659718587"/>
          <c:y val="0.24152542372881355"/>
          <c:w val="0.23888953691823167"/>
          <c:h val="0.36440677966101692"/>
        </c:manualLayout>
      </c:layout>
      <c:pieChart>
        <c:varyColors val="1"/>
        <c:ser>
          <c:idx val="0"/>
          <c:order val="0"/>
          <c:spPr>
            <a:solidFill>
              <a:srgbClr val="194123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D3BF7D"/>
              </a:solidFill>
              <a:ln w="25400">
                <a:noFill/>
              </a:ln>
            </c:spPr>
          </c:dPt>
          <c:dPt>
            <c:idx val="1"/>
            <c:bubble3D val="0"/>
          </c:dPt>
          <c:dPt>
            <c:idx val="2"/>
            <c:bubble3D val="0"/>
            <c:spPr>
              <a:solidFill>
                <a:srgbClr val="A4B3C9"/>
              </a:solidFill>
              <a:ln w="25400">
                <a:noFill/>
              </a:ln>
            </c:spPr>
          </c:dPt>
          <c:dPt>
            <c:idx val="3"/>
            <c:bubble3D val="0"/>
            <c:spPr>
              <a:solidFill>
                <a:srgbClr val="B2C5D4"/>
              </a:solidFill>
              <a:ln w="25400">
                <a:noFill/>
              </a:ln>
            </c:spPr>
          </c:dPt>
          <c:dPt>
            <c:idx val="4"/>
            <c:bubble3D val="0"/>
            <c:spPr>
              <a:solidFill>
                <a:srgbClr val="4E151C"/>
              </a:solidFill>
              <a:ln w="25400">
                <a:noFill/>
              </a:ln>
            </c:spPr>
          </c:dPt>
          <c:dPt>
            <c:idx val="5"/>
            <c:bubble3D val="0"/>
            <c:spPr>
              <a:solidFill>
                <a:srgbClr val="E78216"/>
              </a:solidFill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9.4042055712801331E-3"/>
                  <c:y val="6.06067885582098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1"/>
              <c:layout>
                <c:manualLayout>
                  <c:x val="2.4709827938174393E-3"/>
                  <c:y val="2.407357978557770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2"/>
              <c:layout>
                <c:manualLayout>
                  <c:x val="3.0665982400209707E-2"/>
                  <c:y val="-1.541794563815115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</c:dLbls>
          <c:cat>
            <c:strRef>
              <c:f>BLND!$V$21:$V$26</c:f>
              <c:strCache>
                <c:ptCount val="5"/>
                <c:pt idx="0">
                  <c:v>London Office</c:v>
                </c:pt>
                <c:pt idx="1">
                  <c:v>UK Retail</c:v>
                </c:pt>
                <c:pt idx="2">
                  <c:v>Other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BLND!$W$21:$W$26</c:f>
              <c:numCache>
                <c:formatCode>0%</c:formatCode>
                <c:ptCount val="6"/>
                <c:pt idx="0">
                  <c:v>0.44842330304649919</c:v>
                </c:pt>
                <c:pt idx="1">
                  <c:v>0.52004275788348475</c:v>
                </c:pt>
                <c:pt idx="2">
                  <c:v>3.1533939070016032E-2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4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7831226027"/>
          <c:y val="0.18846153846153846"/>
          <c:w val="0.62109493464457444"/>
          <c:h val="0.503846153846153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BLND!$U$34</c:f>
              <c:strCache>
                <c:ptCount val="1"/>
                <c:pt idx="0">
                  <c:v>British Land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0"/>
                  <c:y val="0.1402309711286089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(BLND!$R$35,BLND!$R$37)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BLND!$U$35:$U$36</c:f>
              <c:numCache>
                <c:formatCode>General</c:formatCode>
                <c:ptCount val="2"/>
                <c:pt idx="0" formatCode="0.0%">
                  <c:v>3.3625834826518979E-2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891008"/>
        <c:axId val="402071936"/>
      </c:barChart>
      <c:barChart>
        <c:barDir val="col"/>
        <c:grouping val="clustered"/>
        <c:varyColors val="0"/>
        <c:ser>
          <c:idx val="2"/>
          <c:order val="2"/>
          <c:tx>
            <c:strRef>
              <c:f>BLND!$R$37</c:f>
              <c:strCache>
                <c:ptCount val="1"/>
                <c:pt idx="0">
                  <c:v>Value/sf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dLbl>
              <c:idx val="1"/>
              <c:layout>
                <c:manualLayout>
                  <c:x val="5.2079232283464569E-3"/>
                  <c:y val="0.20689723399959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BLND!$U$36:$U$37</c:f>
              <c:numCache>
                <c:formatCode>"£"#,##0</c:formatCode>
                <c:ptCount val="2"/>
                <c:pt idx="1">
                  <c:v>1259.118617675181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073856"/>
        <c:axId val="405286912"/>
      </c:barChart>
      <c:lineChart>
        <c:grouping val="standard"/>
        <c:varyColors val="0"/>
        <c:ser>
          <c:idx val="1"/>
          <c:order val="1"/>
          <c:tx>
            <c:strRef>
              <c:f>BLND!$V$34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3F72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(BLND!$R$35,BLND!$R$37)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BLND!$V$35:$V$36</c:f>
              <c:numCache>
                <c:formatCode>General</c:formatCode>
                <c:ptCount val="2"/>
                <c:pt idx="0" formatCode="0.0%">
                  <c:v>3.3626769078890555E-2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891008"/>
        <c:axId val="402071936"/>
      </c:lineChart>
      <c:lineChart>
        <c:grouping val="standard"/>
        <c:varyColors val="0"/>
        <c:ser>
          <c:idx val="3"/>
          <c:order val="3"/>
          <c:tx>
            <c:strRef>
              <c:f>BLND!$V$34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3F72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BLND!$V$36:$V$37</c:f>
              <c:numCache>
                <c:formatCode>"£"#,##0</c:formatCode>
                <c:ptCount val="2"/>
                <c:pt idx="1">
                  <c:v>344440.32841654215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073856"/>
        <c:axId val="405286912"/>
      </c:lineChart>
      <c:catAx>
        <c:axId val="39289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>
            <a:solidFill>
              <a:srgbClr val="8B8D8E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8B8D8E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71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071936"/>
        <c:scaling>
          <c:orientation val="minMax"/>
          <c:max val="7.0000000000000007E-2"/>
          <c:min val="1.0000000000000002E-2"/>
        </c:scaling>
        <c:delete val="0"/>
        <c:axPos val="l"/>
        <c:majorGridlines>
          <c:spPr>
            <a:ln w="3175">
              <a:solidFill>
                <a:srgbClr val="8B8D8E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392891008"/>
        <c:crosses val="autoZero"/>
        <c:crossBetween val="between"/>
        <c:majorUnit val="2.0000000000000004E-2"/>
      </c:valAx>
      <c:catAx>
        <c:axId val="402073856"/>
        <c:scaling>
          <c:orientation val="minMax"/>
        </c:scaling>
        <c:delete val="1"/>
        <c:axPos val="b"/>
        <c:majorTickMark val="out"/>
        <c:minorTickMark val="none"/>
        <c:tickLblPos val="nextTo"/>
        <c:crossAx val="405286912"/>
        <c:crosses val="autoZero"/>
        <c:auto val="1"/>
        <c:lblAlgn val="ctr"/>
        <c:lblOffset val="100"/>
        <c:noMultiLvlLbl val="0"/>
      </c:catAx>
      <c:valAx>
        <c:axId val="405286912"/>
        <c:scaling>
          <c:orientation val="minMax"/>
          <c:max val="1150"/>
          <c:min val="45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402073856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953125E-2"/>
          <c:y val="1.9230769230769232E-2"/>
          <c:w val="0.73046998031496058"/>
          <c:h val="0.13076923076923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66718659718587"/>
          <c:y val="0.24152542372881355"/>
          <c:w val="0.23888953691823167"/>
          <c:h val="0.36440677966101692"/>
        </c:manualLayout>
      </c:layout>
      <c:pieChart>
        <c:varyColors val="1"/>
        <c:ser>
          <c:idx val="0"/>
          <c:order val="0"/>
          <c:spPr>
            <a:solidFill>
              <a:srgbClr val="194123"/>
            </a:solidFill>
            <a:ln w="25400">
              <a:noFill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E0D2A5"/>
              </a:solidFill>
              <a:ln w="25400">
                <a:noFill/>
              </a:ln>
            </c:spPr>
          </c:dPt>
          <c:dPt>
            <c:idx val="2"/>
            <c:bubble3D val="0"/>
            <c:spPr>
              <a:solidFill>
                <a:srgbClr val="5E7A65"/>
              </a:solidFill>
              <a:ln w="25400">
                <a:noFill/>
              </a:ln>
            </c:spPr>
          </c:dPt>
          <c:dPt>
            <c:idx val="3"/>
            <c:bubble3D val="0"/>
          </c:dPt>
          <c:dPt>
            <c:idx val="4"/>
            <c:bubble3D val="0"/>
            <c:spPr>
              <a:solidFill>
                <a:srgbClr val="D3BF7D"/>
              </a:solidFill>
              <a:ln w="25400">
                <a:noFill/>
              </a:ln>
            </c:spPr>
          </c:dPt>
          <c:dPt>
            <c:idx val="5"/>
            <c:bubble3D val="0"/>
            <c:spPr>
              <a:solidFill>
                <a:srgbClr val="E78216"/>
              </a:solidFill>
              <a:ln w="25400">
                <a:noFill/>
              </a:ln>
            </c:spPr>
          </c:dPt>
          <c:dLbls>
            <c:dLbl>
              <c:idx val="1"/>
              <c:layout/>
              <c:numFmt formatCode="0%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</c:dLbls>
          <c:cat>
            <c:strRef>
              <c:f>DLN!$V$21:$V$26</c:f>
              <c:strCache>
                <c:ptCount val="5"/>
                <c:pt idx="0">
                  <c:v>London Office</c:v>
                </c:pt>
                <c:pt idx="1">
                  <c:v>Retail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DLN!$W$21:$W$26</c:f>
              <c:numCache>
                <c:formatCode>0%</c:formatCode>
                <c:ptCount val="6"/>
                <c:pt idx="0">
                  <c:v>0.93854382261931601</c:v>
                </c:pt>
                <c:pt idx="1">
                  <c:v>6.1456177380683985E-2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4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7831226027"/>
          <c:y val="0.18846153846153846"/>
          <c:w val="0.62500119209516924"/>
          <c:h val="0.507692307692307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DLN!$U$34</c:f>
              <c:strCache>
                <c:ptCount val="1"/>
                <c:pt idx="0">
                  <c:v>Derwent London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(DLN!$R$35,DLN!$R$37)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DLN!$U$35:$U$36</c:f>
              <c:numCache>
                <c:formatCode>General</c:formatCode>
                <c:ptCount val="2"/>
                <c:pt idx="0" formatCode="0.0%">
                  <c:v>2.9925862258520963E-2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535552"/>
        <c:axId val="444537088"/>
      </c:barChart>
      <c:barChart>
        <c:barDir val="col"/>
        <c:grouping val="clustered"/>
        <c:varyColors val="0"/>
        <c:ser>
          <c:idx val="2"/>
          <c:order val="2"/>
          <c:tx>
            <c:strRef>
              <c:f>DLN!$R$37</c:f>
              <c:strCache>
                <c:ptCount val="1"/>
                <c:pt idx="0">
                  <c:v>Value/sf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DLN!$U$36:$U$37</c:f>
              <c:numCache>
                <c:formatCode>"£"#,##0</c:formatCode>
                <c:ptCount val="2"/>
                <c:pt idx="1">
                  <c:v>519.23556743165841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579840"/>
        <c:axId val="444581376"/>
      </c:barChart>
      <c:lineChart>
        <c:grouping val="standard"/>
        <c:varyColors val="0"/>
        <c:ser>
          <c:idx val="1"/>
          <c:order val="1"/>
          <c:tx>
            <c:strRef>
              <c:f>DLN!$V$34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3F72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(DLN!$R$35,DLN!$R$37)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DLN!$V$35:$V$36</c:f>
              <c:numCache>
                <c:formatCode>General</c:formatCode>
                <c:ptCount val="2"/>
                <c:pt idx="0" formatCode="0.0%">
                  <c:v>3.3626769078890555E-2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535552"/>
        <c:axId val="444537088"/>
      </c:lineChart>
      <c:lineChart>
        <c:grouping val="standard"/>
        <c:varyColors val="0"/>
        <c:ser>
          <c:idx val="3"/>
          <c:order val="3"/>
          <c:tx>
            <c:strRef>
              <c:f>DLN!$V$34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3F72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DLN!$V$36:$V$37</c:f>
              <c:numCache>
                <c:formatCode>"£"#,##0</c:formatCode>
                <c:ptCount val="2"/>
                <c:pt idx="1">
                  <c:v>344440.32841654215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579840"/>
        <c:axId val="444581376"/>
      </c:lineChart>
      <c:catAx>
        <c:axId val="44453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>
            <a:solidFill>
              <a:srgbClr val="8B8D8E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8B8D8E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5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4537088"/>
        <c:scaling>
          <c:orientation val="minMax"/>
          <c:max val="7.0000000000000007E-2"/>
          <c:min val="0"/>
        </c:scaling>
        <c:delete val="0"/>
        <c:axPos val="l"/>
        <c:majorGridlines>
          <c:spPr>
            <a:ln w="3175">
              <a:solidFill>
                <a:srgbClr val="8B8D8E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444535552"/>
        <c:crosses val="autoZero"/>
        <c:crossBetween val="between"/>
        <c:majorUnit val="2.0000000000000004E-2"/>
      </c:valAx>
      <c:catAx>
        <c:axId val="44457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444581376"/>
        <c:crosses val="autoZero"/>
        <c:auto val="1"/>
        <c:lblAlgn val="ctr"/>
        <c:lblOffset val="100"/>
        <c:noMultiLvlLbl val="0"/>
      </c:catAx>
      <c:valAx>
        <c:axId val="444581376"/>
        <c:scaling>
          <c:orientation val="minMax"/>
          <c:max val="1150"/>
          <c:min val="45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444579840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953125E-2"/>
          <c:y val="1.9230769230769232E-2"/>
          <c:w val="0.73046998031496058"/>
          <c:h val="0.13076923076923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66718659718587"/>
          <c:y val="0.24152542372881355"/>
          <c:w val="0.23888953691823167"/>
          <c:h val="0.36440677966101692"/>
        </c:manualLayout>
      </c:layout>
      <c:pieChart>
        <c:varyColors val="1"/>
        <c:ser>
          <c:idx val="0"/>
          <c:order val="0"/>
          <c:spPr>
            <a:solidFill>
              <a:srgbClr val="194123"/>
            </a:solidFill>
            <a:ln w="25400">
              <a:noFill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E0D2A5"/>
              </a:solidFill>
              <a:ln w="25400">
                <a:noFill/>
              </a:ln>
            </c:spPr>
          </c:dPt>
          <c:dPt>
            <c:idx val="2"/>
            <c:bubble3D val="0"/>
            <c:spPr>
              <a:solidFill>
                <a:srgbClr val="5E7A65"/>
              </a:solidFill>
              <a:ln w="25400">
                <a:noFill/>
              </a:ln>
            </c:spPr>
          </c:dPt>
          <c:dPt>
            <c:idx val="3"/>
            <c:bubble3D val="0"/>
          </c:dPt>
          <c:dPt>
            <c:idx val="4"/>
            <c:bubble3D val="0"/>
            <c:spPr>
              <a:solidFill>
                <a:srgbClr val="D3BF7D"/>
              </a:solidFill>
              <a:ln w="25400">
                <a:noFill/>
              </a:ln>
            </c:spPr>
          </c:dPt>
          <c:dPt>
            <c:idx val="5"/>
            <c:bubble3D val="0"/>
            <c:spPr>
              <a:solidFill>
                <a:srgbClr val="E78216"/>
              </a:solidFill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2.1836249635462233E-2"/>
                  <c:y val="7.5076738289069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layout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layout/>
              <c:showLegendKey val="0"/>
              <c:showVal val="0"/>
              <c:showCatName val="1"/>
              <c:showSerName val="0"/>
              <c:showPercent val="0"/>
              <c:showBubbleSize val="0"/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</c:dLbls>
          <c:cat>
            <c:strRef>
              <c:f>GPOR!$V$21:$V$26</c:f>
              <c:strCache>
                <c:ptCount val="5"/>
                <c:pt idx="0">
                  <c:v>London Office</c:v>
                </c:pt>
                <c:pt idx="1">
                  <c:v>Retail</c:v>
                </c:pt>
                <c:pt idx="2">
                  <c:v>Other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GPOR!$W$21:$W$26</c:f>
              <c:numCache>
                <c:formatCode>0%</c:formatCode>
                <c:ptCount val="6"/>
                <c:pt idx="0">
                  <c:v>0.68</c:v>
                </c:pt>
                <c:pt idx="1">
                  <c:v>0.25</c:v>
                </c:pt>
                <c:pt idx="2">
                  <c:v>7.0000000000000007E-2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4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7831226027"/>
          <c:y val="0.18846153846153846"/>
          <c:w val="0.62500119209516924"/>
          <c:h val="0.507692307692307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GPOR!$U$34</c:f>
              <c:strCache>
                <c:ptCount val="1"/>
                <c:pt idx="0">
                  <c:v>Great Portland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(GPOR!$R$35,GPOR!$R$37)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GPOR!$U$35:$U$36</c:f>
              <c:numCache>
                <c:formatCode>General</c:formatCode>
                <c:ptCount val="2"/>
                <c:pt idx="0" formatCode="0.0%">
                  <c:v>2.9251107830985532E-2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472896"/>
        <c:axId val="459474816"/>
      </c:barChart>
      <c:barChart>
        <c:barDir val="col"/>
        <c:grouping val="clustered"/>
        <c:varyColors val="0"/>
        <c:ser>
          <c:idx val="2"/>
          <c:order val="2"/>
          <c:tx>
            <c:strRef>
              <c:f>GPOR!$R$37</c:f>
              <c:strCache>
                <c:ptCount val="1"/>
                <c:pt idx="0">
                  <c:v>Value/sf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dLbl>
              <c:idx val="1"/>
              <c:layout>
                <c:manualLayout>
                  <c:x val="6.5624999999999998E-3"/>
                  <c:y val="0.2296377952755905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GPOR!$U$36:$U$37</c:f>
              <c:numCache>
                <c:formatCode>"£"#,##0</c:formatCode>
                <c:ptCount val="2"/>
                <c:pt idx="1">
                  <c:v>943.81935141202825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9476352"/>
        <c:axId val="469517824"/>
      </c:barChart>
      <c:lineChart>
        <c:grouping val="standard"/>
        <c:varyColors val="0"/>
        <c:ser>
          <c:idx val="1"/>
          <c:order val="1"/>
          <c:tx>
            <c:strRef>
              <c:f>GPOR!$V$34</c:f>
              <c:strCache>
                <c:ptCount val="1"/>
                <c:pt idx="0">
                  <c:v>Selected REITs' Avg.(3)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3F72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(GPOR!$R$35,GPOR!$R$37)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GPOR!$V$35:$V$36</c:f>
              <c:numCache>
                <c:formatCode>General</c:formatCode>
                <c:ptCount val="2"/>
                <c:pt idx="0" formatCode="0.0%">
                  <c:v>3.3626769078890555E-2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72896"/>
        <c:axId val="459474816"/>
      </c:lineChart>
      <c:lineChart>
        <c:grouping val="standard"/>
        <c:varyColors val="0"/>
        <c:ser>
          <c:idx val="3"/>
          <c:order val="3"/>
          <c:tx>
            <c:strRef>
              <c:f>GPOR!$V$34</c:f>
              <c:strCache>
                <c:ptCount val="1"/>
                <c:pt idx="0">
                  <c:v>Selected REITs' Avg.(3)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3F72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GPOR!$V$36:$V$37</c:f>
              <c:numCache>
                <c:formatCode>"£"#,##0</c:formatCode>
                <c:ptCount val="2"/>
                <c:pt idx="1">
                  <c:v>344440.32841654215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76352"/>
        <c:axId val="469517824"/>
      </c:lineChart>
      <c:catAx>
        <c:axId val="45947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>
            <a:solidFill>
              <a:srgbClr val="8B8D8E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8B8D8E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947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9474816"/>
        <c:scaling>
          <c:orientation val="minMax"/>
          <c:max val="7.0000000000000007E-2"/>
          <c:min val="0"/>
        </c:scaling>
        <c:delete val="0"/>
        <c:axPos val="l"/>
        <c:majorGridlines>
          <c:spPr>
            <a:ln w="3175">
              <a:solidFill>
                <a:srgbClr val="8B8D8E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459472896"/>
        <c:crosses val="autoZero"/>
        <c:crossBetween val="between"/>
        <c:majorUnit val="2.0000000000000004E-2"/>
      </c:valAx>
      <c:catAx>
        <c:axId val="459476352"/>
        <c:scaling>
          <c:orientation val="minMax"/>
        </c:scaling>
        <c:delete val="1"/>
        <c:axPos val="b"/>
        <c:majorTickMark val="out"/>
        <c:minorTickMark val="none"/>
        <c:tickLblPos val="nextTo"/>
        <c:crossAx val="469517824"/>
        <c:crosses val="autoZero"/>
        <c:auto val="1"/>
        <c:lblAlgn val="ctr"/>
        <c:lblOffset val="100"/>
        <c:noMultiLvlLbl val="0"/>
      </c:catAx>
      <c:valAx>
        <c:axId val="469517824"/>
        <c:scaling>
          <c:orientation val="minMax"/>
          <c:max val="1250"/>
          <c:min val="45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459476352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953125E-2"/>
          <c:y val="1.9230769230769232E-2"/>
          <c:w val="0.73046998031496058"/>
          <c:h val="0.13076923076923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7831226027"/>
          <c:y val="0.18846153846153846"/>
          <c:w val="0.62500119209516924"/>
          <c:h val="0.51153846153846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HMSO!$U$34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(HMSO!$R$35,HMSO!$R$37)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HMSO!$U$35:$U$36</c:f>
              <c:numCache>
                <c:formatCode>General</c:formatCode>
                <c:ptCount val="2"/>
                <c:pt idx="0" formatCode="0.0%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2601728"/>
        <c:axId val="262615808"/>
      </c:barChart>
      <c:barChart>
        <c:barDir val="col"/>
        <c:grouping val="clustered"/>
        <c:varyColors val="0"/>
        <c:ser>
          <c:idx val="2"/>
          <c:order val="2"/>
          <c:tx>
            <c:strRef>
              <c:f>HMSO!$R$37</c:f>
              <c:strCache>
                <c:ptCount val="1"/>
                <c:pt idx="0">
                  <c:v>Value/sf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HMSO!$U$36:$U$37</c:f>
              <c:numCache>
                <c:formatCode>"£"#,##0</c:formatCode>
                <c:ptCount val="2"/>
                <c:pt idx="1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2617344"/>
        <c:axId val="262639616"/>
      </c:barChart>
      <c:lineChart>
        <c:grouping val="standard"/>
        <c:varyColors val="0"/>
        <c:ser>
          <c:idx val="1"/>
          <c:order val="1"/>
          <c:tx>
            <c:strRef>
              <c:f>HMSO!$V$34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(HMSO!$R$35,HMSO!$R$37)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HMSO!$V$35:$V$36</c:f>
              <c:numCache>
                <c:formatCode>General</c:formatCode>
                <c:ptCount val="2"/>
                <c:pt idx="0" formatCode="0.0%">
                  <c:v>3.3626769078890555E-2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601728"/>
        <c:axId val="262615808"/>
      </c:lineChart>
      <c:lineChart>
        <c:grouping val="standard"/>
        <c:varyColors val="0"/>
        <c:ser>
          <c:idx val="3"/>
          <c:order val="3"/>
          <c:tx>
            <c:strRef>
              <c:f>HMSO!$V$34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HMSO!$V$36:$V$37</c:f>
              <c:numCache>
                <c:formatCode>"£"#,##0</c:formatCode>
                <c:ptCount val="2"/>
                <c:pt idx="1">
                  <c:v>344440.32841654215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617344"/>
        <c:axId val="262639616"/>
      </c:lineChart>
      <c:catAx>
        <c:axId val="26260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>
            <a:solidFill>
              <a:srgbClr val="8B8D8E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8B8D8E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261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2615808"/>
        <c:scaling>
          <c:orientation val="minMax"/>
          <c:max val="7.0000000000000007E-2"/>
          <c:min val="0.03"/>
        </c:scaling>
        <c:delete val="0"/>
        <c:axPos val="l"/>
        <c:majorGridlines>
          <c:spPr>
            <a:ln w="3175">
              <a:solidFill>
                <a:srgbClr val="8B8D8E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262601728"/>
        <c:crosses val="autoZero"/>
        <c:crossBetween val="between"/>
        <c:majorUnit val="0.01"/>
      </c:valAx>
      <c:catAx>
        <c:axId val="26261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62639616"/>
        <c:crosses val="autoZero"/>
        <c:auto val="1"/>
        <c:lblAlgn val="ctr"/>
        <c:lblOffset val="100"/>
        <c:noMultiLvlLbl val="0"/>
      </c:catAx>
      <c:valAx>
        <c:axId val="262639616"/>
        <c:scaling>
          <c:orientation val="minMax"/>
          <c:max val="700"/>
          <c:min val="45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262617344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953125E-2"/>
          <c:y val="1.9230769230769232E-2"/>
          <c:w val="0.73046998031496058"/>
          <c:h val="0.13076923076923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66718659718587"/>
          <c:y val="0.24152542372881355"/>
          <c:w val="0.23888953691823167"/>
          <c:h val="0.36440677966101692"/>
        </c:manualLayout>
      </c:layout>
      <c:pieChart>
        <c:varyColors val="1"/>
        <c:ser>
          <c:idx val="0"/>
          <c:order val="0"/>
          <c:spPr>
            <a:solidFill>
              <a:srgbClr val="194123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D3BF7D"/>
              </a:solidFill>
              <a:ln w="25400">
                <a:noFill/>
              </a:ln>
            </c:spPr>
          </c:dPt>
          <c:dPt>
            <c:idx val="1"/>
            <c:bubble3D val="0"/>
          </c:dPt>
          <c:dPt>
            <c:idx val="2"/>
            <c:bubble3D val="0"/>
            <c:spPr>
              <a:solidFill>
                <a:srgbClr val="5E7A65"/>
              </a:solidFill>
              <a:ln w="25400">
                <a:noFill/>
              </a:ln>
            </c:spPr>
          </c:dPt>
          <c:dPt>
            <c:idx val="3"/>
            <c:bubble3D val="0"/>
            <c:spPr>
              <a:solidFill>
                <a:srgbClr val="B2C5D4"/>
              </a:solidFill>
              <a:ln w="25400">
                <a:noFill/>
              </a:ln>
            </c:spPr>
          </c:dPt>
          <c:dPt>
            <c:idx val="4"/>
            <c:bubble3D val="0"/>
            <c:spPr>
              <a:solidFill>
                <a:srgbClr val="4E151C"/>
              </a:solidFill>
              <a:ln w="25400">
                <a:noFill/>
              </a:ln>
            </c:spPr>
          </c:dPt>
          <c:dPt>
            <c:idx val="5"/>
            <c:bubble3D val="0"/>
            <c:spPr>
              <a:solidFill>
                <a:srgbClr val="E78216"/>
              </a:solidFill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4.4828581840822834E-3"/>
                  <c:y val="-1.034476622625568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1"/>
              <c:layout>
                <c:manualLayout>
                  <c:x val="2.03269496830219E-3"/>
                  <c:y val="-1.682948529738867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layout>
                <c:manualLayout>
                  <c:x val="0.11216736479675082"/>
                  <c:y val="-1.6535433070866135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</c:dLbls>
          <c:cat>
            <c:strRef>
              <c:f>HMSO!$V$21:$V$26</c:f>
              <c:strCache>
                <c:ptCount val="5"/>
                <c:pt idx="0">
                  <c:v>Retail</c:v>
                </c:pt>
                <c:pt idx="1">
                  <c:v>Office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f>HMSO!$W$21:$W$26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4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66718659718587"/>
          <c:y val="0.24152542372881355"/>
          <c:w val="0.23888953691823167"/>
          <c:h val="0.36440677966101692"/>
        </c:manualLayout>
      </c:layout>
      <c:pieChart>
        <c:varyColors val="1"/>
        <c:ser>
          <c:idx val="0"/>
          <c:order val="0"/>
          <c:spPr>
            <a:solidFill>
              <a:srgbClr val="194123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D3BF7D"/>
              </a:solidFill>
              <a:ln w="25400">
                <a:noFill/>
              </a:ln>
            </c:spPr>
          </c:dPt>
          <c:dPt>
            <c:idx val="1"/>
            <c:bubble3D val="0"/>
          </c:dPt>
          <c:dPt>
            <c:idx val="2"/>
            <c:bubble3D val="0"/>
            <c:spPr>
              <a:solidFill>
                <a:srgbClr val="A4B3C9"/>
              </a:solidFill>
              <a:ln w="25400">
                <a:noFill/>
              </a:ln>
            </c:spPr>
          </c:dPt>
          <c:dPt>
            <c:idx val="3"/>
            <c:bubble3D val="0"/>
            <c:spPr>
              <a:solidFill>
                <a:srgbClr val="B2C5D4"/>
              </a:solidFill>
              <a:ln w="25400">
                <a:noFill/>
              </a:ln>
            </c:spPr>
          </c:dPt>
          <c:dPt>
            <c:idx val="4"/>
            <c:bubble3D val="0"/>
            <c:spPr>
              <a:solidFill>
                <a:srgbClr val="4E151C"/>
              </a:solidFill>
              <a:ln w="25400">
                <a:noFill/>
              </a:ln>
            </c:spPr>
          </c:dPt>
          <c:dPt>
            <c:idx val="5"/>
            <c:bubble3D val="0"/>
            <c:spPr>
              <a:solidFill>
                <a:srgbClr val="E78216"/>
              </a:solidFill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0.12030825313502479"/>
                  <c:y val="2.098892299479519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1"/>
              <c:layout>
                <c:manualLayout>
                  <c:x val="9.3006707494896479E-3"/>
                  <c:y val="-3.228479914586947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</c:dLbls>
          <c:cat>
            <c:strRef>
              <c:f>LAND!$V$21:$V$26</c:f>
              <c:strCache>
                <c:ptCount val="5"/>
                <c:pt idx="0">
                  <c:v>London Office</c:v>
                </c:pt>
                <c:pt idx="1">
                  <c:v>UK Retail</c:v>
                </c:pt>
                <c:pt idx="2">
                  <c:v>ALL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LAND!$W$21:$W$26</c:f>
              <c:numCache>
                <c:formatCode>0%</c:formatCode>
                <c:ptCount val="6"/>
                <c:pt idx="0">
                  <c:v>0.44567308864336408</c:v>
                </c:pt>
                <c:pt idx="1">
                  <c:v>0.55432691135663592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4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7831226027"/>
          <c:y val="0.18846153846153846"/>
          <c:w val="0.62500119209516924"/>
          <c:h val="0.51153846153846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LAND!$U$34</c:f>
              <c:strCache>
                <c:ptCount val="1"/>
                <c:pt idx="0">
                  <c:v>Land Securities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1.5625E-2"/>
                  <c:y val="0.1453591762568140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(LAND!$R$35,LAND!$R$37)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LAND!$U$35:$U$36</c:f>
              <c:numCache>
                <c:formatCode>General</c:formatCode>
                <c:ptCount val="2"/>
                <c:pt idx="0" formatCode="0.0%">
                  <c:v>3.7713555311803593E-2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764992"/>
        <c:axId val="263770880"/>
      </c:barChart>
      <c:barChart>
        <c:barDir val="col"/>
        <c:grouping val="clustered"/>
        <c:varyColors val="0"/>
        <c:ser>
          <c:idx val="2"/>
          <c:order val="2"/>
          <c:tx>
            <c:strRef>
              <c:f>LAND!$R$37</c:f>
              <c:strCache>
                <c:ptCount val="1"/>
                <c:pt idx="0">
                  <c:v>Value/sf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dLbl>
              <c:idx val="1"/>
              <c:layout>
                <c:manualLayout>
                  <c:x val="0"/>
                  <c:y val="0.1863848172824550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LAND!$U$36:$U$37</c:f>
              <c:numCache>
                <c:formatCode>"£"#,##0</c:formatCode>
                <c:ptCount val="2"/>
                <c:pt idx="1">
                  <c:v>1.3012057905351042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772416"/>
        <c:axId val="263847936"/>
      </c:barChart>
      <c:lineChart>
        <c:grouping val="standard"/>
        <c:varyColors val="0"/>
        <c:ser>
          <c:idx val="1"/>
          <c:order val="1"/>
          <c:tx>
            <c:strRef>
              <c:f>LAND!$V$34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3F72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(LAND!$R$35,LAND!$R$37)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LAND!$V$35:$V$36</c:f>
              <c:numCache>
                <c:formatCode>General</c:formatCode>
                <c:ptCount val="2"/>
                <c:pt idx="0" formatCode="0.0%">
                  <c:v>3.3626769078890555E-2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64992"/>
        <c:axId val="263770880"/>
      </c:lineChart>
      <c:lineChart>
        <c:grouping val="standard"/>
        <c:varyColors val="0"/>
        <c:ser>
          <c:idx val="3"/>
          <c:order val="3"/>
          <c:tx>
            <c:strRef>
              <c:f>LAND!$V$34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3F72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LAND!$V$36:$V$37</c:f>
              <c:numCache>
                <c:formatCode>"£"#,##0</c:formatCode>
                <c:ptCount val="2"/>
                <c:pt idx="1">
                  <c:v>344440.32841654215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72416"/>
        <c:axId val="263847936"/>
      </c:lineChart>
      <c:catAx>
        <c:axId val="26376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>
            <a:solidFill>
              <a:srgbClr val="8B8D8E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8B8D8E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3770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3770880"/>
        <c:scaling>
          <c:orientation val="minMax"/>
          <c:max val="7.0000000000000007E-2"/>
          <c:min val="0"/>
        </c:scaling>
        <c:delete val="0"/>
        <c:axPos val="l"/>
        <c:majorGridlines>
          <c:spPr>
            <a:ln w="3175">
              <a:solidFill>
                <a:srgbClr val="8B8D8E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263764992"/>
        <c:crosses val="autoZero"/>
        <c:crossBetween val="between"/>
        <c:majorUnit val="2.0000000000000004E-2"/>
      </c:valAx>
      <c:catAx>
        <c:axId val="263772416"/>
        <c:scaling>
          <c:orientation val="minMax"/>
        </c:scaling>
        <c:delete val="1"/>
        <c:axPos val="b"/>
        <c:majorTickMark val="out"/>
        <c:minorTickMark val="none"/>
        <c:tickLblPos val="nextTo"/>
        <c:crossAx val="263847936"/>
        <c:crosses val="autoZero"/>
        <c:auto val="1"/>
        <c:lblAlgn val="ctr"/>
        <c:lblOffset val="100"/>
        <c:noMultiLvlLbl val="0"/>
      </c:catAx>
      <c:valAx>
        <c:axId val="263847936"/>
        <c:scaling>
          <c:orientation val="minMax"/>
          <c:max val="1150"/>
          <c:min val="45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263772416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953125E-2"/>
          <c:y val="1.9230769230769232E-2"/>
          <c:w val="0.73046998031496058"/>
          <c:h val="0.13076923076923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7831226027"/>
          <c:y val="0.18846153846153846"/>
          <c:w val="0.62500119209516924"/>
          <c:h val="0.51153846153846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SBD!$U$34</c:f>
              <c:strCache>
                <c:ptCount val="1"/>
                <c:pt idx="0">
                  <c:v>Songbird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(SBD!$R$35,SBD!$R$37)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SBD!$U$35:$U$36</c:f>
              <c:numCache>
                <c:formatCode>General</c:formatCode>
                <c:ptCount val="2"/>
                <c:pt idx="0" formatCode="0.0%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8706048"/>
        <c:axId val="298707584"/>
      </c:barChart>
      <c:barChart>
        <c:barDir val="col"/>
        <c:grouping val="clustered"/>
        <c:varyColors val="0"/>
        <c:ser>
          <c:idx val="2"/>
          <c:order val="2"/>
          <c:tx>
            <c:strRef>
              <c:f>SBD!$R$37</c:f>
              <c:strCache>
                <c:ptCount val="1"/>
                <c:pt idx="0">
                  <c:v>Value/sf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SBD!$U$36:$U$37</c:f>
              <c:numCache>
                <c:formatCode>"£"#,##0</c:formatCode>
                <c:ptCount val="2"/>
                <c:pt idx="1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445312"/>
        <c:axId val="344446848"/>
      </c:barChart>
      <c:lineChart>
        <c:grouping val="standard"/>
        <c:varyColors val="0"/>
        <c:ser>
          <c:idx val="1"/>
          <c:order val="1"/>
          <c:tx>
            <c:strRef>
              <c:f>SBD!$V$34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(SBD!$R$35,SBD!$R$37)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SBD!$V$35:$V$36</c:f>
              <c:numCache>
                <c:formatCode>General</c:formatCode>
                <c:ptCount val="2"/>
                <c:pt idx="0" formatCode="0.0%">
                  <c:v>3.3626769078890555E-2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06048"/>
        <c:axId val="298707584"/>
      </c:lineChart>
      <c:lineChart>
        <c:grouping val="standard"/>
        <c:varyColors val="0"/>
        <c:ser>
          <c:idx val="3"/>
          <c:order val="3"/>
          <c:tx>
            <c:strRef>
              <c:f>SBD!$V$34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SBD!$V$36:$V$37</c:f>
              <c:numCache>
                <c:formatCode>"£"#,##0</c:formatCode>
                <c:ptCount val="2"/>
                <c:pt idx="1">
                  <c:v>344440.32841654215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45312"/>
        <c:axId val="344446848"/>
      </c:lineChart>
      <c:catAx>
        <c:axId val="29870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>
            <a:solidFill>
              <a:srgbClr val="8B8D8E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8B8D8E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8707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8707584"/>
        <c:scaling>
          <c:orientation val="minMax"/>
          <c:max val="7.0000000000000007E-2"/>
          <c:min val="0.03"/>
        </c:scaling>
        <c:delete val="0"/>
        <c:axPos val="l"/>
        <c:majorGridlines>
          <c:spPr>
            <a:ln w="3175">
              <a:solidFill>
                <a:srgbClr val="8B8D8E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298706048"/>
        <c:crosses val="autoZero"/>
        <c:crossBetween val="between"/>
        <c:majorUnit val="0.01"/>
      </c:valAx>
      <c:catAx>
        <c:axId val="344445312"/>
        <c:scaling>
          <c:orientation val="minMax"/>
        </c:scaling>
        <c:delete val="1"/>
        <c:axPos val="b"/>
        <c:majorTickMark val="out"/>
        <c:minorTickMark val="none"/>
        <c:tickLblPos val="nextTo"/>
        <c:crossAx val="344446848"/>
        <c:crosses val="autoZero"/>
        <c:auto val="1"/>
        <c:lblAlgn val="ctr"/>
        <c:lblOffset val="100"/>
        <c:noMultiLvlLbl val="0"/>
      </c:catAx>
      <c:valAx>
        <c:axId val="344446848"/>
        <c:scaling>
          <c:orientation val="minMax"/>
          <c:max val="700"/>
          <c:min val="45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344445312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953125E-2"/>
          <c:y val="1.9230769230769232E-2"/>
          <c:w val="0.73046998031496058"/>
          <c:h val="0.13076923076923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66718659718587"/>
          <c:y val="0.24152542372881355"/>
          <c:w val="0.23888953691823167"/>
          <c:h val="0.36440677966101692"/>
        </c:manualLayout>
      </c:layout>
      <c:pieChart>
        <c:varyColors val="1"/>
        <c:ser>
          <c:idx val="0"/>
          <c:order val="0"/>
          <c:spPr>
            <a:solidFill>
              <a:srgbClr val="194123"/>
            </a:solidFill>
            <a:ln w="25400">
              <a:noFill/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D3BF7D"/>
              </a:solidFill>
              <a:ln w="25400">
                <a:noFill/>
              </a:ln>
            </c:spPr>
          </c:dPt>
          <c:dPt>
            <c:idx val="2"/>
            <c:bubble3D val="0"/>
            <c:spPr>
              <a:solidFill>
                <a:srgbClr val="A4B3C9"/>
              </a:solidFill>
              <a:ln w="25400">
                <a:noFill/>
              </a:ln>
            </c:spPr>
          </c:dPt>
          <c:dPt>
            <c:idx val="3"/>
            <c:bubble3D val="0"/>
            <c:spPr>
              <a:solidFill>
                <a:srgbClr val="B2C5D4"/>
              </a:solidFill>
              <a:ln w="25400">
                <a:noFill/>
              </a:ln>
            </c:spPr>
          </c:dPt>
          <c:dPt>
            <c:idx val="4"/>
            <c:bubble3D val="0"/>
            <c:spPr>
              <a:solidFill>
                <a:srgbClr val="4E151C"/>
              </a:solidFill>
              <a:ln w="25400">
                <a:noFill/>
              </a:ln>
            </c:spPr>
          </c:dPt>
          <c:dPt>
            <c:idx val="5"/>
            <c:bubble3D val="0"/>
            <c:spPr>
              <a:solidFill>
                <a:srgbClr val="E78216"/>
              </a:solidFill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-9.0416524932246389E-4"/>
                  <c:y val="3.5944659459939965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1"/>
              <c:layout>
                <c:manualLayout>
                  <c:x val="8.3275707896585949E-3"/>
                  <c:y val="1.584145202188708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layout>
                <c:manualLayout>
                  <c:x val="0.11216736479675082"/>
                  <c:y val="-1.6535433070866135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</c:dLbls>
          <c:cat>
            <c:numRef>
              <c:f>SBD!$V$21:$V$26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cat>
          <c:val>
            <c:numRef>
              <c:f>SBD!$W$21:$W$26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4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4377831226027"/>
          <c:y val="0.18846153846153846"/>
          <c:w val="0.62500119209516924"/>
          <c:h val="0.51153846153846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'SBD - 20 Sep'!$U$34</c:f>
              <c:strCache>
                <c:ptCount val="1"/>
                <c:pt idx="0">
                  <c:v>Songbird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('SBD - 20 Sep'!$R$35,'SBD - 20 Sep'!$R$37)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'SBD - 20 Sep'!$U$35:$U$36</c:f>
              <c:numCache>
                <c:formatCode>General</c:formatCode>
                <c:ptCount val="2"/>
                <c:pt idx="0" formatCode="0.0%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146176"/>
        <c:axId val="352147712"/>
      </c:barChart>
      <c:barChart>
        <c:barDir val="col"/>
        <c:grouping val="clustered"/>
        <c:varyColors val="0"/>
        <c:ser>
          <c:idx val="2"/>
          <c:order val="2"/>
          <c:tx>
            <c:strRef>
              <c:f>'SBD - 20 Sep'!$R$37</c:f>
              <c:strCache>
                <c:ptCount val="1"/>
                <c:pt idx="0">
                  <c:v>Value/sf</c:v>
                </c:pt>
              </c:strCache>
            </c:strRef>
          </c:tx>
          <c:spPr>
            <a:solidFill>
              <a:srgbClr val="559B23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'SBD - 20 Sep'!$U$36:$U$37</c:f>
              <c:numCache>
                <c:formatCode>"£"#,##0</c:formatCode>
                <c:ptCount val="2"/>
                <c:pt idx="1">
                  <c:v>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149504"/>
        <c:axId val="352151040"/>
      </c:barChart>
      <c:lineChart>
        <c:grouping val="standard"/>
        <c:varyColors val="0"/>
        <c:ser>
          <c:idx val="1"/>
          <c:order val="1"/>
          <c:tx>
            <c:strRef>
              <c:f>'SBD - 20 Sep'!$V$34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('SBD - 20 Sep'!$R$35,'SBD - 20 Sep'!$R$37)</c:f>
              <c:strCache>
                <c:ptCount val="2"/>
                <c:pt idx="0">
                  <c:v>NIY</c:v>
                </c:pt>
                <c:pt idx="1">
                  <c:v>Value/sf</c:v>
                </c:pt>
              </c:strCache>
            </c:strRef>
          </c:cat>
          <c:val>
            <c:numRef>
              <c:f>'SBD - 20 Sep'!$V$35:$V$36</c:f>
              <c:numCache>
                <c:formatCode>General</c:formatCode>
                <c:ptCount val="2"/>
                <c:pt idx="0" formatCode="0.0%">
                  <c:v>3.3626769078890555E-2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146176"/>
        <c:axId val="352147712"/>
      </c:lineChart>
      <c:lineChart>
        <c:grouping val="standard"/>
        <c:varyColors val="0"/>
        <c:ser>
          <c:idx val="3"/>
          <c:order val="3"/>
          <c:tx>
            <c:strRef>
              <c:f>'SBD - 20 Sep'!$V$34</c:f>
              <c:strCache>
                <c:ptCount val="1"/>
                <c:pt idx="0">
                  <c:v>Selected REITs' Avg.(2)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rgbClr val="003F72"/>
              </a:solidFill>
              <a:ln>
                <a:solidFill>
                  <a:srgbClr val="003F72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'SBD - 20 Sep'!$V$36:$V$37</c:f>
              <c:numCache>
                <c:formatCode>"£"#,##0</c:formatCode>
                <c:ptCount val="2"/>
                <c:pt idx="1">
                  <c:v>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149504"/>
        <c:axId val="352151040"/>
      </c:lineChart>
      <c:catAx>
        <c:axId val="35214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25400">
            <a:solidFill>
              <a:srgbClr val="8B8D8E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8B8D8E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147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147712"/>
        <c:scaling>
          <c:orientation val="minMax"/>
          <c:max val="7.0000000000000007E-2"/>
          <c:min val="0.03"/>
        </c:scaling>
        <c:delete val="0"/>
        <c:axPos val="l"/>
        <c:majorGridlines>
          <c:spPr>
            <a:ln w="3175">
              <a:solidFill>
                <a:srgbClr val="8B8D8E"/>
              </a:solidFill>
              <a:prstDash val="solid"/>
            </a:ln>
          </c:spPr>
        </c:majorGridlines>
        <c:numFmt formatCode="0.0%" sourceLinked="1"/>
        <c:majorTickMark val="none"/>
        <c:minorTickMark val="none"/>
        <c:tickLblPos val="none"/>
        <c:spPr>
          <a:ln w="9525">
            <a:noFill/>
          </a:ln>
        </c:spPr>
        <c:crossAx val="352146176"/>
        <c:crosses val="autoZero"/>
        <c:crossBetween val="between"/>
        <c:majorUnit val="0.01"/>
      </c:valAx>
      <c:catAx>
        <c:axId val="352149504"/>
        <c:scaling>
          <c:orientation val="minMax"/>
        </c:scaling>
        <c:delete val="1"/>
        <c:axPos val="b"/>
        <c:majorTickMark val="out"/>
        <c:minorTickMark val="none"/>
        <c:tickLblPos val="nextTo"/>
        <c:crossAx val="352151040"/>
        <c:crosses val="autoZero"/>
        <c:auto val="1"/>
        <c:lblAlgn val="ctr"/>
        <c:lblOffset val="100"/>
        <c:noMultiLvlLbl val="0"/>
      </c:catAx>
      <c:valAx>
        <c:axId val="352151040"/>
        <c:scaling>
          <c:orientation val="minMax"/>
          <c:max val="700"/>
          <c:min val="45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352149504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1.953125E-2"/>
          <c:y val="1.9230769230769232E-2"/>
          <c:w val="0.73046998031496058"/>
          <c:h val="0.130769230769230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66718659718587"/>
          <c:y val="0.24152542372881355"/>
          <c:w val="0.23888953691823167"/>
          <c:h val="0.36440677966101692"/>
        </c:manualLayout>
      </c:layout>
      <c:pieChart>
        <c:varyColors val="1"/>
        <c:ser>
          <c:idx val="0"/>
          <c:order val="0"/>
          <c:spPr>
            <a:solidFill>
              <a:srgbClr val="194123"/>
            </a:solidFill>
            <a:ln w="25400">
              <a:noFill/>
            </a:ln>
          </c:spPr>
          <c:dPt>
            <c:idx val="0"/>
            <c:bubble3D val="0"/>
            <c:spPr>
              <a:solidFill>
                <a:srgbClr val="D3BF7D"/>
              </a:solidFill>
              <a:ln w="25400">
                <a:noFill/>
              </a:ln>
            </c:spPr>
          </c:dPt>
          <c:dPt>
            <c:idx val="1"/>
            <c:bubble3D val="0"/>
          </c:dPt>
          <c:dPt>
            <c:idx val="2"/>
            <c:bubble3D val="0"/>
            <c:spPr>
              <a:solidFill>
                <a:srgbClr val="A4B3C9"/>
              </a:solidFill>
              <a:ln w="25400">
                <a:noFill/>
              </a:ln>
            </c:spPr>
          </c:dPt>
          <c:dPt>
            <c:idx val="3"/>
            <c:bubble3D val="0"/>
            <c:spPr>
              <a:solidFill>
                <a:srgbClr val="B2C5D4"/>
              </a:solidFill>
              <a:ln w="25400">
                <a:noFill/>
              </a:ln>
            </c:spPr>
          </c:dPt>
          <c:dPt>
            <c:idx val="4"/>
            <c:bubble3D val="0"/>
            <c:spPr>
              <a:solidFill>
                <a:srgbClr val="4E151C"/>
              </a:solidFill>
              <a:ln w="25400">
                <a:noFill/>
              </a:ln>
            </c:spPr>
          </c:dPt>
          <c:dPt>
            <c:idx val="5"/>
            <c:bubble3D val="0"/>
            <c:spPr>
              <a:solidFill>
                <a:srgbClr val="E78216"/>
              </a:solidFill>
              <a:ln w="25400">
                <a:noFill/>
              </a:ln>
            </c:spPr>
          </c:dPt>
          <c:dLbls>
            <c:dLbl>
              <c:idx val="0"/>
              <c:layout>
                <c:manualLayout>
                  <c:x val="4.3353008315847874E-3"/>
                  <c:y val="6.388629387428235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1"/>
              <c:layout>
                <c:manualLayout>
                  <c:x val="3.0881047087513158E-3"/>
                  <c:y val="1.304684372080611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layout>
                <c:manualLayout>
                  <c:x val="0.11216736479675082"/>
                  <c:y val="-1.6535433070866135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</c:dLbls>
          <c:cat>
            <c:numRef>
              <c:f>'SBD - 20 Sep'!$V$21:$V$26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cat>
          <c:val>
            <c:numRef>
              <c:f>'SBD - 20 Sep'!$W$21:$W$26</c:f>
              <c:numCache>
                <c:formatCode>0%</c:formatCode>
                <c:ptCount val="6"/>
                <c:pt idx="0">
                  <c:v>0.87</c:v>
                </c:pt>
                <c:pt idx="1">
                  <c:v>0.13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34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10.emf"/><Relationship Id="rId1" Type="http://schemas.openxmlformats.org/officeDocument/2006/relationships/chart" Target="../charts/chart5.xml"/><Relationship Id="rId5" Type="http://schemas.openxmlformats.org/officeDocument/2006/relationships/image" Target="../media/image11.emf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3.png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chart" Target="../charts/chart9.xml"/><Relationship Id="rId5" Type="http://schemas.openxmlformats.org/officeDocument/2006/relationships/image" Target="../media/image3.png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24.png"/><Relationship Id="rId4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5" Type="http://schemas.openxmlformats.org/officeDocument/2006/relationships/image" Target="../media/image24.png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10</xdr:row>
      <xdr:rowOff>19050</xdr:rowOff>
    </xdr:from>
    <xdr:to>
      <xdr:col>9</xdr:col>
      <xdr:colOff>1295400</xdr:colOff>
      <xdr:row>23</xdr:row>
      <xdr:rowOff>133350</xdr:rowOff>
    </xdr:to>
    <xdr:graphicFrame macro="">
      <xdr:nvGraphicFramePr>
        <xdr:cNvPr id="8233310" name="Chart 10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13</xdr:col>
          <xdr:colOff>19050</xdr:colOff>
          <xdr:row>34</xdr:row>
          <xdr:rowOff>142875</xdr:rowOff>
        </xdr:to>
        <xdr:pic>
          <xdr:nvPicPr>
            <xdr:cNvPr id="8233311" name="Picture 1030"/>
            <xdr:cNvPicPr>
              <a:picLocks noChangeAspect="1" noChangeArrowheads="1"/>
              <a:extLst>
                <a:ext uri="{84589F7E-364E-4C9E-8A38-B11213B215E9}">
                  <a14:cameraTool cellRange="$AC$52:$AK$59" spid="_x0000_s823368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19125" y="4610100"/>
              <a:ext cx="8743950" cy="1333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66675</xdr:rowOff>
        </xdr:from>
        <xdr:to>
          <xdr:col>13</xdr:col>
          <xdr:colOff>0</xdr:colOff>
          <xdr:row>41</xdr:row>
          <xdr:rowOff>66675</xdr:rowOff>
        </xdr:to>
        <xdr:pic>
          <xdr:nvPicPr>
            <xdr:cNvPr id="8233312" name="Picture 1031"/>
            <xdr:cNvPicPr>
              <a:picLocks noChangeAspect="1" noChangeArrowheads="1"/>
              <a:extLst>
                <a:ext uri="{84589F7E-364E-4C9E-8A38-B11213B215E9}">
                  <a14:cameraTool cellRange="$AO$62:$AZ$69" spid="_x0000_s823368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09600" y="6029325"/>
              <a:ext cx="8734425" cy="10001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1771650</xdr:colOff>
      <xdr:row>10</xdr:row>
      <xdr:rowOff>19050</xdr:rowOff>
    </xdr:from>
    <xdr:to>
      <xdr:col>14</xdr:col>
      <xdr:colOff>304800</xdr:colOff>
      <xdr:row>25</xdr:row>
      <xdr:rowOff>38100</xdr:rowOff>
    </xdr:to>
    <xdr:graphicFrame macro="">
      <xdr:nvGraphicFramePr>
        <xdr:cNvPr id="8233313" name="Chart 10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9</xdr:row>
      <xdr:rowOff>9525</xdr:rowOff>
    </xdr:from>
    <xdr:to>
      <xdr:col>5</xdr:col>
      <xdr:colOff>0</xdr:colOff>
      <xdr:row>10</xdr:row>
      <xdr:rowOff>57150</xdr:rowOff>
    </xdr:to>
    <xdr:grpSp>
      <xdr:nvGrpSpPr>
        <xdr:cNvPr id="8233315" name="Group 1064"/>
        <xdr:cNvGrpSpPr>
          <a:grpSpLocks/>
        </xdr:cNvGrpSpPr>
      </xdr:nvGrpSpPr>
      <xdr:grpSpPr bwMode="auto">
        <a:xfrm>
          <a:off x="619125" y="1628775"/>
          <a:ext cx="4705350" cy="257175"/>
          <a:chOff x="65" y="171"/>
          <a:chExt cx="494" cy="27"/>
        </a:xfrm>
      </xdr:grpSpPr>
      <xdr:sp macro="" textlink="">
        <xdr:nvSpPr>
          <xdr:cNvPr id="4128" name="Text Box 1056"/>
          <xdr:cNvSpPr txBox="1">
            <a:spLocks noChangeArrowheads="1"/>
          </xdr:cNvSpPr>
        </xdr:nvSpPr>
        <xdr:spPr bwMode="auto">
          <a:xfrm>
            <a:off x="65" y="171"/>
            <a:ext cx="492" cy="2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n-GB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Key Central London Assets</a:t>
            </a:r>
          </a:p>
        </xdr:txBody>
      </xdr:sp>
      <xdr:sp macro="" textlink="">
        <xdr:nvSpPr>
          <xdr:cNvPr id="8233327" name="Line 1063"/>
          <xdr:cNvSpPr>
            <a:spLocks noChangeShapeType="1"/>
          </xdr:cNvSpPr>
        </xdr:nvSpPr>
        <xdr:spPr bwMode="auto">
          <a:xfrm>
            <a:off x="66" y="193"/>
            <a:ext cx="493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8B8D8E" mc:Ignorable="a14" a14:legacySpreadsheetColorIndex="5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19050</xdr:colOff>
      <xdr:row>10</xdr:row>
      <xdr:rowOff>47625</xdr:rowOff>
    </xdr:from>
    <xdr:to>
      <xdr:col>4</xdr:col>
      <xdr:colOff>342900</xdr:colOff>
      <xdr:row>25</xdr:row>
      <xdr:rowOff>133350</xdr:rowOff>
    </xdr:to>
    <xdr:pic>
      <xdr:nvPicPr>
        <xdr:cNvPr id="8233316" name="Picture 1067" descr="2011-Aug-17 Central London map (cleaning)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04" t="19572" r="3990" b="10501"/>
        <a:stretch>
          <a:fillRect/>
        </a:stretch>
      </xdr:blipFill>
      <xdr:spPr bwMode="auto">
        <a:xfrm>
          <a:off x="628650" y="1876425"/>
          <a:ext cx="4686300" cy="2543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285750</xdr:colOff>
      <xdr:row>13</xdr:row>
      <xdr:rowOff>95250</xdr:rowOff>
    </xdr:from>
    <xdr:to>
      <xdr:col>3</xdr:col>
      <xdr:colOff>981075</xdr:colOff>
      <xdr:row>15</xdr:row>
      <xdr:rowOff>9525</xdr:rowOff>
    </xdr:to>
    <xdr:sp macro="" textlink="">
      <xdr:nvSpPr>
        <xdr:cNvPr id="4140" name="AutoShape 1068"/>
        <xdr:cNvSpPr>
          <a:spLocks noChangeArrowheads="1"/>
        </xdr:cNvSpPr>
      </xdr:nvSpPr>
      <xdr:spPr bwMode="auto">
        <a:xfrm>
          <a:off x="1009650" y="2438400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3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West End</a:t>
          </a:r>
        </a:p>
      </xdr:txBody>
    </xdr:sp>
    <xdr:clientData/>
  </xdr:twoCellAnchor>
  <xdr:twoCellAnchor>
    <xdr:from>
      <xdr:col>3</xdr:col>
      <xdr:colOff>3152775</xdr:colOff>
      <xdr:row>10</xdr:row>
      <xdr:rowOff>180975</xdr:rowOff>
    </xdr:from>
    <xdr:to>
      <xdr:col>3</xdr:col>
      <xdr:colOff>3848100</xdr:colOff>
      <xdr:row>12</xdr:row>
      <xdr:rowOff>66675</xdr:rowOff>
    </xdr:to>
    <xdr:sp macro="" textlink="">
      <xdr:nvSpPr>
        <xdr:cNvPr id="4141" name="AutoShape 1069"/>
        <xdr:cNvSpPr>
          <a:spLocks noChangeArrowheads="1"/>
        </xdr:cNvSpPr>
      </xdr:nvSpPr>
      <xdr:spPr bwMode="auto">
        <a:xfrm>
          <a:off x="3876675" y="2009775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Midtown</a:t>
          </a:r>
        </a:p>
      </xdr:txBody>
    </xdr:sp>
    <xdr:clientData/>
  </xdr:twoCellAnchor>
  <xdr:twoCellAnchor>
    <xdr:from>
      <xdr:col>3</xdr:col>
      <xdr:colOff>3905250</xdr:colOff>
      <xdr:row>16</xdr:row>
      <xdr:rowOff>0</xdr:rowOff>
    </xdr:from>
    <xdr:to>
      <xdr:col>4</xdr:col>
      <xdr:colOff>114300</xdr:colOff>
      <xdr:row>17</xdr:row>
      <xdr:rowOff>76200</xdr:rowOff>
    </xdr:to>
    <xdr:sp macro="" textlink="">
      <xdr:nvSpPr>
        <xdr:cNvPr id="4142" name="AutoShape 1070"/>
        <xdr:cNvSpPr>
          <a:spLocks noChangeArrowheads="1"/>
        </xdr:cNvSpPr>
      </xdr:nvSpPr>
      <xdr:spPr bwMode="auto">
        <a:xfrm>
          <a:off x="4629150" y="2828925"/>
          <a:ext cx="4572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City</a:t>
          </a:r>
        </a:p>
      </xdr:txBody>
    </xdr:sp>
    <xdr:clientData/>
  </xdr:twoCellAnchor>
  <xdr:twoCellAnchor>
    <xdr:from>
      <xdr:col>3</xdr:col>
      <xdr:colOff>3009900</xdr:colOff>
      <xdr:row>22</xdr:row>
      <xdr:rowOff>133350</xdr:rowOff>
    </xdr:from>
    <xdr:to>
      <xdr:col>3</xdr:col>
      <xdr:colOff>3867150</xdr:colOff>
      <xdr:row>24</xdr:row>
      <xdr:rowOff>47625</xdr:rowOff>
    </xdr:to>
    <xdr:sp macro="" textlink="">
      <xdr:nvSpPr>
        <xdr:cNvPr id="4143" name="AutoShape 1071"/>
        <xdr:cNvSpPr>
          <a:spLocks noChangeArrowheads="1"/>
        </xdr:cNvSpPr>
      </xdr:nvSpPr>
      <xdr:spPr bwMode="auto">
        <a:xfrm>
          <a:off x="3733800" y="3933825"/>
          <a:ext cx="85725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Southbank</a:t>
          </a:r>
        </a:p>
      </xdr:txBody>
    </xdr:sp>
    <xdr:clientData/>
  </xdr:twoCellAnchor>
  <xdr:twoCellAnchor>
    <xdr:from>
      <xdr:col>3</xdr:col>
      <xdr:colOff>1752600</xdr:colOff>
      <xdr:row>14</xdr:row>
      <xdr:rowOff>0</xdr:rowOff>
    </xdr:from>
    <xdr:to>
      <xdr:col>3</xdr:col>
      <xdr:colOff>2047875</xdr:colOff>
      <xdr:row>15</xdr:row>
      <xdr:rowOff>123825</xdr:rowOff>
    </xdr:to>
    <xdr:sp macro="" textlink="">
      <xdr:nvSpPr>
        <xdr:cNvPr id="8233321" name="Oval 1073"/>
        <xdr:cNvSpPr>
          <a:spLocks noChangeArrowheads="1"/>
        </xdr:cNvSpPr>
      </xdr:nvSpPr>
      <xdr:spPr bwMode="auto">
        <a:xfrm>
          <a:off x="2476500" y="250507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1590675</xdr:colOff>
      <xdr:row>14</xdr:row>
      <xdr:rowOff>66675</xdr:rowOff>
    </xdr:from>
    <xdr:to>
      <xdr:col>3</xdr:col>
      <xdr:colOff>2247900</xdr:colOff>
      <xdr:row>15</xdr:row>
      <xdr:rowOff>104775</xdr:rowOff>
    </xdr:to>
    <xdr:sp macro="" textlink="">
      <xdr:nvSpPr>
        <xdr:cNvPr id="4146" name="Text Box 1074"/>
        <xdr:cNvSpPr txBox="1">
          <a:spLocks noChangeArrowheads="1"/>
        </xdr:cNvSpPr>
      </xdr:nvSpPr>
      <xdr:spPr bwMode="auto">
        <a:xfrm>
          <a:off x="2314575" y="257175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£3.3bn</a:t>
          </a:r>
        </a:p>
      </xdr:txBody>
    </xdr:sp>
    <xdr:clientData/>
  </xdr:twoCellAnchor>
  <xdr:twoCellAnchor>
    <xdr:from>
      <xdr:col>3</xdr:col>
      <xdr:colOff>3314700</xdr:colOff>
      <xdr:row>15</xdr:row>
      <xdr:rowOff>114300</xdr:rowOff>
    </xdr:from>
    <xdr:to>
      <xdr:col>3</xdr:col>
      <xdr:colOff>3609975</xdr:colOff>
      <xdr:row>17</xdr:row>
      <xdr:rowOff>76200</xdr:rowOff>
    </xdr:to>
    <xdr:sp macro="" textlink="">
      <xdr:nvSpPr>
        <xdr:cNvPr id="8233323" name="Oval 1075"/>
        <xdr:cNvSpPr>
          <a:spLocks noChangeArrowheads="1"/>
        </xdr:cNvSpPr>
      </xdr:nvSpPr>
      <xdr:spPr bwMode="auto">
        <a:xfrm>
          <a:off x="4038600" y="2781300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3133725</xdr:colOff>
      <xdr:row>16</xdr:row>
      <xdr:rowOff>0</xdr:rowOff>
    </xdr:from>
    <xdr:to>
      <xdr:col>3</xdr:col>
      <xdr:colOff>3790950</xdr:colOff>
      <xdr:row>17</xdr:row>
      <xdr:rowOff>38100</xdr:rowOff>
    </xdr:to>
    <xdr:sp macro="" textlink="">
      <xdr:nvSpPr>
        <xdr:cNvPr id="4148" name="Text Box 1076"/>
        <xdr:cNvSpPr txBox="1">
          <a:spLocks noChangeArrowheads="1"/>
        </xdr:cNvSpPr>
      </xdr:nvSpPr>
      <xdr:spPr bwMode="auto">
        <a:xfrm>
          <a:off x="3857625" y="2828925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£2.8bn</a:t>
          </a:r>
        </a:p>
      </xdr:txBody>
    </xdr:sp>
    <xdr:clientData/>
  </xdr:twoCellAnchor>
  <xdr:twoCellAnchor>
    <xdr:from>
      <xdr:col>15</xdr:col>
      <xdr:colOff>133350</xdr:colOff>
      <xdr:row>6</xdr:row>
      <xdr:rowOff>142875</xdr:rowOff>
    </xdr:from>
    <xdr:to>
      <xdr:col>17</xdr:col>
      <xdr:colOff>581025</xdr:colOff>
      <xdr:row>8</xdr:row>
      <xdr:rowOff>9525</xdr:rowOff>
    </xdr:to>
    <xdr:sp macro="" textlink="">
      <xdr:nvSpPr>
        <xdr:cNvPr id="19" name="TextBox 18"/>
        <xdr:cNvSpPr txBox="1"/>
      </xdr:nvSpPr>
      <xdr:spPr>
        <a:xfrm>
          <a:off x="10125075" y="990600"/>
          <a:ext cx="1752600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OC Checked</a:t>
          </a:r>
          <a:r>
            <a:rPr lang="en-US" sz="1100" baseline="0"/>
            <a:t> </a:t>
          </a:r>
        </a:p>
        <a:p>
          <a:r>
            <a:rPr lang="en-US" sz="1100" baseline="0"/>
            <a:t>Approved by company</a:t>
          </a:r>
        </a:p>
      </xdr:txBody>
    </xdr:sp>
    <xdr:clientData/>
  </xdr:twoCellAnchor>
  <xdr:twoCellAnchor>
    <xdr:from>
      <xdr:col>7</xdr:col>
      <xdr:colOff>66675</xdr:colOff>
      <xdr:row>20</xdr:row>
      <xdr:rowOff>95250</xdr:rowOff>
    </xdr:from>
    <xdr:to>
      <xdr:col>7</xdr:col>
      <xdr:colOff>1581150</xdr:colOff>
      <xdr:row>21</xdr:row>
      <xdr:rowOff>142875</xdr:rowOff>
    </xdr:to>
    <xdr:sp macro="" textlink="$S$29">
      <xdr:nvSpPr>
        <xdr:cNvPr id="21" name="AutoShape 5"/>
        <xdr:cNvSpPr>
          <a:spLocks noChangeArrowheads="1" noTextEdit="1"/>
        </xdr:cNvSpPr>
      </xdr:nvSpPr>
      <xdr:spPr bwMode="auto">
        <a:xfrm>
          <a:off x="5657850" y="3571875"/>
          <a:ext cx="15144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559B23" mc:Ignorable="a14" a14:legacySpreadsheetColorIndex="10"/>
        </a:solidFill>
        <a:ln w="25400">
          <a:solidFill>
            <a:srgbClr xmlns:mc="http://schemas.openxmlformats.org/markup-compatibility/2006" xmlns:a14="http://schemas.microsoft.com/office/drawing/2010/main" val="88B965" mc:Ignorable="a14" a14:legacySpreadsheetColorIndex="57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fld id="{ED3E9CBF-29F1-4B22-8A91-156F73871C15}" type="TxLink"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Total Value: £13.1bn</a:t>
          </a:fld>
          <a:endParaRPr lang="en-US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10</xdr:row>
      <xdr:rowOff>19050</xdr:rowOff>
    </xdr:from>
    <xdr:to>
      <xdr:col>9</xdr:col>
      <xdr:colOff>1295400</xdr:colOff>
      <xdr:row>23</xdr:row>
      <xdr:rowOff>133350</xdr:rowOff>
    </xdr:to>
    <xdr:graphicFrame macro="">
      <xdr:nvGraphicFramePr>
        <xdr:cNvPr id="783046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13</xdr:col>
          <xdr:colOff>9525</xdr:colOff>
          <xdr:row>34</xdr:row>
          <xdr:rowOff>114300</xdr:rowOff>
        </xdr:to>
        <xdr:pic>
          <xdr:nvPicPr>
            <xdr:cNvPr id="7830461" name="Picture 1"/>
            <xdr:cNvPicPr>
              <a:picLocks noChangeAspect="1" noChangeArrowheads="1"/>
              <a:extLst>
                <a:ext uri="{84589F7E-364E-4C9E-8A38-B11213B215E9}">
                  <a14:cameraTool cellRange="$AC$52:$AK$59" spid="_x0000_s856812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19125" y="4610100"/>
              <a:ext cx="8734425" cy="13049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85725</xdr:rowOff>
        </xdr:from>
        <xdr:to>
          <xdr:col>13</xdr:col>
          <xdr:colOff>9525</xdr:colOff>
          <xdr:row>42</xdr:row>
          <xdr:rowOff>66675</xdr:rowOff>
        </xdr:to>
        <xdr:pic>
          <xdr:nvPicPr>
            <xdr:cNvPr id="7830462" name="Picture 2"/>
            <xdr:cNvPicPr>
              <a:picLocks noChangeAspect="1" noChangeArrowheads="1"/>
              <a:extLst>
                <a:ext uri="{84589F7E-364E-4C9E-8A38-B11213B215E9}">
                  <a14:cameraTool cellRange="$AO$62:$AZ$69" spid="_x0000_s856812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19125" y="6048375"/>
              <a:ext cx="8734425" cy="11430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1771650</xdr:colOff>
      <xdr:row>10</xdr:row>
      <xdr:rowOff>19050</xdr:rowOff>
    </xdr:from>
    <xdr:to>
      <xdr:col>14</xdr:col>
      <xdr:colOff>304800</xdr:colOff>
      <xdr:row>25</xdr:row>
      <xdr:rowOff>38100</xdr:rowOff>
    </xdr:to>
    <xdr:graphicFrame macro="">
      <xdr:nvGraphicFramePr>
        <xdr:cNvPr id="783046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9525</xdr:colOff>
      <xdr:row>20</xdr:row>
      <xdr:rowOff>104775</xdr:rowOff>
    </xdr:from>
    <xdr:to>
      <xdr:col>7</xdr:col>
      <xdr:colOff>1524000</xdr:colOff>
      <xdr:row>21</xdr:row>
      <xdr:rowOff>152400</xdr:rowOff>
    </xdr:to>
    <xdr:sp macro="" textlink="$S$29">
      <xdr:nvSpPr>
        <xdr:cNvPr id="9221" name="AutoShape 5"/>
        <xdr:cNvSpPr>
          <a:spLocks noChangeArrowheads="1" noTextEdit="1"/>
        </xdr:cNvSpPr>
      </xdr:nvSpPr>
      <xdr:spPr bwMode="auto">
        <a:xfrm>
          <a:off x="5600700" y="3581400"/>
          <a:ext cx="15144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559B23" mc:Ignorable="a14" a14:legacySpreadsheetColorIndex="10"/>
        </a:solidFill>
        <a:ln w="25400">
          <a:solidFill>
            <a:srgbClr xmlns:mc="http://schemas.openxmlformats.org/markup-compatibility/2006" xmlns:a14="http://schemas.microsoft.com/office/drawing/2010/main" val="88B965" mc:Ignorable="a14" a14:legacySpreadsheetColorIndex="57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fld id="{ED3E9CBF-29F1-4B22-8A91-156F73871C15}" type="TxLink"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Total Value: £5.1bn</a:t>
          </a:fld>
          <a:endParaRPr lang="en-US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9525</xdr:colOff>
      <xdr:row>9</xdr:row>
      <xdr:rowOff>9525</xdr:rowOff>
    </xdr:from>
    <xdr:to>
      <xdr:col>5</xdr:col>
      <xdr:colOff>0</xdr:colOff>
      <xdr:row>10</xdr:row>
      <xdr:rowOff>57150</xdr:rowOff>
    </xdr:to>
    <xdr:grpSp>
      <xdr:nvGrpSpPr>
        <xdr:cNvPr id="7830465" name="Group 6"/>
        <xdr:cNvGrpSpPr>
          <a:grpSpLocks/>
        </xdr:cNvGrpSpPr>
      </xdr:nvGrpSpPr>
      <xdr:grpSpPr bwMode="auto">
        <a:xfrm>
          <a:off x="619125" y="1628775"/>
          <a:ext cx="4705350" cy="257175"/>
          <a:chOff x="65" y="171"/>
          <a:chExt cx="494" cy="27"/>
        </a:xfrm>
      </xdr:grpSpPr>
      <xdr:sp macro="" textlink="">
        <xdr:nvSpPr>
          <xdr:cNvPr id="9223" name="Text Box 7"/>
          <xdr:cNvSpPr txBox="1">
            <a:spLocks noChangeArrowheads="1"/>
          </xdr:cNvSpPr>
        </xdr:nvSpPr>
        <xdr:spPr bwMode="auto">
          <a:xfrm>
            <a:off x="65" y="171"/>
            <a:ext cx="492" cy="2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n-GB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Key Central London Assets</a:t>
            </a:r>
          </a:p>
        </xdr:txBody>
      </xdr:sp>
      <xdr:sp macro="" textlink="">
        <xdr:nvSpPr>
          <xdr:cNvPr id="7830479" name="Line 8"/>
          <xdr:cNvSpPr>
            <a:spLocks noChangeShapeType="1"/>
          </xdr:cNvSpPr>
        </xdr:nvSpPr>
        <xdr:spPr bwMode="auto">
          <a:xfrm>
            <a:off x="66" y="193"/>
            <a:ext cx="493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8B8D8E" mc:Ignorable="a14" a14:legacySpreadsheetColorIndex="5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19050</xdr:colOff>
      <xdr:row>10</xdr:row>
      <xdr:rowOff>47625</xdr:rowOff>
    </xdr:from>
    <xdr:to>
      <xdr:col>4</xdr:col>
      <xdr:colOff>342900</xdr:colOff>
      <xdr:row>25</xdr:row>
      <xdr:rowOff>133350</xdr:rowOff>
    </xdr:to>
    <xdr:pic>
      <xdr:nvPicPr>
        <xdr:cNvPr id="7830466" name="Picture 11" descr="2011-Aug-17 Central London map (cleaning)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04" t="19572" r="3990" b="10501"/>
        <a:stretch>
          <a:fillRect/>
        </a:stretch>
      </xdr:blipFill>
      <xdr:spPr bwMode="auto">
        <a:xfrm>
          <a:off x="628650" y="1876425"/>
          <a:ext cx="4686300" cy="2543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285750</xdr:colOff>
      <xdr:row>13</xdr:row>
      <xdr:rowOff>95250</xdr:rowOff>
    </xdr:from>
    <xdr:to>
      <xdr:col>3</xdr:col>
      <xdr:colOff>981075</xdr:colOff>
      <xdr:row>15</xdr:row>
      <xdr:rowOff>9525</xdr:rowOff>
    </xdr:to>
    <xdr:sp macro="" textlink="">
      <xdr:nvSpPr>
        <xdr:cNvPr id="9228" name="AutoShape 12"/>
        <xdr:cNvSpPr>
          <a:spLocks noChangeArrowheads="1"/>
        </xdr:cNvSpPr>
      </xdr:nvSpPr>
      <xdr:spPr bwMode="auto">
        <a:xfrm>
          <a:off x="1009650" y="2438400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3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West End</a:t>
          </a:r>
        </a:p>
      </xdr:txBody>
    </xdr:sp>
    <xdr:clientData/>
  </xdr:twoCellAnchor>
  <xdr:twoCellAnchor>
    <xdr:from>
      <xdr:col>3</xdr:col>
      <xdr:colOff>3152775</xdr:colOff>
      <xdr:row>10</xdr:row>
      <xdr:rowOff>180975</xdr:rowOff>
    </xdr:from>
    <xdr:to>
      <xdr:col>3</xdr:col>
      <xdr:colOff>3848100</xdr:colOff>
      <xdr:row>12</xdr:row>
      <xdr:rowOff>66675</xdr:rowOff>
    </xdr:to>
    <xdr:sp macro="" textlink="">
      <xdr:nvSpPr>
        <xdr:cNvPr id="9229" name="AutoShape 13"/>
        <xdr:cNvSpPr>
          <a:spLocks noChangeArrowheads="1"/>
        </xdr:cNvSpPr>
      </xdr:nvSpPr>
      <xdr:spPr bwMode="auto">
        <a:xfrm>
          <a:off x="3876675" y="2009775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Midtown</a:t>
          </a:r>
        </a:p>
      </xdr:txBody>
    </xdr:sp>
    <xdr:clientData/>
  </xdr:twoCellAnchor>
  <xdr:twoCellAnchor>
    <xdr:from>
      <xdr:col>3</xdr:col>
      <xdr:colOff>3905250</xdr:colOff>
      <xdr:row>16</xdr:row>
      <xdr:rowOff>0</xdr:rowOff>
    </xdr:from>
    <xdr:to>
      <xdr:col>4</xdr:col>
      <xdr:colOff>114300</xdr:colOff>
      <xdr:row>17</xdr:row>
      <xdr:rowOff>76200</xdr:rowOff>
    </xdr:to>
    <xdr:sp macro="" textlink="">
      <xdr:nvSpPr>
        <xdr:cNvPr id="9230" name="AutoShape 14"/>
        <xdr:cNvSpPr>
          <a:spLocks noChangeArrowheads="1"/>
        </xdr:cNvSpPr>
      </xdr:nvSpPr>
      <xdr:spPr bwMode="auto">
        <a:xfrm>
          <a:off x="4629150" y="2828925"/>
          <a:ext cx="4572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City</a:t>
          </a:r>
        </a:p>
      </xdr:txBody>
    </xdr:sp>
    <xdr:clientData/>
  </xdr:twoCellAnchor>
  <xdr:twoCellAnchor>
    <xdr:from>
      <xdr:col>3</xdr:col>
      <xdr:colOff>3009900</xdr:colOff>
      <xdr:row>22</xdr:row>
      <xdr:rowOff>133350</xdr:rowOff>
    </xdr:from>
    <xdr:to>
      <xdr:col>3</xdr:col>
      <xdr:colOff>3867150</xdr:colOff>
      <xdr:row>24</xdr:row>
      <xdr:rowOff>47625</xdr:rowOff>
    </xdr:to>
    <xdr:sp macro="" textlink="">
      <xdr:nvSpPr>
        <xdr:cNvPr id="9231" name="AutoShape 15"/>
        <xdr:cNvSpPr>
          <a:spLocks noChangeArrowheads="1"/>
        </xdr:cNvSpPr>
      </xdr:nvSpPr>
      <xdr:spPr bwMode="auto">
        <a:xfrm>
          <a:off x="3733800" y="3933825"/>
          <a:ext cx="85725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Southbank</a:t>
          </a:r>
        </a:p>
      </xdr:txBody>
    </xdr:sp>
    <xdr:clientData/>
  </xdr:twoCellAnchor>
  <xdr:twoCellAnchor>
    <xdr:from>
      <xdr:col>3</xdr:col>
      <xdr:colOff>1419225</xdr:colOff>
      <xdr:row>15</xdr:row>
      <xdr:rowOff>9525</xdr:rowOff>
    </xdr:from>
    <xdr:to>
      <xdr:col>3</xdr:col>
      <xdr:colOff>2085975</xdr:colOff>
      <xdr:row>18</xdr:row>
      <xdr:rowOff>104775</xdr:rowOff>
    </xdr:to>
    <xdr:sp macro="" textlink="">
      <xdr:nvSpPr>
        <xdr:cNvPr id="7830471" name="Oval 23"/>
        <xdr:cNvSpPr>
          <a:spLocks noChangeArrowheads="1"/>
        </xdr:cNvSpPr>
      </xdr:nvSpPr>
      <xdr:spPr bwMode="auto">
        <a:xfrm>
          <a:off x="2143125" y="2676525"/>
          <a:ext cx="666750" cy="5810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1495425</xdr:colOff>
      <xdr:row>16</xdr:row>
      <xdr:rowOff>66675</xdr:rowOff>
    </xdr:from>
    <xdr:to>
      <xdr:col>3</xdr:col>
      <xdr:colOff>2047875</xdr:colOff>
      <xdr:row>17</xdr:row>
      <xdr:rowOff>95250</xdr:rowOff>
    </xdr:to>
    <xdr:sp macro="" textlink="">
      <xdr:nvSpPr>
        <xdr:cNvPr id="9235" name="Text Box 19"/>
        <xdr:cNvSpPr txBox="1">
          <a:spLocks noChangeArrowheads="1"/>
        </xdr:cNvSpPr>
      </xdr:nvSpPr>
      <xdr:spPr bwMode="auto">
        <a:xfrm>
          <a:off x="2219325" y="2895600"/>
          <a:ext cx="552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>
                  <a:alpha val="50000"/>
                </a:srgbClr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£2.9bn</a:t>
          </a:r>
        </a:p>
      </xdr:txBody>
    </xdr:sp>
    <xdr:clientData/>
  </xdr:twoCellAnchor>
  <xdr:twoCellAnchor>
    <xdr:from>
      <xdr:col>3</xdr:col>
      <xdr:colOff>2466975</xdr:colOff>
      <xdr:row>11</xdr:row>
      <xdr:rowOff>104775</xdr:rowOff>
    </xdr:from>
    <xdr:to>
      <xdr:col>3</xdr:col>
      <xdr:colOff>2762250</xdr:colOff>
      <xdr:row>13</xdr:row>
      <xdr:rowOff>114300</xdr:rowOff>
    </xdr:to>
    <xdr:sp macro="" textlink="">
      <xdr:nvSpPr>
        <xdr:cNvPr id="7830473" name="Oval 20"/>
        <xdr:cNvSpPr>
          <a:spLocks noChangeArrowheads="1"/>
        </xdr:cNvSpPr>
      </xdr:nvSpPr>
      <xdr:spPr bwMode="auto">
        <a:xfrm rot="1324097">
          <a:off x="3190875" y="2124075"/>
          <a:ext cx="295275" cy="3333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2295525</xdr:colOff>
      <xdr:row>12</xdr:row>
      <xdr:rowOff>9525</xdr:rowOff>
    </xdr:from>
    <xdr:to>
      <xdr:col>3</xdr:col>
      <xdr:colOff>2952750</xdr:colOff>
      <xdr:row>13</xdr:row>
      <xdr:rowOff>47625</xdr:rowOff>
    </xdr:to>
    <xdr:sp macro="" textlink="">
      <xdr:nvSpPr>
        <xdr:cNvPr id="9237" name="Text Box 21"/>
        <xdr:cNvSpPr txBox="1">
          <a:spLocks noChangeArrowheads="1"/>
        </xdr:cNvSpPr>
      </xdr:nvSpPr>
      <xdr:spPr bwMode="auto">
        <a:xfrm>
          <a:off x="3019425" y="219075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£0.3bn</a:t>
          </a:r>
        </a:p>
      </xdr:txBody>
    </xdr:sp>
    <xdr:clientData/>
  </xdr:twoCellAnchor>
  <xdr:twoCellAnchor>
    <xdr:from>
      <xdr:col>3</xdr:col>
      <xdr:colOff>3190875</xdr:colOff>
      <xdr:row>14</xdr:row>
      <xdr:rowOff>28575</xdr:rowOff>
    </xdr:from>
    <xdr:to>
      <xdr:col>3</xdr:col>
      <xdr:colOff>3486150</xdr:colOff>
      <xdr:row>16</xdr:row>
      <xdr:rowOff>38100</xdr:rowOff>
    </xdr:to>
    <xdr:sp macro="" textlink="">
      <xdr:nvSpPr>
        <xdr:cNvPr id="7830475" name="Oval 20"/>
        <xdr:cNvSpPr>
          <a:spLocks noChangeArrowheads="1"/>
        </xdr:cNvSpPr>
      </xdr:nvSpPr>
      <xdr:spPr bwMode="auto">
        <a:xfrm rot="1324097">
          <a:off x="3914775" y="2533650"/>
          <a:ext cx="295275" cy="3333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3028950</xdr:colOff>
      <xdr:row>14</xdr:row>
      <xdr:rowOff>85725</xdr:rowOff>
    </xdr:from>
    <xdr:to>
      <xdr:col>3</xdr:col>
      <xdr:colOff>3686175</xdr:colOff>
      <xdr:row>15</xdr:row>
      <xdr:rowOff>123825</xdr:rowOff>
    </xdr:to>
    <xdr:sp macro="" textlink="">
      <xdr:nvSpPr>
        <xdr:cNvPr id="20" name="Text Box 21"/>
        <xdr:cNvSpPr txBox="1">
          <a:spLocks noChangeArrowheads="1"/>
        </xdr:cNvSpPr>
      </xdr:nvSpPr>
      <xdr:spPr bwMode="auto">
        <a:xfrm>
          <a:off x="3752850" y="259080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£1.9bn</a:t>
          </a:r>
        </a:p>
      </xdr:txBody>
    </xdr:sp>
    <xdr:clientData/>
  </xdr:twoCellAnchor>
  <xdr:twoCellAnchor>
    <xdr:from>
      <xdr:col>15</xdr:col>
      <xdr:colOff>123825</xdr:colOff>
      <xdr:row>6</xdr:row>
      <xdr:rowOff>76200</xdr:rowOff>
    </xdr:from>
    <xdr:to>
      <xdr:col>17</xdr:col>
      <xdr:colOff>657225</xdr:colOff>
      <xdr:row>7</xdr:row>
      <xdr:rowOff>390525</xdr:rowOff>
    </xdr:to>
    <xdr:sp macro="" textlink="">
      <xdr:nvSpPr>
        <xdr:cNvPr id="21" name="TextBox 20"/>
        <xdr:cNvSpPr txBox="1"/>
      </xdr:nvSpPr>
      <xdr:spPr>
        <a:xfrm>
          <a:off x="10115550" y="923925"/>
          <a:ext cx="1752600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OC Checked</a:t>
          </a:r>
          <a:r>
            <a:rPr lang="en-US" sz="1100" baseline="0"/>
            <a:t> </a:t>
          </a:r>
        </a:p>
        <a:p>
          <a:r>
            <a:rPr lang="en-US" sz="1100" baseline="0"/>
            <a:t>Approved by company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10</xdr:row>
      <xdr:rowOff>19050</xdr:rowOff>
    </xdr:from>
    <xdr:to>
      <xdr:col>9</xdr:col>
      <xdr:colOff>1295400</xdr:colOff>
      <xdr:row>23</xdr:row>
      <xdr:rowOff>133350</xdr:rowOff>
    </xdr:to>
    <xdr:graphicFrame macro="">
      <xdr:nvGraphicFramePr>
        <xdr:cNvPr id="839697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13</xdr:col>
          <xdr:colOff>19050</xdr:colOff>
          <xdr:row>34</xdr:row>
          <xdr:rowOff>142875</xdr:rowOff>
        </xdr:to>
        <xdr:pic>
          <xdr:nvPicPr>
            <xdr:cNvPr id="8396973" name="Picture 1"/>
            <xdr:cNvPicPr>
              <a:picLocks noChangeAspect="1" noChangeArrowheads="1"/>
              <a:extLst>
                <a:ext uri="{84589F7E-364E-4C9E-8A38-B11213B215E9}">
                  <a14:cameraTool cellRange="$AC$52:$AK$59" spid="_x0000_s83973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19125" y="4610100"/>
              <a:ext cx="8743950" cy="1333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1771650</xdr:colOff>
      <xdr:row>10</xdr:row>
      <xdr:rowOff>19050</xdr:rowOff>
    </xdr:from>
    <xdr:to>
      <xdr:col>14</xdr:col>
      <xdr:colOff>304800</xdr:colOff>
      <xdr:row>25</xdr:row>
      <xdr:rowOff>38100</xdr:rowOff>
    </xdr:to>
    <xdr:graphicFrame macro="">
      <xdr:nvGraphicFramePr>
        <xdr:cNvPr id="839697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9525</xdr:colOff>
      <xdr:row>20</xdr:row>
      <xdr:rowOff>104775</xdr:rowOff>
    </xdr:from>
    <xdr:to>
      <xdr:col>7</xdr:col>
      <xdr:colOff>1524000</xdr:colOff>
      <xdr:row>21</xdr:row>
      <xdr:rowOff>152400</xdr:rowOff>
    </xdr:to>
    <xdr:sp macro="" textlink="$S$29">
      <xdr:nvSpPr>
        <xdr:cNvPr id="10245" name="AutoShape 5"/>
        <xdr:cNvSpPr>
          <a:spLocks noChangeArrowheads="1" noTextEdit="1"/>
        </xdr:cNvSpPr>
      </xdr:nvSpPr>
      <xdr:spPr bwMode="auto">
        <a:xfrm>
          <a:off x="5600700" y="3581400"/>
          <a:ext cx="15144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559B23" mc:Ignorable="a14" a14:legacySpreadsheetColorIndex="10"/>
        </a:solidFill>
        <a:ln w="25400">
          <a:solidFill>
            <a:srgbClr xmlns:mc="http://schemas.openxmlformats.org/markup-compatibility/2006" xmlns:a14="http://schemas.microsoft.com/office/drawing/2010/main" val="88B965" mc:Ignorable="a14" a14:legacySpreadsheetColorIndex="57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fld id="{6A2487C8-5EF2-474D-BB91-58059FCB88F9}" type="TxLink"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Total Value: £2.6bn</a:t>
          </a:fld>
          <a:endParaRPr lang="en-US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9525</xdr:colOff>
      <xdr:row>9</xdr:row>
      <xdr:rowOff>9525</xdr:rowOff>
    </xdr:from>
    <xdr:to>
      <xdr:col>5</xdr:col>
      <xdr:colOff>0</xdr:colOff>
      <xdr:row>10</xdr:row>
      <xdr:rowOff>57150</xdr:rowOff>
    </xdr:to>
    <xdr:grpSp>
      <xdr:nvGrpSpPr>
        <xdr:cNvPr id="8396977" name="Group 6"/>
        <xdr:cNvGrpSpPr>
          <a:grpSpLocks/>
        </xdr:cNvGrpSpPr>
      </xdr:nvGrpSpPr>
      <xdr:grpSpPr bwMode="auto">
        <a:xfrm>
          <a:off x="619125" y="1628775"/>
          <a:ext cx="4705350" cy="257175"/>
          <a:chOff x="65" y="171"/>
          <a:chExt cx="494" cy="27"/>
        </a:xfrm>
      </xdr:grpSpPr>
      <xdr:sp macro="" textlink="">
        <xdr:nvSpPr>
          <xdr:cNvPr id="10247" name="Text Box 7"/>
          <xdr:cNvSpPr txBox="1">
            <a:spLocks noChangeArrowheads="1"/>
          </xdr:cNvSpPr>
        </xdr:nvSpPr>
        <xdr:spPr bwMode="auto">
          <a:xfrm>
            <a:off x="65" y="171"/>
            <a:ext cx="492" cy="2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n-GB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Key Central London Assets</a:t>
            </a:r>
          </a:p>
        </xdr:txBody>
      </xdr:sp>
      <xdr:sp macro="" textlink="">
        <xdr:nvSpPr>
          <xdr:cNvPr id="8396992" name="Line 8"/>
          <xdr:cNvSpPr>
            <a:spLocks noChangeShapeType="1"/>
          </xdr:cNvSpPr>
        </xdr:nvSpPr>
        <xdr:spPr bwMode="auto">
          <a:xfrm>
            <a:off x="66" y="193"/>
            <a:ext cx="493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8B8D8E" mc:Ignorable="a14" a14:legacySpreadsheetColorIndex="5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19050</xdr:colOff>
      <xdr:row>10</xdr:row>
      <xdr:rowOff>47625</xdr:rowOff>
    </xdr:from>
    <xdr:to>
      <xdr:col>4</xdr:col>
      <xdr:colOff>342900</xdr:colOff>
      <xdr:row>25</xdr:row>
      <xdr:rowOff>133350</xdr:rowOff>
    </xdr:to>
    <xdr:pic>
      <xdr:nvPicPr>
        <xdr:cNvPr id="8396978" name="Picture 11" descr="2011-Aug-17 Central London map (cleaning)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04" t="19572" r="3990" b="10501"/>
        <a:stretch>
          <a:fillRect/>
        </a:stretch>
      </xdr:blipFill>
      <xdr:spPr bwMode="auto">
        <a:xfrm>
          <a:off x="628650" y="1876425"/>
          <a:ext cx="4686300" cy="2543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285750</xdr:colOff>
      <xdr:row>13</xdr:row>
      <xdr:rowOff>95250</xdr:rowOff>
    </xdr:from>
    <xdr:to>
      <xdr:col>3</xdr:col>
      <xdr:colOff>981075</xdr:colOff>
      <xdr:row>15</xdr:row>
      <xdr:rowOff>9525</xdr:rowOff>
    </xdr:to>
    <xdr:sp macro="" textlink="">
      <xdr:nvSpPr>
        <xdr:cNvPr id="10252" name="AutoShape 12"/>
        <xdr:cNvSpPr>
          <a:spLocks noChangeArrowheads="1"/>
        </xdr:cNvSpPr>
      </xdr:nvSpPr>
      <xdr:spPr bwMode="auto">
        <a:xfrm>
          <a:off x="1009650" y="2438400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3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West End</a:t>
          </a:r>
        </a:p>
      </xdr:txBody>
    </xdr:sp>
    <xdr:clientData/>
  </xdr:twoCellAnchor>
  <xdr:twoCellAnchor>
    <xdr:from>
      <xdr:col>3</xdr:col>
      <xdr:colOff>3152775</xdr:colOff>
      <xdr:row>10</xdr:row>
      <xdr:rowOff>180975</xdr:rowOff>
    </xdr:from>
    <xdr:to>
      <xdr:col>3</xdr:col>
      <xdr:colOff>3848100</xdr:colOff>
      <xdr:row>12</xdr:row>
      <xdr:rowOff>66675</xdr:rowOff>
    </xdr:to>
    <xdr:sp macro="" textlink="">
      <xdr:nvSpPr>
        <xdr:cNvPr id="10253" name="AutoShape 13"/>
        <xdr:cNvSpPr>
          <a:spLocks noChangeArrowheads="1"/>
        </xdr:cNvSpPr>
      </xdr:nvSpPr>
      <xdr:spPr bwMode="auto">
        <a:xfrm>
          <a:off x="3876675" y="2009775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Midtown</a:t>
          </a:r>
        </a:p>
      </xdr:txBody>
    </xdr:sp>
    <xdr:clientData/>
  </xdr:twoCellAnchor>
  <xdr:twoCellAnchor>
    <xdr:from>
      <xdr:col>3</xdr:col>
      <xdr:colOff>3905250</xdr:colOff>
      <xdr:row>16</xdr:row>
      <xdr:rowOff>0</xdr:rowOff>
    </xdr:from>
    <xdr:to>
      <xdr:col>4</xdr:col>
      <xdr:colOff>114300</xdr:colOff>
      <xdr:row>17</xdr:row>
      <xdr:rowOff>76200</xdr:rowOff>
    </xdr:to>
    <xdr:sp macro="" textlink="">
      <xdr:nvSpPr>
        <xdr:cNvPr id="10254" name="AutoShape 14"/>
        <xdr:cNvSpPr>
          <a:spLocks noChangeArrowheads="1"/>
        </xdr:cNvSpPr>
      </xdr:nvSpPr>
      <xdr:spPr bwMode="auto">
        <a:xfrm>
          <a:off x="4629150" y="2828925"/>
          <a:ext cx="4572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City</a:t>
          </a:r>
        </a:p>
      </xdr:txBody>
    </xdr:sp>
    <xdr:clientData/>
  </xdr:twoCellAnchor>
  <xdr:twoCellAnchor>
    <xdr:from>
      <xdr:col>3</xdr:col>
      <xdr:colOff>3009900</xdr:colOff>
      <xdr:row>22</xdr:row>
      <xdr:rowOff>133350</xdr:rowOff>
    </xdr:from>
    <xdr:to>
      <xdr:col>3</xdr:col>
      <xdr:colOff>3867150</xdr:colOff>
      <xdr:row>24</xdr:row>
      <xdr:rowOff>47625</xdr:rowOff>
    </xdr:to>
    <xdr:sp macro="" textlink="">
      <xdr:nvSpPr>
        <xdr:cNvPr id="10255" name="AutoShape 15"/>
        <xdr:cNvSpPr>
          <a:spLocks noChangeArrowheads="1"/>
        </xdr:cNvSpPr>
      </xdr:nvSpPr>
      <xdr:spPr bwMode="auto">
        <a:xfrm>
          <a:off x="3733800" y="3933825"/>
          <a:ext cx="85725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Southbank</a:t>
          </a:r>
        </a:p>
      </xdr:txBody>
    </xdr:sp>
    <xdr:clientData/>
  </xdr:twoCellAnchor>
  <xdr:twoCellAnchor>
    <xdr:from>
      <xdr:col>3</xdr:col>
      <xdr:colOff>3533775</xdr:colOff>
      <xdr:row>16</xdr:row>
      <xdr:rowOff>85725</xdr:rowOff>
    </xdr:from>
    <xdr:to>
      <xdr:col>3</xdr:col>
      <xdr:colOff>3819525</xdr:colOff>
      <xdr:row>18</xdr:row>
      <xdr:rowOff>47625</xdr:rowOff>
    </xdr:to>
    <xdr:sp macro="" textlink="">
      <xdr:nvSpPr>
        <xdr:cNvPr id="8396983" name="Oval 17"/>
        <xdr:cNvSpPr>
          <a:spLocks noChangeArrowheads="1"/>
        </xdr:cNvSpPr>
      </xdr:nvSpPr>
      <xdr:spPr bwMode="auto">
        <a:xfrm>
          <a:off x="4257675" y="2914650"/>
          <a:ext cx="285750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22225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1619250</xdr:colOff>
      <xdr:row>16</xdr:row>
      <xdr:rowOff>66675</xdr:rowOff>
    </xdr:from>
    <xdr:to>
      <xdr:col>3</xdr:col>
      <xdr:colOff>2200275</xdr:colOff>
      <xdr:row>20</xdr:row>
      <xdr:rowOff>0</xdr:rowOff>
    </xdr:to>
    <xdr:sp macro="" textlink="">
      <xdr:nvSpPr>
        <xdr:cNvPr id="10259" name="Oval 19"/>
        <xdr:cNvSpPr>
          <a:spLocks noChangeArrowheads="1"/>
        </xdr:cNvSpPr>
      </xdr:nvSpPr>
      <xdr:spPr bwMode="auto">
        <a:xfrm>
          <a:off x="2343150" y="2895600"/>
          <a:ext cx="581025" cy="5810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000"/>
          </a:srgbClr>
        </a:solidFill>
        <a:ln w="22225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£1.8bn</a:t>
          </a:r>
        </a:p>
      </xdr:txBody>
    </xdr:sp>
    <xdr:clientData/>
  </xdr:twoCellAnchor>
  <xdr:twoCellAnchor>
    <xdr:from>
      <xdr:col>3</xdr:col>
      <xdr:colOff>3352800</xdr:colOff>
      <xdr:row>17</xdr:row>
      <xdr:rowOff>9525</xdr:rowOff>
    </xdr:from>
    <xdr:to>
      <xdr:col>3</xdr:col>
      <xdr:colOff>4019550</xdr:colOff>
      <xdr:row>17</xdr:row>
      <xdr:rowOff>152400</xdr:rowOff>
    </xdr:to>
    <xdr:sp macro="" textlink="">
      <xdr:nvSpPr>
        <xdr:cNvPr id="10260" name="Text Box 20"/>
        <xdr:cNvSpPr txBox="1">
          <a:spLocks noChangeArrowheads="1"/>
        </xdr:cNvSpPr>
      </xdr:nvSpPr>
      <xdr:spPr bwMode="auto">
        <a:xfrm>
          <a:off x="4076700" y="3000375"/>
          <a:ext cx="6667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£0.2bn</a:t>
          </a:r>
        </a:p>
      </xdr:txBody>
    </xdr:sp>
    <xdr:clientData/>
  </xdr:twoCellAnchor>
  <xdr:twoCellAnchor>
    <xdr:from>
      <xdr:col>3</xdr:col>
      <xdr:colOff>2466975</xdr:colOff>
      <xdr:row>14</xdr:row>
      <xdr:rowOff>152400</xdr:rowOff>
    </xdr:from>
    <xdr:to>
      <xdr:col>3</xdr:col>
      <xdr:colOff>2752725</xdr:colOff>
      <xdr:row>16</xdr:row>
      <xdr:rowOff>114300</xdr:rowOff>
    </xdr:to>
    <xdr:sp macro="" textlink="">
      <xdr:nvSpPr>
        <xdr:cNvPr id="8396986" name="Oval 17"/>
        <xdr:cNvSpPr>
          <a:spLocks noChangeArrowheads="1"/>
        </xdr:cNvSpPr>
      </xdr:nvSpPr>
      <xdr:spPr bwMode="auto">
        <a:xfrm>
          <a:off x="3190875" y="2657475"/>
          <a:ext cx="285750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22225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2276475</xdr:colOff>
      <xdr:row>15</xdr:row>
      <xdr:rowOff>76200</xdr:rowOff>
    </xdr:from>
    <xdr:to>
      <xdr:col>3</xdr:col>
      <xdr:colOff>2943225</xdr:colOff>
      <xdr:row>16</xdr:row>
      <xdr:rowOff>57150</xdr:rowOff>
    </xdr:to>
    <xdr:sp macro="" textlink="">
      <xdr:nvSpPr>
        <xdr:cNvPr id="19" name="Text Box 20"/>
        <xdr:cNvSpPr txBox="1">
          <a:spLocks noChangeArrowheads="1"/>
        </xdr:cNvSpPr>
      </xdr:nvSpPr>
      <xdr:spPr bwMode="auto">
        <a:xfrm>
          <a:off x="3000375" y="2743200"/>
          <a:ext cx="6667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£0.1bn</a:t>
          </a:r>
        </a:p>
      </xdr:txBody>
    </xdr:sp>
    <xdr:clientData/>
  </xdr:twoCellAnchor>
  <xdr:twoCellAnchor>
    <xdr:from>
      <xdr:col>3</xdr:col>
      <xdr:colOff>3228975</xdr:colOff>
      <xdr:row>19</xdr:row>
      <xdr:rowOff>95250</xdr:rowOff>
    </xdr:from>
    <xdr:to>
      <xdr:col>3</xdr:col>
      <xdr:colOff>3514725</xdr:colOff>
      <xdr:row>21</xdr:row>
      <xdr:rowOff>57150</xdr:rowOff>
    </xdr:to>
    <xdr:sp macro="" textlink="">
      <xdr:nvSpPr>
        <xdr:cNvPr id="8396988" name="Oval 17"/>
        <xdr:cNvSpPr>
          <a:spLocks noChangeArrowheads="1"/>
        </xdr:cNvSpPr>
      </xdr:nvSpPr>
      <xdr:spPr bwMode="auto">
        <a:xfrm>
          <a:off x="3952875" y="3409950"/>
          <a:ext cx="285750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22225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3057525</xdr:colOff>
      <xdr:row>20</xdr:row>
      <xdr:rowOff>0</xdr:rowOff>
    </xdr:from>
    <xdr:to>
      <xdr:col>3</xdr:col>
      <xdr:colOff>3724275</xdr:colOff>
      <xdr:row>20</xdr:row>
      <xdr:rowOff>142875</xdr:rowOff>
    </xdr:to>
    <xdr:sp macro="" textlink="">
      <xdr:nvSpPr>
        <xdr:cNvPr id="21" name="Text Box 20"/>
        <xdr:cNvSpPr txBox="1">
          <a:spLocks noChangeArrowheads="1"/>
        </xdr:cNvSpPr>
      </xdr:nvSpPr>
      <xdr:spPr bwMode="auto">
        <a:xfrm>
          <a:off x="3781425" y="3476625"/>
          <a:ext cx="6667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£0.1bn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142875</xdr:rowOff>
        </xdr:from>
        <xdr:to>
          <xdr:col>13</xdr:col>
          <xdr:colOff>28575</xdr:colOff>
          <xdr:row>44</xdr:row>
          <xdr:rowOff>47625</xdr:rowOff>
        </xdr:to>
        <xdr:pic>
          <xdr:nvPicPr>
            <xdr:cNvPr id="24" name="Picture 23"/>
            <xdr:cNvPicPr>
              <a:picLocks noChangeAspect="1" noChangeArrowheads="1"/>
              <a:extLst>
                <a:ext uri="{84589F7E-364E-4C9E-8A38-B11213B215E9}">
                  <a14:cameraTool cellRange="$AO$61:$AZ$69" spid="_x0000_s839736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09600" y="5943600"/>
              <a:ext cx="8763000" cy="1495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40</xdr:col>
      <xdr:colOff>9525</xdr:colOff>
      <xdr:row>53</xdr:row>
      <xdr:rowOff>38100</xdr:rowOff>
    </xdr:from>
    <xdr:to>
      <xdr:col>40</xdr:col>
      <xdr:colOff>628650</xdr:colOff>
      <xdr:row>58</xdr:row>
      <xdr:rowOff>161925</xdr:rowOff>
    </xdr:to>
    <xdr:sp macro="" textlink="">
      <xdr:nvSpPr>
        <xdr:cNvPr id="2" name="Down Arrow 1"/>
        <xdr:cNvSpPr/>
      </xdr:nvSpPr>
      <xdr:spPr>
        <a:xfrm>
          <a:off x="32013525" y="8934450"/>
          <a:ext cx="619125" cy="933450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40</xdr:col>
      <xdr:colOff>704850</xdr:colOff>
      <xdr:row>53</xdr:row>
      <xdr:rowOff>152400</xdr:rowOff>
    </xdr:from>
    <xdr:ext cx="5532540" cy="609013"/>
    <xdr:sp macro="" textlink="">
      <xdr:nvSpPr>
        <xdr:cNvPr id="3" name="TextBox 2"/>
        <xdr:cNvSpPr txBox="1"/>
      </xdr:nvSpPr>
      <xdr:spPr>
        <a:xfrm>
          <a:off x="32708850" y="9048750"/>
          <a:ext cx="553254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PET Query into the presentation table below.</a:t>
          </a:r>
        </a:p>
        <a:p>
          <a:r>
            <a:rPr lang="en-US" sz="1100"/>
            <a:t>&gt;</a:t>
          </a:r>
          <a:r>
            <a:rPr lang="en-US" sz="1100" baseline="0"/>
            <a:t> Completion data re-write as quarters manually</a:t>
          </a:r>
        </a:p>
        <a:p>
          <a:r>
            <a:rPr lang="en-US" sz="1100" baseline="0"/>
            <a:t>&gt; If developments are more or less than the current 4 then you must re-arrange the total row</a:t>
          </a: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13</xdr:col>
          <xdr:colOff>19050</xdr:colOff>
          <xdr:row>34</xdr:row>
          <xdr:rowOff>142875</xdr:rowOff>
        </xdr:to>
        <xdr:pic>
          <xdr:nvPicPr>
            <xdr:cNvPr id="7849745" name="Picture 1"/>
            <xdr:cNvPicPr>
              <a:picLocks noChangeAspect="1" noChangeArrowheads="1"/>
              <a:extLst>
                <a:ext uri="{84589F7E-364E-4C9E-8A38-B11213B215E9}">
                  <a14:cameraTool cellRange="$AC$52:$AK$59" spid="_x0000_s85802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9125" y="4610100"/>
              <a:ext cx="8743950" cy="1333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66675</xdr:rowOff>
        </xdr:from>
        <xdr:to>
          <xdr:col>13</xdr:col>
          <xdr:colOff>9525</xdr:colOff>
          <xdr:row>40</xdr:row>
          <xdr:rowOff>76200</xdr:rowOff>
        </xdr:to>
        <xdr:pic>
          <xdr:nvPicPr>
            <xdr:cNvPr id="7849746" name="Picture 2"/>
            <xdr:cNvPicPr>
              <a:picLocks noChangeAspect="1" noChangeArrowheads="1"/>
              <a:extLst>
                <a:ext uri="{84589F7E-364E-4C9E-8A38-B11213B215E9}">
                  <a14:cameraTool cellRange="$AO$62:$AZ$69" spid="_x0000_s858022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09600" y="6029325"/>
              <a:ext cx="8743950" cy="8477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1771650</xdr:colOff>
      <xdr:row>10</xdr:row>
      <xdr:rowOff>19050</xdr:rowOff>
    </xdr:from>
    <xdr:to>
      <xdr:col>14</xdr:col>
      <xdr:colOff>304800</xdr:colOff>
      <xdr:row>25</xdr:row>
      <xdr:rowOff>38100</xdr:rowOff>
    </xdr:to>
    <xdr:graphicFrame macro="">
      <xdr:nvGraphicFramePr>
        <xdr:cNvPr id="784974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304800</xdr:colOff>
      <xdr:row>10</xdr:row>
      <xdr:rowOff>19050</xdr:rowOff>
    </xdr:from>
    <xdr:to>
      <xdr:col>9</xdr:col>
      <xdr:colOff>1295400</xdr:colOff>
      <xdr:row>23</xdr:row>
      <xdr:rowOff>133350</xdr:rowOff>
    </xdr:to>
    <xdr:graphicFrame macro="">
      <xdr:nvGraphicFramePr>
        <xdr:cNvPr id="784974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9525</xdr:colOff>
      <xdr:row>20</xdr:row>
      <xdr:rowOff>104775</xdr:rowOff>
    </xdr:from>
    <xdr:to>
      <xdr:col>7</xdr:col>
      <xdr:colOff>1524000</xdr:colOff>
      <xdr:row>21</xdr:row>
      <xdr:rowOff>152400</xdr:rowOff>
    </xdr:to>
    <xdr:sp macro="" textlink="$S$29">
      <xdr:nvSpPr>
        <xdr:cNvPr id="11269" name="AutoShape 5"/>
        <xdr:cNvSpPr>
          <a:spLocks noChangeArrowheads="1" noTextEdit="1"/>
        </xdr:cNvSpPr>
      </xdr:nvSpPr>
      <xdr:spPr bwMode="auto">
        <a:xfrm>
          <a:off x="5600700" y="3581400"/>
          <a:ext cx="15144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559B23" mc:Ignorable="a14" a14:legacySpreadsheetColorIndex="10"/>
        </a:solidFill>
        <a:ln w="25400">
          <a:solidFill>
            <a:srgbClr xmlns:mc="http://schemas.openxmlformats.org/markup-compatibility/2006" xmlns:a14="http://schemas.microsoft.com/office/drawing/2010/main" val="88B965" mc:Ignorable="a14" a14:legacySpreadsheetColorIndex="57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fld id="{05020C6F-80CA-44D5-B217-3593F7A9B4B0}" type="TxLink"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#N/A</a:t>
          </a:fld>
          <a:endParaRPr lang="en-US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9525</xdr:colOff>
      <xdr:row>9</xdr:row>
      <xdr:rowOff>9525</xdr:rowOff>
    </xdr:from>
    <xdr:to>
      <xdr:col>5</xdr:col>
      <xdr:colOff>0</xdr:colOff>
      <xdr:row>10</xdr:row>
      <xdr:rowOff>57150</xdr:rowOff>
    </xdr:to>
    <xdr:grpSp>
      <xdr:nvGrpSpPr>
        <xdr:cNvPr id="7849750" name="Group 6"/>
        <xdr:cNvGrpSpPr>
          <a:grpSpLocks/>
        </xdr:cNvGrpSpPr>
      </xdr:nvGrpSpPr>
      <xdr:grpSpPr bwMode="auto">
        <a:xfrm>
          <a:off x="619125" y="1628775"/>
          <a:ext cx="4705350" cy="257175"/>
          <a:chOff x="65" y="171"/>
          <a:chExt cx="494" cy="27"/>
        </a:xfrm>
      </xdr:grpSpPr>
      <xdr:sp macro="" textlink="">
        <xdr:nvSpPr>
          <xdr:cNvPr id="11271" name="Text Box 7"/>
          <xdr:cNvSpPr txBox="1">
            <a:spLocks noChangeArrowheads="1"/>
          </xdr:cNvSpPr>
        </xdr:nvSpPr>
        <xdr:spPr bwMode="auto">
          <a:xfrm>
            <a:off x="65" y="171"/>
            <a:ext cx="492" cy="2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n-GB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Key Central London Assets</a:t>
            </a:r>
          </a:p>
        </xdr:txBody>
      </xdr:sp>
      <xdr:sp macro="" textlink="">
        <xdr:nvSpPr>
          <xdr:cNvPr id="7849761" name="Line 8"/>
          <xdr:cNvSpPr>
            <a:spLocks noChangeShapeType="1"/>
          </xdr:cNvSpPr>
        </xdr:nvSpPr>
        <xdr:spPr bwMode="auto">
          <a:xfrm>
            <a:off x="66" y="193"/>
            <a:ext cx="493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8B8D8E" mc:Ignorable="a14" a14:legacySpreadsheetColorIndex="5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19050</xdr:colOff>
      <xdr:row>10</xdr:row>
      <xdr:rowOff>47625</xdr:rowOff>
    </xdr:from>
    <xdr:to>
      <xdr:col>4</xdr:col>
      <xdr:colOff>342900</xdr:colOff>
      <xdr:row>25</xdr:row>
      <xdr:rowOff>133350</xdr:rowOff>
    </xdr:to>
    <xdr:pic>
      <xdr:nvPicPr>
        <xdr:cNvPr id="7849751" name="Picture 11" descr="2011-Aug-17 Central London map (cleaning)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04" t="19572" r="3990" b="10501"/>
        <a:stretch>
          <a:fillRect/>
        </a:stretch>
      </xdr:blipFill>
      <xdr:spPr bwMode="auto">
        <a:xfrm>
          <a:off x="628650" y="1876425"/>
          <a:ext cx="4686300" cy="2543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285750</xdr:colOff>
      <xdr:row>13</xdr:row>
      <xdr:rowOff>95250</xdr:rowOff>
    </xdr:from>
    <xdr:to>
      <xdr:col>3</xdr:col>
      <xdr:colOff>981075</xdr:colOff>
      <xdr:row>15</xdr:row>
      <xdr:rowOff>9525</xdr:rowOff>
    </xdr:to>
    <xdr:sp macro="" textlink="">
      <xdr:nvSpPr>
        <xdr:cNvPr id="11276" name="AutoShape 12"/>
        <xdr:cNvSpPr>
          <a:spLocks noChangeArrowheads="1"/>
        </xdr:cNvSpPr>
      </xdr:nvSpPr>
      <xdr:spPr bwMode="auto">
        <a:xfrm>
          <a:off x="1009650" y="2438400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3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West End</a:t>
          </a:r>
        </a:p>
      </xdr:txBody>
    </xdr:sp>
    <xdr:clientData/>
  </xdr:twoCellAnchor>
  <xdr:twoCellAnchor>
    <xdr:from>
      <xdr:col>3</xdr:col>
      <xdr:colOff>3152775</xdr:colOff>
      <xdr:row>10</xdr:row>
      <xdr:rowOff>180975</xdr:rowOff>
    </xdr:from>
    <xdr:to>
      <xdr:col>3</xdr:col>
      <xdr:colOff>3848100</xdr:colOff>
      <xdr:row>12</xdr:row>
      <xdr:rowOff>66675</xdr:rowOff>
    </xdr:to>
    <xdr:sp macro="" textlink="">
      <xdr:nvSpPr>
        <xdr:cNvPr id="11277" name="AutoShape 13"/>
        <xdr:cNvSpPr>
          <a:spLocks noChangeArrowheads="1"/>
        </xdr:cNvSpPr>
      </xdr:nvSpPr>
      <xdr:spPr bwMode="auto">
        <a:xfrm>
          <a:off x="3876675" y="2009775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Midtown</a:t>
          </a:r>
        </a:p>
      </xdr:txBody>
    </xdr:sp>
    <xdr:clientData/>
  </xdr:twoCellAnchor>
  <xdr:twoCellAnchor>
    <xdr:from>
      <xdr:col>3</xdr:col>
      <xdr:colOff>3905250</xdr:colOff>
      <xdr:row>16</xdr:row>
      <xdr:rowOff>0</xdr:rowOff>
    </xdr:from>
    <xdr:to>
      <xdr:col>4</xdr:col>
      <xdr:colOff>114300</xdr:colOff>
      <xdr:row>17</xdr:row>
      <xdr:rowOff>76200</xdr:rowOff>
    </xdr:to>
    <xdr:sp macro="" textlink="">
      <xdr:nvSpPr>
        <xdr:cNvPr id="11278" name="AutoShape 14"/>
        <xdr:cNvSpPr>
          <a:spLocks noChangeArrowheads="1"/>
        </xdr:cNvSpPr>
      </xdr:nvSpPr>
      <xdr:spPr bwMode="auto">
        <a:xfrm>
          <a:off x="4629150" y="2828925"/>
          <a:ext cx="4572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City</a:t>
          </a:r>
        </a:p>
      </xdr:txBody>
    </xdr:sp>
    <xdr:clientData/>
  </xdr:twoCellAnchor>
  <xdr:twoCellAnchor>
    <xdr:from>
      <xdr:col>3</xdr:col>
      <xdr:colOff>3009900</xdr:colOff>
      <xdr:row>22</xdr:row>
      <xdr:rowOff>133350</xdr:rowOff>
    </xdr:from>
    <xdr:to>
      <xdr:col>3</xdr:col>
      <xdr:colOff>3867150</xdr:colOff>
      <xdr:row>24</xdr:row>
      <xdr:rowOff>47625</xdr:rowOff>
    </xdr:to>
    <xdr:sp macro="" textlink="">
      <xdr:nvSpPr>
        <xdr:cNvPr id="11279" name="AutoShape 15"/>
        <xdr:cNvSpPr>
          <a:spLocks noChangeArrowheads="1"/>
        </xdr:cNvSpPr>
      </xdr:nvSpPr>
      <xdr:spPr bwMode="auto">
        <a:xfrm>
          <a:off x="3733800" y="3933825"/>
          <a:ext cx="85725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Southbank</a:t>
          </a:r>
        </a:p>
      </xdr:txBody>
    </xdr:sp>
    <xdr:clientData/>
  </xdr:twoCellAnchor>
  <xdr:twoCellAnchor>
    <xdr:from>
      <xdr:col>3</xdr:col>
      <xdr:colOff>1628775</xdr:colOff>
      <xdr:row>17</xdr:row>
      <xdr:rowOff>95250</xdr:rowOff>
    </xdr:from>
    <xdr:to>
      <xdr:col>3</xdr:col>
      <xdr:colOff>1924050</xdr:colOff>
      <xdr:row>19</xdr:row>
      <xdr:rowOff>57150</xdr:rowOff>
    </xdr:to>
    <xdr:sp macro="" textlink="">
      <xdr:nvSpPr>
        <xdr:cNvPr id="7849756" name="Oval 18"/>
        <xdr:cNvSpPr>
          <a:spLocks noChangeArrowheads="1"/>
        </xdr:cNvSpPr>
      </xdr:nvSpPr>
      <xdr:spPr bwMode="auto">
        <a:xfrm>
          <a:off x="2352675" y="3086100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1447800</xdr:colOff>
      <xdr:row>17</xdr:row>
      <xdr:rowOff>142875</xdr:rowOff>
    </xdr:from>
    <xdr:to>
      <xdr:col>3</xdr:col>
      <xdr:colOff>2105025</xdr:colOff>
      <xdr:row>19</xdr:row>
      <xdr:rowOff>19050</xdr:rowOff>
    </xdr:to>
    <xdr:sp macro="" textlink="">
      <xdr:nvSpPr>
        <xdr:cNvPr id="11283" name="Text Box 19"/>
        <xdr:cNvSpPr txBox="1">
          <a:spLocks noChangeArrowheads="1"/>
        </xdr:cNvSpPr>
      </xdr:nvSpPr>
      <xdr:spPr bwMode="auto">
        <a:xfrm>
          <a:off x="2171700" y="3133725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£0.1bn</a:t>
          </a:r>
        </a:p>
      </xdr:txBody>
    </xdr:sp>
    <xdr:clientData/>
  </xdr:twoCellAnchor>
  <xdr:twoCellAnchor>
    <xdr:from>
      <xdr:col>3</xdr:col>
      <xdr:colOff>3038475</xdr:colOff>
      <xdr:row>16</xdr:row>
      <xdr:rowOff>57150</xdr:rowOff>
    </xdr:from>
    <xdr:to>
      <xdr:col>3</xdr:col>
      <xdr:colOff>3333750</xdr:colOff>
      <xdr:row>18</xdr:row>
      <xdr:rowOff>19050</xdr:rowOff>
    </xdr:to>
    <xdr:sp macro="" textlink="">
      <xdr:nvSpPr>
        <xdr:cNvPr id="7849758" name="Oval 20"/>
        <xdr:cNvSpPr>
          <a:spLocks noChangeArrowheads="1"/>
        </xdr:cNvSpPr>
      </xdr:nvSpPr>
      <xdr:spPr bwMode="auto">
        <a:xfrm>
          <a:off x="3762375" y="288607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2857500</xdr:colOff>
      <xdr:row>16</xdr:row>
      <xdr:rowOff>104775</xdr:rowOff>
    </xdr:from>
    <xdr:to>
      <xdr:col>3</xdr:col>
      <xdr:colOff>3514725</xdr:colOff>
      <xdr:row>17</xdr:row>
      <xdr:rowOff>142875</xdr:rowOff>
    </xdr:to>
    <xdr:sp macro="" textlink="">
      <xdr:nvSpPr>
        <xdr:cNvPr id="11285" name="Text Box 21"/>
        <xdr:cNvSpPr txBox="1">
          <a:spLocks noChangeArrowheads="1"/>
        </xdr:cNvSpPr>
      </xdr:nvSpPr>
      <xdr:spPr bwMode="auto">
        <a:xfrm>
          <a:off x="3581400" y="293370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£0.6bn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10</xdr:row>
      <xdr:rowOff>19050</xdr:rowOff>
    </xdr:from>
    <xdr:to>
      <xdr:col>9</xdr:col>
      <xdr:colOff>1295400</xdr:colOff>
      <xdr:row>23</xdr:row>
      <xdr:rowOff>133350</xdr:rowOff>
    </xdr:to>
    <xdr:graphicFrame macro="">
      <xdr:nvGraphicFramePr>
        <xdr:cNvPr id="822623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13</xdr:col>
          <xdr:colOff>9525</xdr:colOff>
          <xdr:row>34</xdr:row>
          <xdr:rowOff>133350</xdr:rowOff>
        </xdr:to>
        <xdr:pic>
          <xdr:nvPicPr>
            <xdr:cNvPr id="8226239" name="Picture 1"/>
            <xdr:cNvPicPr>
              <a:picLocks noChangeAspect="1" noChangeArrowheads="1"/>
              <a:extLst>
                <a:ext uri="{84589F7E-364E-4C9E-8A38-B11213B215E9}">
                  <a14:cameraTool cellRange="$AC$52:$AK$59" spid="_x0000_s822663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19125" y="4610100"/>
              <a:ext cx="8734425" cy="132397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66675</xdr:rowOff>
        </xdr:from>
        <xdr:to>
          <xdr:col>13</xdr:col>
          <xdr:colOff>0</xdr:colOff>
          <xdr:row>41</xdr:row>
          <xdr:rowOff>66675</xdr:rowOff>
        </xdr:to>
        <xdr:pic>
          <xdr:nvPicPr>
            <xdr:cNvPr id="8226240" name="Picture 2"/>
            <xdr:cNvPicPr>
              <a:picLocks noChangeAspect="1" noChangeArrowheads="1"/>
              <a:extLst>
                <a:ext uri="{84589F7E-364E-4C9E-8A38-B11213B215E9}">
                  <a14:cameraTool cellRange="$AO$62:$AZ$69" spid="_x0000_s822663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09600" y="6029325"/>
              <a:ext cx="8734425" cy="10001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1771650</xdr:colOff>
      <xdr:row>10</xdr:row>
      <xdr:rowOff>19050</xdr:rowOff>
    </xdr:from>
    <xdr:to>
      <xdr:col>14</xdr:col>
      <xdr:colOff>304800</xdr:colOff>
      <xdr:row>25</xdr:row>
      <xdr:rowOff>38100</xdr:rowOff>
    </xdr:to>
    <xdr:graphicFrame macro="">
      <xdr:nvGraphicFramePr>
        <xdr:cNvPr id="822624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104775</xdr:rowOff>
    </xdr:from>
    <xdr:to>
      <xdr:col>7</xdr:col>
      <xdr:colOff>1514475</xdr:colOff>
      <xdr:row>21</xdr:row>
      <xdr:rowOff>152400</xdr:rowOff>
    </xdr:to>
    <xdr:sp macro="" textlink="$S$29">
      <xdr:nvSpPr>
        <xdr:cNvPr id="12293" name="AutoShape 5"/>
        <xdr:cNvSpPr>
          <a:spLocks noChangeArrowheads="1" noTextEdit="1"/>
        </xdr:cNvSpPr>
      </xdr:nvSpPr>
      <xdr:spPr bwMode="auto">
        <a:xfrm>
          <a:off x="5591175" y="3581400"/>
          <a:ext cx="15144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559B23" mc:Ignorable="a14" a14:legacySpreadsheetColorIndex="10"/>
        </a:solidFill>
        <a:ln w="25400">
          <a:solidFill>
            <a:srgbClr xmlns:mc="http://schemas.openxmlformats.org/markup-compatibility/2006" xmlns:a14="http://schemas.microsoft.com/office/drawing/2010/main" val="88B965" mc:Ignorable="a14" a14:legacySpreadsheetColorIndex="57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fld id="{B464B9E2-AA7A-4F23-9E66-DB11F2BFB110}" type="TxLink"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Total Value: £13.1bn</a:t>
          </a:fld>
          <a:endParaRPr lang="en-US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9525</xdr:colOff>
      <xdr:row>9</xdr:row>
      <xdr:rowOff>9525</xdr:rowOff>
    </xdr:from>
    <xdr:to>
      <xdr:col>5</xdr:col>
      <xdr:colOff>0</xdr:colOff>
      <xdr:row>10</xdr:row>
      <xdr:rowOff>57150</xdr:rowOff>
    </xdr:to>
    <xdr:grpSp>
      <xdr:nvGrpSpPr>
        <xdr:cNvPr id="8226243" name="Group 6"/>
        <xdr:cNvGrpSpPr>
          <a:grpSpLocks/>
        </xdr:cNvGrpSpPr>
      </xdr:nvGrpSpPr>
      <xdr:grpSpPr bwMode="auto">
        <a:xfrm>
          <a:off x="619125" y="1628775"/>
          <a:ext cx="4705350" cy="257175"/>
          <a:chOff x="65" y="171"/>
          <a:chExt cx="494" cy="27"/>
        </a:xfrm>
      </xdr:grpSpPr>
      <xdr:sp macro="" textlink="">
        <xdr:nvSpPr>
          <xdr:cNvPr id="12295" name="Text Box 7"/>
          <xdr:cNvSpPr txBox="1">
            <a:spLocks noChangeArrowheads="1"/>
          </xdr:cNvSpPr>
        </xdr:nvSpPr>
        <xdr:spPr bwMode="auto">
          <a:xfrm>
            <a:off x="65" y="171"/>
            <a:ext cx="492" cy="2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n-GB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Key Central London Assets</a:t>
            </a:r>
          </a:p>
        </xdr:txBody>
      </xdr:sp>
      <xdr:sp macro="" textlink="">
        <xdr:nvSpPr>
          <xdr:cNvPr id="8226259" name="Line 8"/>
          <xdr:cNvSpPr>
            <a:spLocks noChangeShapeType="1"/>
          </xdr:cNvSpPr>
        </xdr:nvSpPr>
        <xdr:spPr bwMode="auto">
          <a:xfrm>
            <a:off x="66" y="193"/>
            <a:ext cx="493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8B8D8E" mc:Ignorable="a14" a14:legacySpreadsheetColorIndex="5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 editAs="oneCell">
    <xdr:from>
      <xdr:col>1</xdr:col>
      <xdr:colOff>19050</xdr:colOff>
      <xdr:row>10</xdr:row>
      <xdr:rowOff>47625</xdr:rowOff>
    </xdr:from>
    <xdr:to>
      <xdr:col>4</xdr:col>
      <xdr:colOff>342900</xdr:colOff>
      <xdr:row>25</xdr:row>
      <xdr:rowOff>133350</xdr:rowOff>
    </xdr:to>
    <xdr:pic>
      <xdr:nvPicPr>
        <xdr:cNvPr id="8226244" name="Picture 11" descr="2011-Aug-17 Central London map (cleaning)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04" t="19572" r="3990" b="10501"/>
        <a:stretch>
          <a:fillRect/>
        </a:stretch>
      </xdr:blipFill>
      <xdr:spPr bwMode="auto">
        <a:xfrm>
          <a:off x="628650" y="1876425"/>
          <a:ext cx="4686300" cy="2543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285750</xdr:colOff>
      <xdr:row>13</xdr:row>
      <xdr:rowOff>95250</xdr:rowOff>
    </xdr:from>
    <xdr:to>
      <xdr:col>3</xdr:col>
      <xdr:colOff>981075</xdr:colOff>
      <xdr:row>15</xdr:row>
      <xdr:rowOff>9525</xdr:rowOff>
    </xdr:to>
    <xdr:sp macro="" textlink="">
      <xdr:nvSpPr>
        <xdr:cNvPr id="12300" name="AutoShape 12"/>
        <xdr:cNvSpPr>
          <a:spLocks noChangeArrowheads="1"/>
        </xdr:cNvSpPr>
      </xdr:nvSpPr>
      <xdr:spPr bwMode="auto">
        <a:xfrm>
          <a:off x="1009650" y="2438400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3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West End</a:t>
          </a:r>
        </a:p>
      </xdr:txBody>
    </xdr:sp>
    <xdr:clientData/>
  </xdr:twoCellAnchor>
  <xdr:twoCellAnchor>
    <xdr:from>
      <xdr:col>3</xdr:col>
      <xdr:colOff>3152775</xdr:colOff>
      <xdr:row>10</xdr:row>
      <xdr:rowOff>180975</xdr:rowOff>
    </xdr:from>
    <xdr:to>
      <xdr:col>3</xdr:col>
      <xdr:colOff>3848100</xdr:colOff>
      <xdr:row>12</xdr:row>
      <xdr:rowOff>66675</xdr:rowOff>
    </xdr:to>
    <xdr:sp macro="" textlink="">
      <xdr:nvSpPr>
        <xdr:cNvPr id="12301" name="AutoShape 13"/>
        <xdr:cNvSpPr>
          <a:spLocks noChangeArrowheads="1"/>
        </xdr:cNvSpPr>
      </xdr:nvSpPr>
      <xdr:spPr bwMode="auto">
        <a:xfrm>
          <a:off x="3876675" y="2009775"/>
          <a:ext cx="695325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Midtown</a:t>
          </a:r>
        </a:p>
      </xdr:txBody>
    </xdr:sp>
    <xdr:clientData/>
  </xdr:twoCellAnchor>
  <xdr:twoCellAnchor>
    <xdr:from>
      <xdr:col>3</xdr:col>
      <xdr:colOff>3905250</xdr:colOff>
      <xdr:row>16</xdr:row>
      <xdr:rowOff>0</xdr:rowOff>
    </xdr:from>
    <xdr:to>
      <xdr:col>4</xdr:col>
      <xdr:colOff>114300</xdr:colOff>
      <xdr:row>17</xdr:row>
      <xdr:rowOff>76200</xdr:rowOff>
    </xdr:to>
    <xdr:sp macro="" textlink="">
      <xdr:nvSpPr>
        <xdr:cNvPr id="12302" name="AutoShape 14"/>
        <xdr:cNvSpPr>
          <a:spLocks noChangeArrowheads="1"/>
        </xdr:cNvSpPr>
      </xdr:nvSpPr>
      <xdr:spPr bwMode="auto">
        <a:xfrm>
          <a:off x="4629150" y="2828925"/>
          <a:ext cx="4572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City</a:t>
          </a:r>
        </a:p>
      </xdr:txBody>
    </xdr:sp>
    <xdr:clientData/>
  </xdr:twoCellAnchor>
  <xdr:twoCellAnchor>
    <xdr:from>
      <xdr:col>3</xdr:col>
      <xdr:colOff>3009900</xdr:colOff>
      <xdr:row>22</xdr:row>
      <xdr:rowOff>133350</xdr:rowOff>
    </xdr:from>
    <xdr:to>
      <xdr:col>3</xdr:col>
      <xdr:colOff>3867150</xdr:colOff>
      <xdr:row>24</xdr:row>
      <xdr:rowOff>47625</xdr:rowOff>
    </xdr:to>
    <xdr:sp macro="" textlink="">
      <xdr:nvSpPr>
        <xdr:cNvPr id="12303" name="AutoShape 15"/>
        <xdr:cNvSpPr>
          <a:spLocks noChangeArrowheads="1"/>
        </xdr:cNvSpPr>
      </xdr:nvSpPr>
      <xdr:spPr bwMode="auto">
        <a:xfrm>
          <a:off x="3733800" y="3933825"/>
          <a:ext cx="85725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Southbank</a:t>
          </a:r>
        </a:p>
      </xdr:txBody>
    </xdr:sp>
    <xdr:clientData/>
  </xdr:twoCellAnchor>
  <xdr:twoCellAnchor>
    <xdr:from>
      <xdr:col>3</xdr:col>
      <xdr:colOff>2505075</xdr:colOff>
      <xdr:row>15</xdr:row>
      <xdr:rowOff>104775</xdr:rowOff>
    </xdr:from>
    <xdr:to>
      <xdr:col>3</xdr:col>
      <xdr:colOff>2800350</xdr:colOff>
      <xdr:row>17</xdr:row>
      <xdr:rowOff>66675</xdr:rowOff>
    </xdr:to>
    <xdr:sp macro="" textlink="">
      <xdr:nvSpPr>
        <xdr:cNvPr id="8226249" name="Oval 16"/>
        <xdr:cNvSpPr>
          <a:spLocks noChangeArrowheads="1"/>
        </xdr:cNvSpPr>
      </xdr:nvSpPr>
      <xdr:spPr bwMode="auto">
        <a:xfrm>
          <a:off x="3228975" y="277177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2324100</xdr:colOff>
      <xdr:row>15</xdr:row>
      <xdr:rowOff>152400</xdr:rowOff>
    </xdr:from>
    <xdr:to>
      <xdr:col>3</xdr:col>
      <xdr:colOff>2981325</xdr:colOff>
      <xdr:row>17</xdr:row>
      <xdr:rowOff>28575</xdr:rowOff>
    </xdr:to>
    <xdr:sp macro="" textlink="">
      <xdr:nvSpPr>
        <xdr:cNvPr id="12305" name="Text Box 17"/>
        <xdr:cNvSpPr txBox="1">
          <a:spLocks noChangeArrowheads="1"/>
        </xdr:cNvSpPr>
      </xdr:nvSpPr>
      <xdr:spPr bwMode="auto">
        <a:xfrm>
          <a:off x="3048000" y="281940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£1.3bn</a:t>
          </a:r>
        </a:p>
      </xdr:txBody>
    </xdr:sp>
    <xdr:clientData/>
  </xdr:twoCellAnchor>
  <xdr:twoCellAnchor>
    <xdr:from>
      <xdr:col>3</xdr:col>
      <xdr:colOff>1695450</xdr:colOff>
      <xdr:row>21</xdr:row>
      <xdr:rowOff>66675</xdr:rowOff>
    </xdr:from>
    <xdr:to>
      <xdr:col>3</xdr:col>
      <xdr:colOff>1990725</xdr:colOff>
      <xdr:row>23</xdr:row>
      <xdr:rowOff>28575</xdr:rowOff>
    </xdr:to>
    <xdr:sp macro="" textlink="">
      <xdr:nvSpPr>
        <xdr:cNvPr id="8226251" name="Oval 18"/>
        <xdr:cNvSpPr>
          <a:spLocks noChangeArrowheads="1"/>
        </xdr:cNvSpPr>
      </xdr:nvSpPr>
      <xdr:spPr bwMode="auto">
        <a:xfrm>
          <a:off x="2419350" y="370522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1514475</xdr:colOff>
      <xdr:row>21</xdr:row>
      <xdr:rowOff>114300</xdr:rowOff>
    </xdr:from>
    <xdr:to>
      <xdr:col>3</xdr:col>
      <xdr:colOff>2171700</xdr:colOff>
      <xdr:row>22</xdr:row>
      <xdr:rowOff>152400</xdr:rowOff>
    </xdr:to>
    <xdr:sp macro="" textlink="">
      <xdr:nvSpPr>
        <xdr:cNvPr id="12307" name="Text Box 19"/>
        <xdr:cNvSpPr txBox="1">
          <a:spLocks noChangeArrowheads="1"/>
        </xdr:cNvSpPr>
      </xdr:nvSpPr>
      <xdr:spPr bwMode="auto">
        <a:xfrm>
          <a:off x="2238375" y="375285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£2.6bn</a:t>
          </a:r>
        </a:p>
      </xdr:txBody>
    </xdr:sp>
    <xdr:clientData/>
  </xdr:twoCellAnchor>
  <xdr:twoCellAnchor>
    <xdr:from>
      <xdr:col>3</xdr:col>
      <xdr:colOff>3124200</xdr:colOff>
      <xdr:row>19</xdr:row>
      <xdr:rowOff>66675</xdr:rowOff>
    </xdr:from>
    <xdr:to>
      <xdr:col>3</xdr:col>
      <xdr:colOff>3419475</xdr:colOff>
      <xdr:row>21</xdr:row>
      <xdr:rowOff>28575</xdr:rowOff>
    </xdr:to>
    <xdr:sp macro="" textlink="">
      <xdr:nvSpPr>
        <xdr:cNvPr id="8226253" name="Oval 20"/>
        <xdr:cNvSpPr>
          <a:spLocks noChangeArrowheads="1"/>
        </xdr:cNvSpPr>
      </xdr:nvSpPr>
      <xdr:spPr bwMode="auto">
        <a:xfrm>
          <a:off x="3848100" y="338137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2943225</xdr:colOff>
      <xdr:row>19</xdr:row>
      <xdr:rowOff>114300</xdr:rowOff>
    </xdr:from>
    <xdr:to>
      <xdr:col>3</xdr:col>
      <xdr:colOff>3600450</xdr:colOff>
      <xdr:row>20</xdr:row>
      <xdr:rowOff>152400</xdr:rowOff>
    </xdr:to>
    <xdr:sp macro="" textlink="">
      <xdr:nvSpPr>
        <xdr:cNvPr id="12309" name="Text Box 21"/>
        <xdr:cNvSpPr txBox="1">
          <a:spLocks noChangeArrowheads="1"/>
        </xdr:cNvSpPr>
      </xdr:nvSpPr>
      <xdr:spPr bwMode="auto">
        <a:xfrm>
          <a:off x="3667125" y="342900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£0.3bn</a:t>
          </a:r>
        </a:p>
      </xdr:txBody>
    </xdr:sp>
    <xdr:clientData/>
  </xdr:twoCellAnchor>
  <xdr:twoCellAnchor>
    <xdr:from>
      <xdr:col>3</xdr:col>
      <xdr:colOff>3267075</xdr:colOff>
      <xdr:row>15</xdr:row>
      <xdr:rowOff>142875</xdr:rowOff>
    </xdr:from>
    <xdr:to>
      <xdr:col>3</xdr:col>
      <xdr:colOff>3562350</xdr:colOff>
      <xdr:row>17</xdr:row>
      <xdr:rowOff>104775</xdr:rowOff>
    </xdr:to>
    <xdr:sp macro="" textlink="">
      <xdr:nvSpPr>
        <xdr:cNvPr id="8226255" name="Oval 22"/>
        <xdr:cNvSpPr>
          <a:spLocks noChangeArrowheads="1"/>
        </xdr:cNvSpPr>
      </xdr:nvSpPr>
      <xdr:spPr bwMode="auto">
        <a:xfrm>
          <a:off x="3990975" y="280987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3086100</xdr:colOff>
      <xdr:row>16</xdr:row>
      <xdr:rowOff>28575</xdr:rowOff>
    </xdr:from>
    <xdr:to>
      <xdr:col>3</xdr:col>
      <xdr:colOff>3743325</xdr:colOff>
      <xdr:row>17</xdr:row>
      <xdr:rowOff>66675</xdr:rowOff>
    </xdr:to>
    <xdr:sp macro="" textlink="">
      <xdr:nvSpPr>
        <xdr:cNvPr id="12311" name="Text Box 23"/>
        <xdr:cNvSpPr txBox="1">
          <a:spLocks noChangeArrowheads="1"/>
        </xdr:cNvSpPr>
      </xdr:nvSpPr>
      <xdr:spPr bwMode="auto">
        <a:xfrm>
          <a:off x="3810000" y="2857500"/>
          <a:ext cx="657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£1.6bn</a:t>
          </a:r>
        </a:p>
      </xdr:txBody>
    </xdr:sp>
    <xdr:clientData/>
  </xdr:twoCellAnchor>
  <xdr:twoCellAnchor>
    <xdr:from>
      <xdr:col>15</xdr:col>
      <xdr:colOff>190500</xdr:colOff>
      <xdr:row>6</xdr:row>
      <xdr:rowOff>57150</xdr:rowOff>
    </xdr:from>
    <xdr:to>
      <xdr:col>17</xdr:col>
      <xdr:colOff>723900</xdr:colOff>
      <xdr:row>7</xdr:row>
      <xdr:rowOff>371475</xdr:rowOff>
    </xdr:to>
    <xdr:sp macro="" textlink="">
      <xdr:nvSpPr>
        <xdr:cNvPr id="2" name="TextBox 1"/>
        <xdr:cNvSpPr txBox="1"/>
      </xdr:nvSpPr>
      <xdr:spPr>
        <a:xfrm>
          <a:off x="10182225" y="904875"/>
          <a:ext cx="1752600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OC Checked</a:t>
          </a:r>
          <a:r>
            <a:rPr lang="en-US" sz="1100" baseline="0"/>
            <a:t> - send to company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13</xdr:col>
          <xdr:colOff>19050</xdr:colOff>
          <xdr:row>34</xdr:row>
          <xdr:rowOff>142875</xdr:rowOff>
        </xdr:to>
        <xdr:pic>
          <xdr:nvPicPr>
            <xdr:cNvPr id="8342736" name="Picture 1"/>
            <xdr:cNvPicPr>
              <a:picLocks noChangeAspect="1" noChangeArrowheads="1"/>
              <a:extLst>
                <a:ext uri="{84589F7E-364E-4C9E-8A38-B11213B215E9}">
                  <a14:cameraTool cellRange="$AC$52:$AK$59" spid="_x0000_s8343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9125" y="4610100"/>
              <a:ext cx="8743950" cy="1333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66675</xdr:rowOff>
        </xdr:from>
        <xdr:to>
          <xdr:col>13</xdr:col>
          <xdr:colOff>9525</xdr:colOff>
          <xdr:row>41</xdr:row>
          <xdr:rowOff>76200</xdr:rowOff>
        </xdr:to>
        <xdr:pic>
          <xdr:nvPicPr>
            <xdr:cNvPr id="8342737" name="Picture 2"/>
            <xdr:cNvPicPr>
              <a:picLocks noChangeAspect="1" noChangeArrowheads="1"/>
              <a:extLst>
                <a:ext uri="{84589F7E-364E-4C9E-8A38-B11213B215E9}">
                  <a14:cameraTool cellRange="$AO$62:$AZ$69" spid="_x0000_s834310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09600" y="6029325"/>
              <a:ext cx="8743950" cy="1009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1771650</xdr:colOff>
      <xdr:row>10</xdr:row>
      <xdr:rowOff>19050</xdr:rowOff>
    </xdr:from>
    <xdr:to>
      <xdr:col>14</xdr:col>
      <xdr:colOff>304800</xdr:colOff>
      <xdr:row>25</xdr:row>
      <xdr:rowOff>38100</xdr:rowOff>
    </xdr:to>
    <xdr:graphicFrame macro="">
      <xdr:nvGraphicFramePr>
        <xdr:cNvPr id="834273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304800</xdr:colOff>
      <xdr:row>10</xdr:row>
      <xdr:rowOff>19050</xdr:rowOff>
    </xdr:from>
    <xdr:to>
      <xdr:col>9</xdr:col>
      <xdr:colOff>1295400</xdr:colOff>
      <xdr:row>23</xdr:row>
      <xdr:rowOff>133350</xdr:rowOff>
    </xdr:to>
    <xdr:graphicFrame macro="">
      <xdr:nvGraphicFramePr>
        <xdr:cNvPr id="834273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104775</xdr:rowOff>
    </xdr:from>
    <xdr:to>
      <xdr:col>7</xdr:col>
      <xdr:colOff>1514475</xdr:colOff>
      <xdr:row>21</xdr:row>
      <xdr:rowOff>152400</xdr:rowOff>
    </xdr:to>
    <xdr:sp macro="" textlink="$S$29">
      <xdr:nvSpPr>
        <xdr:cNvPr id="13317" name="AutoShape 5"/>
        <xdr:cNvSpPr>
          <a:spLocks noChangeArrowheads="1" noTextEdit="1"/>
        </xdr:cNvSpPr>
      </xdr:nvSpPr>
      <xdr:spPr bwMode="auto">
        <a:xfrm>
          <a:off x="5591175" y="3581400"/>
          <a:ext cx="15144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559B23" mc:Ignorable="a14" a14:legacySpreadsheetColorIndex="10"/>
        </a:solidFill>
        <a:ln w="25400">
          <a:solidFill>
            <a:srgbClr xmlns:mc="http://schemas.openxmlformats.org/markup-compatibility/2006" xmlns:a14="http://schemas.microsoft.com/office/drawing/2010/main" val="88B965" mc:Ignorable="a14" a14:legacySpreadsheetColorIndex="57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fld id="{3BE3A46C-DC17-42FE-8A79-9D360396093D}" type="TxLink"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#N/A</a:t>
          </a:fld>
          <a:endParaRPr lang="en-US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9525</xdr:colOff>
      <xdr:row>9</xdr:row>
      <xdr:rowOff>9525</xdr:rowOff>
    </xdr:from>
    <xdr:to>
      <xdr:col>5</xdr:col>
      <xdr:colOff>0</xdr:colOff>
      <xdr:row>10</xdr:row>
      <xdr:rowOff>57150</xdr:rowOff>
    </xdr:to>
    <xdr:grpSp>
      <xdr:nvGrpSpPr>
        <xdr:cNvPr id="8342741" name="Group 6"/>
        <xdr:cNvGrpSpPr>
          <a:grpSpLocks/>
        </xdr:cNvGrpSpPr>
      </xdr:nvGrpSpPr>
      <xdr:grpSpPr bwMode="auto">
        <a:xfrm>
          <a:off x="619125" y="1628775"/>
          <a:ext cx="4705350" cy="257175"/>
          <a:chOff x="65" y="171"/>
          <a:chExt cx="494" cy="27"/>
        </a:xfrm>
      </xdr:grpSpPr>
      <xdr:sp macro="" textlink="">
        <xdr:nvSpPr>
          <xdr:cNvPr id="13319" name="Text Box 7"/>
          <xdr:cNvSpPr txBox="1">
            <a:spLocks noChangeArrowheads="1"/>
          </xdr:cNvSpPr>
        </xdr:nvSpPr>
        <xdr:spPr bwMode="auto">
          <a:xfrm>
            <a:off x="65" y="171"/>
            <a:ext cx="492" cy="2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n-GB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Key Central London Assets</a:t>
            </a:r>
          </a:p>
        </xdr:txBody>
      </xdr:sp>
      <xdr:sp macro="" textlink="">
        <xdr:nvSpPr>
          <xdr:cNvPr id="8342751" name="Line 8"/>
          <xdr:cNvSpPr>
            <a:spLocks noChangeShapeType="1"/>
          </xdr:cNvSpPr>
        </xdr:nvSpPr>
        <xdr:spPr bwMode="auto">
          <a:xfrm>
            <a:off x="66" y="193"/>
            <a:ext cx="493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8B8D8E" mc:Ignorable="a14" a14:legacySpreadsheetColorIndex="5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</xdr:col>
      <xdr:colOff>276225</xdr:colOff>
      <xdr:row>51</xdr:row>
      <xdr:rowOff>95250</xdr:rowOff>
    </xdr:from>
    <xdr:to>
      <xdr:col>11</xdr:col>
      <xdr:colOff>19050</xdr:colOff>
      <xdr:row>54</xdr:row>
      <xdr:rowOff>114300</xdr:rowOff>
    </xdr:to>
    <xdr:sp macro="" textlink="">
      <xdr:nvSpPr>
        <xdr:cNvPr id="13336" name="Text Box 24"/>
        <xdr:cNvSpPr txBox="1">
          <a:spLocks noChangeArrowheads="1"/>
        </xdr:cNvSpPr>
      </xdr:nvSpPr>
      <xdr:spPr bwMode="auto">
        <a:xfrm>
          <a:off x="5867400" y="8791575"/>
          <a:ext cx="3381375" cy="514350"/>
        </a:xfrm>
        <a:prstGeom prst="rect">
          <a:avLst/>
        </a:prstGeom>
        <a:solidFill>
          <a:srgbClr val="9999FF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SB, 13-Sep-11</a:t>
          </a:r>
          <a:r>
            <a:rPr lang="en-GB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: The %'s in the total line of the Developments table are taken from the AssetData_Developments tab rather than being calculated in this tab.</a:t>
          </a:r>
        </a:p>
      </xdr:txBody>
    </xdr:sp>
    <xdr:clientData/>
  </xdr:twoCellAnchor>
  <xdr:twoCellAnchor>
    <xdr:from>
      <xdr:col>1</xdr:col>
      <xdr:colOff>9525</xdr:colOff>
      <xdr:row>10</xdr:row>
      <xdr:rowOff>47625</xdr:rowOff>
    </xdr:from>
    <xdr:to>
      <xdr:col>4</xdr:col>
      <xdr:colOff>342900</xdr:colOff>
      <xdr:row>25</xdr:row>
      <xdr:rowOff>152400</xdr:rowOff>
    </xdr:to>
    <xdr:grpSp>
      <xdr:nvGrpSpPr>
        <xdr:cNvPr id="8342743" name="Group 25"/>
        <xdr:cNvGrpSpPr>
          <a:grpSpLocks/>
        </xdr:cNvGrpSpPr>
      </xdr:nvGrpSpPr>
      <xdr:grpSpPr bwMode="auto">
        <a:xfrm>
          <a:off x="619125" y="1876425"/>
          <a:ext cx="4695825" cy="2562225"/>
          <a:chOff x="65" y="197"/>
          <a:chExt cx="493" cy="269"/>
        </a:xfrm>
      </xdr:grpSpPr>
      <xdr:pic>
        <xdr:nvPicPr>
          <xdr:cNvPr id="8342744" name="Picture 26"/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949" t="365" r="7692" b="1459"/>
          <a:stretch>
            <a:fillRect/>
          </a:stretch>
        </xdr:blipFill>
        <xdr:spPr bwMode="auto">
          <a:xfrm>
            <a:off x="65" y="197"/>
            <a:ext cx="493" cy="26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13339" name="AutoShape 27"/>
          <xdr:cNvSpPr>
            <a:spLocks noChangeArrowheads="1"/>
          </xdr:cNvSpPr>
        </xdr:nvSpPr>
        <xdr:spPr bwMode="auto">
          <a:xfrm>
            <a:off x="68" y="337"/>
            <a:ext cx="73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West End</a:t>
            </a:r>
          </a:p>
        </xdr:txBody>
      </xdr:sp>
      <xdr:sp macro="" textlink="">
        <xdr:nvSpPr>
          <xdr:cNvPr id="13340" name="AutoShape 28"/>
          <xdr:cNvSpPr>
            <a:spLocks noChangeArrowheads="1"/>
          </xdr:cNvSpPr>
        </xdr:nvSpPr>
        <xdr:spPr bwMode="auto">
          <a:xfrm>
            <a:off x="244" y="209"/>
            <a:ext cx="73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Midtown</a:t>
            </a:r>
          </a:p>
        </xdr:txBody>
      </xdr:sp>
      <xdr:sp macro="" textlink="">
        <xdr:nvSpPr>
          <xdr:cNvPr id="13341" name="AutoShape 29"/>
          <xdr:cNvSpPr>
            <a:spLocks noChangeArrowheads="1"/>
          </xdr:cNvSpPr>
        </xdr:nvSpPr>
        <xdr:spPr bwMode="auto">
          <a:xfrm>
            <a:off x="363" y="296"/>
            <a:ext cx="48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City</a:t>
            </a:r>
          </a:p>
        </xdr:txBody>
      </xdr:sp>
      <xdr:sp macro="" textlink="">
        <xdr:nvSpPr>
          <xdr:cNvPr id="13342" name="AutoShape 30"/>
          <xdr:cNvSpPr>
            <a:spLocks noChangeArrowheads="1"/>
          </xdr:cNvSpPr>
        </xdr:nvSpPr>
        <xdr:spPr bwMode="auto">
          <a:xfrm>
            <a:off x="264" y="410"/>
            <a:ext cx="90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Southbank</a:t>
            </a:r>
          </a:p>
        </xdr:txBody>
      </xdr:sp>
      <xdr:sp macro="" textlink="">
        <xdr:nvSpPr>
          <xdr:cNvPr id="13343" name="AutoShape 31"/>
          <xdr:cNvSpPr>
            <a:spLocks noChangeArrowheads="1"/>
          </xdr:cNvSpPr>
        </xdr:nvSpPr>
        <xdr:spPr bwMode="auto">
          <a:xfrm>
            <a:off x="458" y="329"/>
            <a:ext cx="100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Canary Wharf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200025</xdr:colOff>
      <xdr:row>14</xdr:row>
      <xdr:rowOff>0</xdr:rowOff>
    </xdr:from>
    <xdr:to>
      <xdr:col>13</xdr:col>
      <xdr:colOff>561975</xdr:colOff>
      <xdr:row>35</xdr:row>
      <xdr:rowOff>9525</xdr:rowOff>
    </xdr:to>
    <xdr:sp macro="" textlink="">
      <xdr:nvSpPr>
        <xdr:cNvPr id="2" name="Right Brace 1"/>
        <xdr:cNvSpPr/>
      </xdr:nvSpPr>
      <xdr:spPr>
        <a:xfrm>
          <a:off x="10839450" y="2276475"/>
          <a:ext cx="361950" cy="34099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16</xdr:col>
      <xdr:colOff>209550</xdr:colOff>
      <xdr:row>38</xdr:row>
      <xdr:rowOff>95250</xdr:rowOff>
    </xdr:from>
    <xdr:to>
      <xdr:col>16</xdr:col>
      <xdr:colOff>571500</xdr:colOff>
      <xdr:row>46</xdr:row>
      <xdr:rowOff>66675</xdr:rowOff>
    </xdr:to>
    <xdr:sp macro="" textlink="">
      <xdr:nvSpPr>
        <xdr:cNvPr id="3" name="Right Brace 2"/>
        <xdr:cNvSpPr/>
      </xdr:nvSpPr>
      <xdr:spPr>
        <a:xfrm>
          <a:off x="12677775" y="6257925"/>
          <a:ext cx="361950" cy="12668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866775</xdr:colOff>
      <xdr:row>0</xdr:row>
      <xdr:rowOff>123825</xdr:rowOff>
    </xdr:from>
    <xdr:to>
      <xdr:col>9</xdr:col>
      <xdr:colOff>514350</xdr:colOff>
      <xdr:row>4</xdr:row>
      <xdr:rowOff>19050</xdr:rowOff>
    </xdr:to>
    <xdr:sp macro="" textlink="">
      <xdr:nvSpPr>
        <xdr:cNvPr id="6146" name="Text Box 1026"/>
        <xdr:cNvSpPr txBox="1">
          <a:spLocks noChangeArrowheads="1"/>
        </xdr:cNvSpPr>
      </xdr:nvSpPr>
      <xdr:spPr bwMode="auto">
        <a:xfrm>
          <a:off x="4648200" y="123825"/>
          <a:ext cx="3419475" cy="552450"/>
        </a:xfrm>
        <a:prstGeom prst="rect">
          <a:avLst/>
        </a:prstGeom>
        <a:solidFill>
          <a:srgbClr val="9999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SB, 19-Aug-11:</a:t>
          </a: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The other column is calculated from the total and the 3 key main assets. Data for the "Total" rows is from the PortfolioData tab.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0</xdr:row>
      <xdr:rowOff>133350</xdr:rowOff>
    </xdr:from>
    <xdr:to>
      <xdr:col>10</xdr:col>
      <xdr:colOff>28575</xdr:colOff>
      <xdr:row>8</xdr:row>
      <xdr:rowOff>152400</xdr:rowOff>
    </xdr:to>
    <xdr:sp macro="" textlink="">
      <xdr:nvSpPr>
        <xdr:cNvPr id="7169" name="Text Box 1"/>
        <xdr:cNvSpPr txBox="1">
          <a:spLocks noChangeArrowheads="1"/>
        </xdr:cNvSpPr>
      </xdr:nvSpPr>
      <xdr:spPr bwMode="auto">
        <a:xfrm>
          <a:off x="3762375" y="133350"/>
          <a:ext cx="5305425" cy="1323975"/>
        </a:xfrm>
        <a:prstGeom prst="rect">
          <a:avLst/>
        </a:prstGeom>
        <a:solidFill>
          <a:srgbClr val="66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SB, 16-Aug-11:</a:t>
          </a: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All data is manual </a:t>
          </a: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except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data for "Other" for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Projected Cost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Size ('000 sf)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Rent (£m)</a:t>
          </a: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 calculated from the Total and individual asset rows.</a:t>
          </a: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Averages are weighted by sq ft.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161925</xdr:rowOff>
        </xdr:from>
        <xdr:to>
          <xdr:col>13</xdr:col>
          <xdr:colOff>19050</xdr:colOff>
          <xdr:row>34</xdr:row>
          <xdr:rowOff>142875</xdr:rowOff>
        </xdr:to>
        <xdr:pic>
          <xdr:nvPicPr>
            <xdr:cNvPr id="8100492" name="Picture 1"/>
            <xdr:cNvPicPr>
              <a:picLocks noChangeAspect="1" noChangeArrowheads="1"/>
              <a:extLst>
                <a:ext uri="{84589F7E-364E-4C9E-8A38-B11213B215E9}">
                  <a14:cameraTool cellRange="$AC$52:$AK$59" spid="_x0000_s85903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9125" y="4610100"/>
              <a:ext cx="8743950" cy="13335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66675</xdr:rowOff>
        </xdr:from>
        <xdr:to>
          <xdr:col>13</xdr:col>
          <xdr:colOff>9525</xdr:colOff>
          <xdr:row>41</xdr:row>
          <xdr:rowOff>76200</xdr:rowOff>
        </xdr:to>
        <xdr:pic>
          <xdr:nvPicPr>
            <xdr:cNvPr id="8100493" name="Picture 2"/>
            <xdr:cNvPicPr>
              <a:picLocks noChangeAspect="1" noChangeArrowheads="1"/>
              <a:extLst>
                <a:ext uri="{84589F7E-364E-4C9E-8A38-B11213B215E9}">
                  <a14:cameraTool cellRange="$AO$62:$AZ$69" spid="_x0000_s859036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09600" y="6029325"/>
              <a:ext cx="8743950" cy="1009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1771650</xdr:colOff>
      <xdr:row>10</xdr:row>
      <xdr:rowOff>19050</xdr:rowOff>
    </xdr:from>
    <xdr:to>
      <xdr:col>14</xdr:col>
      <xdr:colOff>304800</xdr:colOff>
      <xdr:row>25</xdr:row>
      <xdr:rowOff>38100</xdr:rowOff>
    </xdr:to>
    <xdr:graphicFrame macro="">
      <xdr:nvGraphicFramePr>
        <xdr:cNvPr id="8100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304800</xdr:colOff>
      <xdr:row>10</xdr:row>
      <xdr:rowOff>19050</xdr:rowOff>
    </xdr:from>
    <xdr:to>
      <xdr:col>9</xdr:col>
      <xdr:colOff>1295400</xdr:colOff>
      <xdr:row>23</xdr:row>
      <xdr:rowOff>133350</xdr:rowOff>
    </xdr:to>
    <xdr:graphicFrame macro="">
      <xdr:nvGraphicFramePr>
        <xdr:cNvPr id="810049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104775</xdr:rowOff>
    </xdr:from>
    <xdr:to>
      <xdr:col>7</xdr:col>
      <xdr:colOff>1514475</xdr:colOff>
      <xdr:row>21</xdr:row>
      <xdr:rowOff>152400</xdr:rowOff>
    </xdr:to>
    <xdr:sp macro="" textlink="$S$29">
      <xdr:nvSpPr>
        <xdr:cNvPr id="14341" name="AutoShape 5"/>
        <xdr:cNvSpPr>
          <a:spLocks noChangeArrowheads="1" noTextEdit="1"/>
        </xdr:cNvSpPr>
      </xdr:nvSpPr>
      <xdr:spPr bwMode="auto">
        <a:xfrm>
          <a:off x="5591175" y="3581400"/>
          <a:ext cx="1514475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559B23" mc:Ignorable="a14" a14:legacySpreadsheetColorIndex="10"/>
        </a:solidFill>
        <a:ln w="25400">
          <a:solidFill>
            <a:srgbClr xmlns:mc="http://schemas.openxmlformats.org/markup-compatibility/2006" xmlns:a14="http://schemas.microsoft.com/office/drawing/2010/main" val="88B965" mc:Ignorable="a14" a14:legacySpreadsheetColorIndex="57"/>
          </a:solidFill>
          <a:round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fld id="{2035F8A1-429D-4CFE-8D55-D2B09413B7FF}" type="TxLink"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#N/A</a:t>
          </a:fld>
          <a:endParaRPr lang="en-US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9525</xdr:colOff>
      <xdr:row>9</xdr:row>
      <xdr:rowOff>9525</xdr:rowOff>
    </xdr:from>
    <xdr:to>
      <xdr:col>5</xdr:col>
      <xdr:colOff>0</xdr:colOff>
      <xdr:row>10</xdr:row>
      <xdr:rowOff>57150</xdr:rowOff>
    </xdr:to>
    <xdr:grpSp>
      <xdr:nvGrpSpPr>
        <xdr:cNvPr id="8100497" name="Group 6"/>
        <xdr:cNvGrpSpPr>
          <a:grpSpLocks/>
        </xdr:cNvGrpSpPr>
      </xdr:nvGrpSpPr>
      <xdr:grpSpPr bwMode="auto">
        <a:xfrm>
          <a:off x="619125" y="1628775"/>
          <a:ext cx="4705350" cy="257175"/>
          <a:chOff x="65" y="171"/>
          <a:chExt cx="494" cy="27"/>
        </a:xfrm>
      </xdr:grpSpPr>
      <xdr:sp macro="" textlink="">
        <xdr:nvSpPr>
          <xdr:cNvPr id="14343" name="Text Box 7"/>
          <xdr:cNvSpPr txBox="1">
            <a:spLocks noChangeArrowheads="1"/>
          </xdr:cNvSpPr>
        </xdr:nvSpPr>
        <xdr:spPr bwMode="auto">
          <a:xfrm>
            <a:off x="65" y="171"/>
            <a:ext cx="492" cy="2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0" anchor="t" upright="1"/>
          <a:lstStyle/>
          <a:p>
            <a:pPr algn="l" rtl="0">
              <a:defRPr sz="1000"/>
            </a:pPr>
            <a:r>
              <a:rPr lang="en-GB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Key Central London Assets</a:t>
            </a:r>
          </a:p>
        </xdr:txBody>
      </xdr:sp>
      <xdr:sp macro="" textlink="">
        <xdr:nvSpPr>
          <xdr:cNvPr id="8100513" name="Line 8"/>
          <xdr:cNvSpPr>
            <a:spLocks noChangeShapeType="1"/>
          </xdr:cNvSpPr>
        </xdr:nvSpPr>
        <xdr:spPr bwMode="auto">
          <a:xfrm>
            <a:off x="66" y="193"/>
            <a:ext cx="493" cy="0"/>
          </a:xfrm>
          <a:prstGeom prst="line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8B8D8E" mc:Ignorable="a14" a14:legacySpreadsheetColorIndex="5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</xdr:col>
      <xdr:colOff>276225</xdr:colOff>
      <xdr:row>51</xdr:row>
      <xdr:rowOff>95250</xdr:rowOff>
    </xdr:from>
    <xdr:to>
      <xdr:col>11</xdr:col>
      <xdr:colOff>19050</xdr:colOff>
      <xdr:row>54</xdr:row>
      <xdr:rowOff>114300</xdr:rowOff>
    </xdr:to>
    <xdr:sp macro="" textlink="">
      <xdr:nvSpPr>
        <xdr:cNvPr id="14347" name="Text Box 11"/>
        <xdr:cNvSpPr txBox="1">
          <a:spLocks noChangeArrowheads="1"/>
        </xdr:cNvSpPr>
      </xdr:nvSpPr>
      <xdr:spPr bwMode="auto">
        <a:xfrm>
          <a:off x="5867400" y="8791575"/>
          <a:ext cx="3381375" cy="514350"/>
        </a:xfrm>
        <a:prstGeom prst="rect">
          <a:avLst/>
        </a:prstGeom>
        <a:solidFill>
          <a:srgbClr val="9999FF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SB, 13-Sep-11</a:t>
          </a:r>
          <a:r>
            <a:rPr lang="en-GB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: The %'s in the total line of the Developments table are taken from the AssetData_Developments tab rather than being calculated in this tab.</a:t>
          </a:r>
        </a:p>
      </xdr:txBody>
    </xdr:sp>
    <xdr:clientData/>
  </xdr:twoCellAnchor>
  <xdr:twoCellAnchor>
    <xdr:from>
      <xdr:col>1</xdr:col>
      <xdr:colOff>9525</xdr:colOff>
      <xdr:row>10</xdr:row>
      <xdr:rowOff>47625</xdr:rowOff>
    </xdr:from>
    <xdr:to>
      <xdr:col>4</xdr:col>
      <xdr:colOff>342900</xdr:colOff>
      <xdr:row>25</xdr:row>
      <xdr:rowOff>152400</xdr:rowOff>
    </xdr:to>
    <xdr:grpSp>
      <xdr:nvGrpSpPr>
        <xdr:cNvPr id="8100499" name="Group 12"/>
        <xdr:cNvGrpSpPr>
          <a:grpSpLocks/>
        </xdr:cNvGrpSpPr>
      </xdr:nvGrpSpPr>
      <xdr:grpSpPr bwMode="auto">
        <a:xfrm>
          <a:off x="619125" y="1876425"/>
          <a:ext cx="4695825" cy="2562225"/>
          <a:chOff x="65" y="197"/>
          <a:chExt cx="493" cy="269"/>
        </a:xfrm>
      </xdr:grpSpPr>
      <xdr:pic>
        <xdr:nvPicPr>
          <xdr:cNvPr id="8100506" name="Picture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949" t="365" r="7692" b="1459"/>
          <a:stretch>
            <a:fillRect/>
          </a:stretch>
        </xdr:blipFill>
        <xdr:spPr bwMode="auto">
          <a:xfrm>
            <a:off x="65" y="197"/>
            <a:ext cx="493" cy="26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14350" name="AutoShape 14"/>
          <xdr:cNvSpPr>
            <a:spLocks noChangeArrowheads="1"/>
          </xdr:cNvSpPr>
        </xdr:nvSpPr>
        <xdr:spPr bwMode="auto">
          <a:xfrm>
            <a:off x="68" y="337"/>
            <a:ext cx="73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West End</a:t>
            </a:r>
          </a:p>
        </xdr:txBody>
      </xdr:sp>
      <xdr:sp macro="" textlink="">
        <xdr:nvSpPr>
          <xdr:cNvPr id="14351" name="AutoShape 15"/>
          <xdr:cNvSpPr>
            <a:spLocks noChangeArrowheads="1"/>
          </xdr:cNvSpPr>
        </xdr:nvSpPr>
        <xdr:spPr bwMode="auto">
          <a:xfrm>
            <a:off x="244" y="209"/>
            <a:ext cx="73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Midtown</a:t>
            </a:r>
          </a:p>
        </xdr:txBody>
      </xdr:sp>
      <xdr:sp macro="" textlink="">
        <xdr:nvSpPr>
          <xdr:cNvPr id="14352" name="AutoShape 16"/>
          <xdr:cNvSpPr>
            <a:spLocks noChangeArrowheads="1"/>
          </xdr:cNvSpPr>
        </xdr:nvSpPr>
        <xdr:spPr bwMode="auto">
          <a:xfrm>
            <a:off x="363" y="296"/>
            <a:ext cx="48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City</a:t>
            </a:r>
          </a:p>
        </xdr:txBody>
      </xdr:sp>
      <xdr:sp macro="" textlink="">
        <xdr:nvSpPr>
          <xdr:cNvPr id="14353" name="AutoShape 17"/>
          <xdr:cNvSpPr>
            <a:spLocks noChangeArrowheads="1"/>
          </xdr:cNvSpPr>
        </xdr:nvSpPr>
        <xdr:spPr bwMode="auto">
          <a:xfrm>
            <a:off x="264" y="410"/>
            <a:ext cx="90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Southbank</a:t>
            </a:r>
          </a:p>
        </xdr:txBody>
      </xdr:sp>
      <xdr:sp macro="" textlink="">
        <xdr:nvSpPr>
          <xdr:cNvPr id="14354" name="AutoShape 18"/>
          <xdr:cNvSpPr>
            <a:spLocks noChangeArrowheads="1"/>
          </xdr:cNvSpPr>
        </xdr:nvSpPr>
        <xdr:spPr bwMode="auto">
          <a:xfrm>
            <a:off x="458" y="329"/>
            <a:ext cx="100" cy="2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90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GB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Canary Wharf</a:t>
            </a:r>
          </a:p>
        </xdr:txBody>
      </xdr:sp>
    </xdr:grpSp>
    <xdr:clientData/>
  </xdr:twoCellAnchor>
  <xdr:twoCellAnchor>
    <xdr:from>
      <xdr:col>3</xdr:col>
      <xdr:colOff>1628775</xdr:colOff>
      <xdr:row>19</xdr:row>
      <xdr:rowOff>85725</xdr:rowOff>
    </xdr:from>
    <xdr:to>
      <xdr:col>3</xdr:col>
      <xdr:colOff>1924050</xdr:colOff>
      <xdr:row>21</xdr:row>
      <xdr:rowOff>47625</xdr:rowOff>
    </xdr:to>
    <xdr:sp macro="" textlink="">
      <xdr:nvSpPr>
        <xdr:cNvPr id="8100500" name="Oval 19"/>
        <xdr:cNvSpPr>
          <a:spLocks noChangeArrowheads="1"/>
        </xdr:cNvSpPr>
      </xdr:nvSpPr>
      <xdr:spPr bwMode="auto">
        <a:xfrm>
          <a:off x="2352675" y="340042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3971925</xdr:colOff>
      <xdr:row>19</xdr:row>
      <xdr:rowOff>66675</xdr:rowOff>
    </xdr:from>
    <xdr:to>
      <xdr:col>4</xdr:col>
      <xdr:colOff>19050</xdr:colOff>
      <xdr:row>21</xdr:row>
      <xdr:rowOff>28575</xdr:rowOff>
    </xdr:to>
    <xdr:sp macro="" textlink="">
      <xdr:nvSpPr>
        <xdr:cNvPr id="8100501" name="Oval 21"/>
        <xdr:cNvSpPr>
          <a:spLocks noChangeArrowheads="1"/>
        </xdr:cNvSpPr>
      </xdr:nvSpPr>
      <xdr:spPr bwMode="auto">
        <a:xfrm>
          <a:off x="4695825" y="338137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1962150</xdr:colOff>
      <xdr:row>16</xdr:row>
      <xdr:rowOff>76200</xdr:rowOff>
    </xdr:from>
    <xdr:to>
      <xdr:col>3</xdr:col>
      <xdr:colOff>2257425</xdr:colOff>
      <xdr:row>18</xdr:row>
      <xdr:rowOff>38100</xdr:rowOff>
    </xdr:to>
    <xdr:sp macro="" textlink="">
      <xdr:nvSpPr>
        <xdr:cNvPr id="8100502" name="Oval 22"/>
        <xdr:cNvSpPr>
          <a:spLocks noChangeArrowheads="1"/>
        </xdr:cNvSpPr>
      </xdr:nvSpPr>
      <xdr:spPr bwMode="auto">
        <a:xfrm>
          <a:off x="2686050" y="2905125"/>
          <a:ext cx="295275" cy="2857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50195"/>
          </a:srgbClr>
        </a:solidFill>
        <a:ln w="19050">
          <a:solidFill>
            <a:srgbClr xmlns:mc="http://schemas.openxmlformats.org/markup-compatibility/2006" xmlns:a14="http://schemas.microsoft.com/office/drawing/2010/main" val="FFFFFF" mc:Ignorable="a14" a14:legacySpreadsheetColorIndex="63"/>
          </a:solidFill>
          <a:round/>
          <a:headEnd/>
          <a:tailEnd/>
        </a:ln>
      </xdr:spPr>
    </xdr:sp>
    <xdr:clientData/>
  </xdr:twoCellAnchor>
  <xdr:twoCellAnchor>
    <xdr:from>
      <xdr:col>3</xdr:col>
      <xdr:colOff>1885950</xdr:colOff>
      <xdr:row>16</xdr:row>
      <xdr:rowOff>123825</xdr:rowOff>
    </xdr:from>
    <xdr:to>
      <xdr:col>3</xdr:col>
      <xdr:colOff>2371725</xdr:colOff>
      <xdr:row>18</xdr:row>
      <xdr:rowOff>0</xdr:rowOff>
    </xdr:to>
    <xdr:sp macro="" textlink="">
      <xdr:nvSpPr>
        <xdr:cNvPr id="14359" name="Text Box 23"/>
        <xdr:cNvSpPr txBox="1">
          <a:spLocks noChangeArrowheads="1"/>
        </xdr:cNvSpPr>
      </xdr:nvSpPr>
      <xdr:spPr bwMode="auto">
        <a:xfrm>
          <a:off x="2609850" y="2952750"/>
          <a:ext cx="485775" cy="2000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£0.1bn</a:t>
          </a:r>
        </a:p>
      </xdr:txBody>
    </xdr:sp>
    <xdr:clientData/>
  </xdr:twoCellAnchor>
  <xdr:twoCellAnchor>
    <xdr:from>
      <xdr:col>3</xdr:col>
      <xdr:colOff>1533525</xdr:colOff>
      <xdr:row>19</xdr:row>
      <xdr:rowOff>133350</xdr:rowOff>
    </xdr:from>
    <xdr:to>
      <xdr:col>3</xdr:col>
      <xdr:colOff>2019300</xdr:colOff>
      <xdr:row>21</xdr:row>
      <xdr:rowOff>9525</xdr:rowOff>
    </xdr:to>
    <xdr:sp macro="" textlink="">
      <xdr:nvSpPr>
        <xdr:cNvPr id="14360" name="Text Box 24"/>
        <xdr:cNvSpPr txBox="1">
          <a:spLocks noChangeArrowheads="1"/>
        </xdr:cNvSpPr>
      </xdr:nvSpPr>
      <xdr:spPr bwMode="auto">
        <a:xfrm>
          <a:off x="2257425" y="3448050"/>
          <a:ext cx="485775" cy="2000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£0.1bn</a:t>
          </a:r>
        </a:p>
      </xdr:txBody>
    </xdr:sp>
    <xdr:clientData/>
  </xdr:twoCellAnchor>
  <xdr:twoCellAnchor>
    <xdr:from>
      <xdr:col>3</xdr:col>
      <xdr:colOff>3886200</xdr:colOff>
      <xdr:row>19</xdr:row>
      <xdr:rowOff>95250</xdr:rowOff>
    </xdr:from>
    <xdr:to>
      <xdr:col>4</xdr:col>
      <xdr:colOff>123825</xdr:colOff>
      <xdr:row>20</xdr:row>
      <xdr:rowOff>133350</xdr:rowOff>
    </xdr:to>
    <xdr:sp macro="" textlink="">
      <xdr:nvSpPr>
        <xdr:cNvPr id="14361" name="Text Box 25"/>
        <xdr:cNvSpPr txBox="1">
          <a:spLocks noChangeArrowheads="1"/>
        </xdr:cNvSpPr>
      </xdr:nvSpPr>
      <xdr:spPr bwMode="auto">
        <a:xfrm>
          <a:off x="4610100" y="3409950"/>
          <a:ext cx="485775" cy="2000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£3.3bn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Body%20-%20Front%20Half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pendix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SA%20Euro%20Research%20Company%20Files/Euro%20Companies/UK%20Companies/British%20Land,%20BLND/Models/BLND%20NAV%20and%20Earning%20V2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GSA%20Euro%20Research%20Company%20Files/Euro%20Companies/UK%20Companies/Land%20Securities,%20LAND/Models/LAND%20NAV%20&amp;%20Earnings%20v2.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GSA%20Euro%20Research%20Company%20Files/Euro%20Companies/UK%20Companies/Derwent%20London,%20DLN/Models/DLN%20NAV%20&amp;%20Earnings%20V2.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SA%20Euro%20Research%20Company%20Files/Euro%20Companies/UK%20Companies/Great%20Portland,%20GPOR/Models/GPOR%20NAV%20&amp;%20Earnings%20-%20V2.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SA%20Euro%20Research%20Company%20Files/Euro%20Companies/UK%20Companies/British%20Land,%20BLND/Properties/BLND%20Properties%20Nov-201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Summary"/>
      <sheetName val="1.Market"/>
      <sheetName val="Map"/>
      <sheetName val="IRRSummary"/>
      <sheetName val="2. Demand Dynamics"/>
      <sheetName val="SpaceSeekers"/>
      <sheetName val="Devt"/>
      <sheetName val="Supply-side changes"/>
      <sheetName val="New supply vs rent"/>
      <sheetName val="Vacancy and Rent"/>
      <sheetName val="Template"/>
      <sheetName val="Standard"/>
      <sheetName val="Graphs"/>
      <sheetName val="London Attractiveness"/>
      <sheetName val="Capital Values"/>
      <sheetName val="Business Rates"/>
      <sheetName val="Office Migration"/>
      <sheetName val="Transaction price appreciation"/>
      <sheetName val="Amount transacted vs yield"/>
      <sheetName val="City Rent Vacancy"/>
      <sheetName val="WE Rent Vacancy"/>
      <sheetName val="Tech Risk"/>
    </sheetNames>
    <sheetDataSet>
      <sheetData sheetId="0">
        <row r="4">
          <cell r="D4" t="str">
            <v>London Office Update  – 23 August 2016</v>
          </cell>
        </row>
        <row r="7">
          <cell r="Q7" t="str">
            <v>London Office Update  – 23 August 2016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pendices"/>
      <sheetName val="AppA"/>
      <sheetName val="AppB"/>
      <sheetName val="AppC"/>
      <sheetName val="AppE"/>
      <sheetName val="AppF"/>
      <sheetName val="AppG"/>
      <sheetName val="AppG (2)"/>
      <sheetName val="Company Snapshots"/>
      <sheetName val="Net Supply"/>
      <sheetName val="AppD"/>
      <sheetName val="AppH"/>
      <sheetName val="AppF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Q4">
            <v>36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Notes"/>
      <sheetName val="Inputs&gt;&gt;&gt;"/>
      <sheetName val="Company &amp; Market Inputs"/>
      <sheetName val="Time Series Inputs"/>
      <sheetName val="Property Inputs"/>
      <sheetName val="NAV&gt;&gt;&gt;"/>
      <sheetName val="NAV"/>
      <sheetName val="Forward NAV"/>
      <sheetName val="Net Rent Derivation"/>
      <sheetName val="Investment Portfolio"/>
      <sheetName val="ValueSplit"/>
      <sheetName val="CIP"/>
      <sheetName val="Mark-to-Market"/>
      <sheetName val="Earnings&gt;&gt;&gt;"/>
      <sheetName val="Retail LFL"/>
      <sheetName val="Office LFL"/>
      <sheetName val="LFL Rental Income"/>
      <sheetName val="Earnings"/>
      <sheetName val="PETEUR Input"/>
      <sheetName val="PETEUR Input Earnings"/>
      <sheetName val="SHOTGUN Debt Maturity"/>
      <sheetName val="PET Check"/>
      <sheetName val="Pet Pulls"/>
      <sheetName val="xlPETEUR_Consensus"/>
      <sheetName val="FX - SWAP - FORWARD LIBOR"/>
    </sheetNames>
    <sheetDataSet>
      <sheetData sheetId="0"/>
      <sheetData sheetId="1"/>
      <sheetData sheetId="2"/>
      <sheetData sheetId="3"/>
      <sheetData sheetId="4">
        <row r="36">
          <cell r="M36">
            <v>2534.7605633802814</v>
          </cell>
        </row>
        <row r="39">
          <cell r="D39">
            <v>249</v>
          </cell>
          <cell r="F39">
            <v>3.3625834826518979E-2</v>
          </cell>
          <cell r="O39">
            <v>5409.3394414068271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19">
          <cell r="K19">
            <v>128.74937499999999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Notes"/>
      <sheetName val="Inputs&gt;&gt;&gt;"/>
      <sheetName val="Company &amp; Market Inputs"/>
      <sheetName val="Time Series Inputs"/>
      <sheetName val="Property Inputs"/>
      <sheetName val="NAV&gt;&gt;&gt;"/>
      <sheetName val="NAV"/>
      <sheetName val="Forward NAV"/>
      <sheetName val="Net Rent Derivation"/>
      <sheetName val="Investment Portfolio"/>
      <sheetName val="ValueSplit"/>
      <sheetName val="CIP"/>
      <sheetName val="Mark-to-Market"/>
      <sheetName val="Earnings&gt;&gt;&gt;"/>
      <sheetName val="Retail LFL"/>
      <sheetName val="Office LFL"/>
      <sheetName val="LFL Rental Income"/>
      <sheetName val="Earnings"/>
      <sheetName val="PETEUR Input"/>
      <sheetName val="PETEUR Input Earnings"/>
      <sheetName val="SHOTGUN Debt Maturity"/>
      <sheetName val="PET Check"/>
      <sheetName val="PET Pulls"/>
      <sheetName val="xlPETEUR_Consensus"/>
      <sheetName val="FX - SWAP - FORWARD LIBOR"/>
    </sheetNames>
    <sheetDataSet>
      <sheetData sheetId="0"/>
      <sheetData sheetId="1"/>
      <sheetData sheetId="2"/>
      <sheetData sheetId="3"/>
      <sheetData sheetId="4">
        <row r="36">
          <cell r="M36">
            <v>2450.5238622691822</v>
          </cell>
        </row>
        <row r="41">
          <cell r="B41">
            <v>0.97699109606302459</v>
          </cell>
          <cell r="D41">
            <v>229.1</v>
          </cell>
          <cell r="F41">
            <v>3.7713555311803593E-2</v>
          </cell>
          <cell r="O41">
            <v>5527.3632352206832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17">
          <cell r="K17">
            <v>176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Notes"/>
      <sheetName val="Inputs&gt;&gt;&gt;"/>
      <sheetName val="Company &amp; Market Inputs"/>
      <sheetName val="Time Series Inputs"/>
      <sheetName val="Property Inputs"/>
      <sheetName val="NAV&gt;&gt;&gt;"/>
      <sheetName val="NAV"/>
      <sheetName val="Forward NAV"/>
      <sheetName val="Net Rent Derivation"/>
      <sheetName val="Investment Portfolio"/>
      <sheetName val="ValueSplit"/>
      <sheetName val="CIP"/>
      <sheetName val="Mark-to-Market"/>
      <sheetName val="Earnings&gt;&gt;&gt;"/>
      <sheetName val="LFL Rental Income"/>
      <sheetName val="Earnings"/>
      <sheetName val="PETEUR Input"/>
      <sheetName val="PETEUR Input Earnings"/>
      <sheetName val="SHOTGUN Debt Maturity"/>
      <sheetName val="PET Check"/>
      <sheetName val="PET Pulls"/>
      <sheetName val="xlPETEUR_Consensus"/>
    </sheetNames>
    <sheetDataSet>
      <sheetData sheetId="0"/>
      <sheetData sheetId="1"/>
      <sheetData sheetId="2"/>
      <sheetData sheetId="3"/>
      <sheetData sheetId="4">
        <row r="37">
          <cell r="N37">
            <v>1733.5354088832034</v>
          </cell>
        </row>
        <row r="63">
          <cell r="B63">
            <v>0.98733084778732372</v>
          </cell>
          <cell r="D63">
            <v>146.58925739005051</v>
          </cell>
          <cell r="P63">
            <v>6169</v>
          </cell>
        </row>
      </sheetData>
      <sheetData sheetId="5"/>
      <sheetData sheetId="6"/>
      <sheetData sheetId="7"/>
      <sheetData sheetId="8">
        <row r="37">
          <cell r="I37">
            <v>2.9925862258520963E-2</v>
          </cell>
        </row>
      </sheetData>
      <sheetData sheetId="9"/>
      <sheetData sheetId="10"/>
      <sheetData sheetId="11">
        <row r="19">
          <cell r="K19">
            <v>856.03749999999991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Notes"/>
      <sheetName val="Inputs&gt;&gt;&gt;"/>
      <sheetName val="Company &amp; Market Inputs"/>
      <sheetName val="Time Series Inputs"/>
      <sheetName val="Property Inputs"/>
      <sheetName val="NAV&gt;&gt;&gt;"/>
      <sheetName val="NAV"/>
      <sheetName val="Net Rent Derivation"/>
      <sheetName val="Forward NAV"/>
      <sheetName val="Investment Portfolio"/>
      <sheetName val="ValueSplit"/>
      <sheetName val="CIP"/>
      <sheetName val="Mark-to-Market"/>
      <sheetName val="Earnings&gt;&gt;&gt;"/>
      <sheetName val="LFL West End Rental Income"/>
      <sheetName val="LFL City Rental Income"/>
      <sheetName val="LFL Rental Income"/>
      <sheetName val="Earnings"/>
      <sheetName val="PETEUR Input"/>
      <sheetName val="PETEUR Input Earnings"/>
      <sheetName val="SHOTGUN Debt Maturity"/>
      <sheetName val="PET Check"/>
      <sheetName val="FX - SWAP - FORWARD LIBOR"/>
      <sheetName val="xlPETEUR_Consensus"/>
    </sheetNames>
    <sheetDataSet>
      <sheetData sheetId="0"/>
      <sheetData sheetId="1"/>
      <sheetData sheetId="2"/>
      <sheetData sheetId="3"/>
      <sheetData sheetId="4">
        <row r="25">
          <cell r="H25">
            <v>2.9251107830985532E-2</v>
          </cell>
        </row>
        <row r="58">
          <cell r="B58">
            <v>0.96916301005620475</v>
          </cell>
          <cell r="D58">
            <v>100.4</v>
          </cell>
          <cell r="N58">
            <v>2553.9751649209484</v>
          </cell>
          <cell r="P58">
            <v>2706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>
        <row r="4">
          <cell r="R4">
            <v>2337223217.6185141</v>
          </cell>
        </row>
        <row r="5">
          <cell r="R5">
            <v>1800853983.6589108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GPOR CL Office Snapshot dev" connectionId="2" autoFormatId="16" applyNumberFormats="0" applyBorderFormats="0" applyFontFormats="0" applyPatternFormats="0" applyAlignmentFormats="0" applyWidthHeightFormats="0">
  <queryTableRefresh nextId="12">
    <queryTableFields count="11">
      <queryTableField id="1" name="REIT" tableColumnId="1"/>
      <queryTableField id="2" name="property" tableColumnId="2"/>
      <queryTableField id="3" name="submarket" tableColumnId="3"/>
      <queryTableField id="4" name="cost_fullyLoaded" tableColumnId="4"/>
      <queryTableField id="5" name="SF" tableColumnId="5"/>
      <queryTableField id="6" name="ERV" tableColumnId="6"/>
      <queryTableField id="7" name="pctPreLet" tableColumnId="7"/>
      <queryTableField id="8" name="grossDevelopmentYield_company" tableColumnId="8"/>
      <queryTableField id="9" name="NIY_company" tableColumnId="9"/>
      <queryTableField id="10" name="development_margin" tableColumnId="10"/>
      <queryTableField id="11" name="date_completion" tableColumnId="11"/>
    </queryTableFields>
  </queryTableRefresh>
</queryTable>
</file>

<file path=xl/queryTables/queryTable2.xml><?xml version="1.0" encoding="utf-8"?>
<queryTable xmlns="http://schemas.openxmlformats.org/spreadsheetml/2006/main" name="Query from PET_EUR" refreshOnLoad="1" connectionId="1" autoFormatId="16" applyNumberFormats="0" applyBorderFormats="0" applyFontFormats="1" applyPatternFormats="1" applyAlignmentFormats="0" applyWidthHeightFormats="0">
  <queryTableRefresh nextId="35">
    <queryTableFields count="34">
      <queryTableField id="1" name="comp_id"/>
      <queryTableField id="2" name="company"/>
      <queryTableField id="3" name="symbol"/>
      <queryTableField id="4" name="sector"/>
      <queryTableField id="5" name="totalNetRent"/>
      <queryTableField id="6" name="totalNOI"/>
      <queryTableField id="7" name="NIYBlend"/>
      <queryTableField id="8" name="econCapBlend"/>
      <queryTableField id="9" name="sector1"/>
      <queryTableField id="10" name="dataSector1%"/>
      <queryTableField id="11" name="sector2"/>
      <queryTableField id="12" name="dataSector2%"/>
      <queryTableField id="13" name="sector3"/>
      <queryTableField id="14" name="dataSector3%"/>
      <queryTableField id="15" name="sector4"/>
      <queryTableField id="16" name="dataSector4%"/>
      <queryTableField id="17" name="UK"/>
      <queryTableField id="18" name="CE"/>
      <queryTableField id="19" name="netRent1"/>
      <queryTableField id="20" name="netRent2"/>
      <queryTableField id="21" name="netRent3"/>
      <queryTableField id="22" name="netRent4"/>
      <queryTableField id="23" name="NIY1"/>
      <queryTableField id="24" name="NIY2"/>
      <queryTableField id="25" name="NIY3"/>
      <queryTableField id="26" name="NIY4"/>
      <queryTableField id="27" name="econCap1"/>
      <queryTableField id="28" name="econCap2"/>
      <queryTableField id="29" name="econCap3"/>
      <queryTableField id="30" name="econCap4"/>
      <queryTableField id="31" name="portVal1"/>
      <queryTableField id="32" name="portVal2"/>
      <queryTableField id="33" name="portVal3"/>
      <queryTableField id="34" name="portVal4"/>
    </queryTableFields>
  </queryTableRefresh>
</queryTable>
</file>

<file path=xl/queryTables/queryTable3.xml><?xml version="1.0" encoding="utf-8"?>
<queryTable xmlns="http://schemas.openxmlformats.org/spreadsheetml/2006/main" name="Query from PET_EUR" connectionId="3" autoFormatId="16" applyNumberFormats="0" applyBorderFormats="0" applyFontFormats="0" applyPatternFormats="0" applyAlignmentFormats="0" applyWidthHeightFormats="0">
  <queryTableRefresh nextId="66">
    <queryTableFields count="65">
      <queryTableField id="1" name="property_id" tableColumnId="1"/>
      <queryTableField id="2" name="REIT" tableColumnId="2"/>
      <queryTableField id="3" name="property" tableColumnId="3"/>
      <queryTableField id="4" name="pctOwnership" tableColumnId="4"/>
      <queryTableField id="5" name="sector" tableColumnId="5"/>
      <queryTableField id="6" name="visible" tableColumnId="6"/>
      <queryTableField id="7" name="date_updated" tableColumnId="7"/>
      <queryTableField id="8" name="analyst_lastUpdate" tableColumnId="8"/>
      <queryTableField id="9" name="status" tableColumnId="9"/>
      <queryTableField id="10" name="address" tableColumnId="10"/>
      <queryTableField id="11" name="city" tableColumnId="11"/>
      <queryTableField id="12" name="zip" tableColumnId="12"/>
      <queryTableField id="13" name="country" tableColumnId="13"/>
      <queryTableField id="14" name="submarket" tableColumnId="14"/>
      <queryTableField id="15" name="latitude" tableColumnId="15"/>
      <queryTableField id="16" name="longitude" tableColumnId="16"/>
      <queryTableField id="17" name="date_start" tableColumnId="17"/>
      <queryTableField id="18" name="date_completion" tableColumnId="18"/>
      <queryTableField id="19" name="date_value_company" tableColumnId="19"/>
      <queryTableField id="20" name="value_company" tableColumnId="20"/>
      <queryTableField id="21" name="pctPreLet" tableColumnId="21"/>
      <queryTableField id="22" name="SF_industrial" tableColumnId="22"/>
      <queryTableField id="23" name="SF_office" tableColumnId="23"/>
      <queryTableField id="24" name="SF_residential" tableColumnId="24"/>
      <queryTableField id="25" name="SF_retail" tableColumnId="25"/>
      <queryTableField id="26" name="SF_selfStorage" tableColumnId="26"/>
      <queryTableField id="27" name="SF" tableColumnId="27"/>
      <queryTableField id="28" name="SF_proRata" tableColumnId="28"/>
      <queryTableField id="29" name="numberUnits" tableColumnId="29"/>
      <queryTableField id="30" name="cost_site" tableColumnId="30"/>
      <queryTableField id="31" name="cost_construction" tableColumnId="31"/>
      <queryTableField id="32" name="cost_soft" tableColumnId="32"/>
      <queryTableField id="33" name="cost_capitalizedInterest_dev" tableColumnId="33"/>
      <queryTableField id="34" name="cost_capitalizedInterest_debt" tableColumnId="34"/>
      <queryTableField id="35" name="cost_tenantIncentives" tableColumnId="35"/>
      <queryTableField id="36" name="cost_tax" tableColumnId="36"/>
      <queryTableField id="37" name="cost_other" tableColumnId="37"/>
      <queryTableField id="38" name="cost_opportunity" tableColumnId="38"/>
      <queryTableField id="39" name="cost_adjustment" tableColumnId="39"/>
      <queryTableField id="40" name="cost_fullyLoaded" tableColumnId="40"/>
      <queryTableField id="41" name="cost_fullyLoaded_SF" tableColumnId="41"/>
      <queryTableField id="42" name="land_SF" tableColumnId="42"/>
      <queryTableField id="43" name="cost_construction_SF" tableColumnId="43"/>
      <queryTableField id="44" name="ERV_company" tableColumnId="44"/>
      <queryTableField id="45" name="ERV_GSA" tableColumnId="45"/>
      <queryTableField id="46" name="ERV" tableColumnId="46"/>
      <queryTableField id="47" name="netEffective_SF" tableColumnId="47"/>
      <queryTableField id="48" name="area" tableColumnId="48"/>
      <queryTableField id="49" name="price_SF" tableColumnId="49"/>
      <queryTableField id="50" name="grossDevelopmentYield_company" tableColumnId="50"/>
      <queryTableField id="51" name="grossDevelopmentYield_GSA" tableColumnId="51"/>
      <queryTableField id="52" name="NIY_company" tableColumnId="52"/>
      <queryTableField id="53" name="NIY_GSA" tableColumnId="53"/>
      <queryTableField id="54" name="capitalValue_SF" tableColumnId="54"/>
      <queryTableField id="55" name="value_end" tableColumnId="55"/>
      <queryTableField id="56" name="value_market" tableColumnId="56"/>
      <queryTableField id="57" name="risk_time" tableColumnId="57"/>
      <queryTableField id="58" name="risk_leasing" tableColumnId="58"/>
      <queryTableField id="59" name="risk_type" tableColumnId="59"/>
      <queryTableField id="60" name="risk_location" tableColumnId="60"/>
      <queryTableField id="61" name="risk_hurdle" tableColumnId="61"/>
      <queryTableField id="62" name="risk_override" tableColumnId="62"/>
      <queryTableField id="63" name="development_margin" tableColumnId="63"/>
      <queryTableField id="64" name="development_premium" tableColumnId="64"/>
      <queryTableField id="65" name="development_upside" tableColumnId="6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5" name="Table_GPOR_CL_Office_Snapshot_dev" displayName="Table_GPOR_CL_Office_Snapshot_dev" ref="AO47:AY52" tableType="queryTable" totalsRowShown="0" headerRowDxfId="12" dataDxfId="11">
  <autoFilter ref="AO47:AY52"/>
  <tableColumns count="11">
    <tableColumn id="1" uniqueName="1" name="REIT" queryTableFieldId="1" dataDxfId="10"/>
    <tableColumn id="2" uniqueName="2" name="property" queryTableFieldId="2" dataDxfId="9"/>
    <tableColumn id="3" uniqueName="3" name="submarket" queryTableFieldId="3" dataDxfId="8"/>
    <tableColumn id="4" uniqueName="4" name="cost_fullyLoaded" queryTableFieldId="4" dataDxfId="7"/>
    <tableColumn id="5" uniqueName="5" name="SF" queryTableFieldId="5" dataDxfId="6"/>
    <tableColumn id="6" uniqueName="6" name="ERV" queryTableFieldId="6" dataDxfId="5"/>
    <tableColumn id="7" uniqueName="7" name="pctPreLet" queryTableFieldId="7" dataDxfId="4"/>
    <tableColumn id="8" uniqueName="8" name="grossDevelopmentYield_company" queryTableFieldId="8" dataDxfId="3"/>
    <tableColumn id="9" uniqueName="9" name="NIY_company" queryTableFieldId="9" dataDxfId="2"/>
    <tableColumn id="10" uniqueName="10" name="development_margin" queryTableFieldId="10" dataDxfId="1"/>
    <tableColumn id="11" uniqueName="11" name="date_completion" queryTableFieldId="11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Query_from_PET_EUR" displayName="Table_Query_from_PET_EUR" ref="A2:BM322" tableType="queryTable" totalsRowShown="0">
  <autoFilter ref="A2:BM322">
    <filterColumn colId="1">
      <filters>
        <filter val="GPOR"/>
      </filters>
    </filterColumn>
    <filterColumn colId="8">
      <filters>
        <filter val="In-Process"/>
      </filters>
    </filterColumn>
  </autoFilter>
  <tableColumns count="65">
    <tableColumn id="1" uniqueName="1" name="property_id" queryTableFieldId="1"/>
    <tableColumn id="2" uniqueName="2" name="REIT" queryTableFieldId="2"/>
    <tableColumn id="3" uniqueName="3" name="property" queryTableFieldId="3"/>
    <tableColumn id="4" uniqueName="4" name="pctOwnership" queryTableFieldId="4"/>
    <tableColumn id="5" uniqueName="5" name="sector" queryTableFieldId="5"/>
    <tableColumn id="6" uniqueName="6" name="visible" queryTableFieldId="6"/>
    <tableColumn id="7" uniqueName="7" name="date_updated" queryTableFieldId="7"/>
    <tableColumn id="8" uniqueName="8" name="analyst_lastUpdate" queryTableFieldId="8"/>
    <tableColumn id="9" uniqueName="9" name="status" queryTableFieldId="9"/>
    <tableColumn id="10" uniqueName="10" name="address" queryTableFieldId="10"/>
    <tableColumn id="11" uniqueName="11" name="city" queryTableFieldId="11"/>
    <tableColumn id="12" uniqueName="12" name="zip" queryTableFieldId="12"/>
    <tableColumn id="13" uniqueName="13" name="country" queryTableFieldId="13"/>
    <tableColumn id="14" uniqueName="14" name="submarket" queryTableFieldId="14"/>
    <tableColumn id="15" uniqueName="15" name="latitude" queryTableFieldId="15"/>
    <tableColumn id="16" uniqueName="16" name="longitude" queryTableFieldId="16"/>
    <tableColumn id="17" uniqueName="17" name="date_start" queryTableFieldId="17"/>
    <tableColumn id="18" uniqueName="18" name="date_completion" queryTableFieldId="18"/>
    <tableColumn id="19" uniqueName="19" name="date_value_company" queryTableFieldId="19"/>
    <tableColumn id="20" uniqueName="20" name="value_company" queryTableFieldId="20"/>
    <tableColumn id="21" uniqueName="21" name="pctPreLet" queryTableFieldId="21"/>
    <tableColumn id="22" uniqueName="22" name="SF_industrial" queryTableFieldId="22"/>
    <tableColumn id="23" uniqueName="23" name="SF_office" queryTableFieldId="23"/>
    <tableColumn id="24" uniqueName="24" name="SF_residential" queryTableFieldId="24"/>
    <tableColumn id="25" uniqueName="25" name="SF_retail" queryTableFieldId="25"/>
    <tableColumn id="26" uniqueName="26" name="SF_selfStorage" queryTableFieldId="26"/>
    <tableColumn id="27" uniqueName="27" name="SF" queryTableFieldId="27"/>
    <tableColumn id="28" uniqueName="28" name="SF_proRata" queryTableFieldId="28"/>
    <tableColumn id="29" uniqueName="29" name="numberUnits" queryTableFieldId="29"/>
    <tableColumn id="30" uniqueName="30" name="cost_site" queryTableFieldId="30"/>
    <tableColumn id="31" uniqueName="31" name="cost_construction" queryTableFieldId="31"/>
    <tableColumn id="32" uniqueName="32" name="cost_soft" queryTableFieldId="32"/>
    <tableColumn id="33" uniqueName="33" name="cost_capitalizedInterest_dev" queryTableFieldId="33"/>
    <tableColumn id="34" uniqueName="34" name="cost_capitalizedInterest_debt" queryTableFieldId="34"/>
    <tableColumn id="35" uniqueName="35" name="cost_tenantIncentives" queryTableFieldId="35"/>
    <tableColumn id="36" uniqueName="36" name="cost_tax" queryTableFieldId="36"/>
    <tableColumn id="37" uniqueName="37" name="cost_other" queryTableFieldId="37"/>
    <tableColumn id="38" uniqueName="38" name="cost_opportunity" queryTableFieldId="38"/>
    <tableColumn id="39" uniqueName="39" name="cost_adjustment" queryTableFieldId="39"/>
    <tableColumn id="40" uniqueName="40" name="cost_fullyLoaded" queryTableFieldId="40"/>
    <tableColumn id="41" uniqueName="41" name="cost_fullyLoaded_SF" queryTableFieldId="41"/>
    <tableColumn id="42" uniqueName="42" name="land_SF" queryTableFieldId="42"/>
    <tableColumn id="43" uniqueName="43" name="cost_construction_SF" queryTableFieldId="43"/>
    <tableColumn id="44" uniqueName="44" name="ERV_company" queryTableFieldId="44"/>
    <tableColumn id="45" uniqueName="45" name="ERV_GSA" queryTableFieldId="45"/>
    <tableColumn id="46" uniqueName="46" name="ERV" queryTableFieldId="46"/>
    <tableColumn id="47" uniqueName="47" name="netEffective_SF" queryTableFieldId="47"/>
    <tableColumn id="48" uniqueName="48" name="area" queryTableFieldId="48"/>
    <tableColumn id="49" uniqueName="49" name="price_SF" queryTableFieldId="49"/>
    <tableColumn id="50" uniqueName="50" name="grossDevelopmentYield_company" queryTableFieldId="50"/>
    <tableColumn id="51" uniqueName="51" name="grossDevelopmentYield_GSA" queryTableFieldId="51"/>
    <tableColumn id="52" uniqueName="52" name="NIY_company" queryTableFieldId="52"/>
    <tableColumn id="53" uniqueName="53" name="NIY_GSA" queryTableFieldId="53"/>
    <tableColumn id="54" uniqueName="54" name="capitalValue_SF" queryTableFieldId="54"/>
    <tableColumn id="55" uniqueName="55" name="value_end" queryTableFieldId="55"/>
    <tableColumn id="56" uniqueName="56" name="value_market" queryTableFieldId="56"/>
    <tableColumn id="57" uniqueName="57" name="risk_time" queryTableFieldId="57"/>
    <tableColumn id="58" uniqueName="58" name="risk_leasing" queryTableFieldId="58"/>
    <tableColumn id="59" uniqueName="59" name="risk_type" queryTableFieldId="59"/>
    <tableColumn id="60" uniqueName="60" name="risk_location" queryTableFieldId="60"/>
    <tableColumn id="61" uniqueName="61" name="risk_hurdle" queryTableFieldId="61"/>
    <tableColumn id="62" uniqueName="62" name="risk_override" queryTableFieldId="62"/>
    <tableColumn id="63" uniqueName="63" name="development_margin" queryTableFieldId="63"/>
    <tableColumn id="64" uniqueName="64" name="development_premium" queryTableFieldId="64"/>
    <tableColumn id="65" uniqueName="65" name="development_upside" queryTableFieldId="6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55"/>
  </sheetPr>
  <dimension ref="A1:BB71"/>
  <sheetViews>
    <sheetView showGridLines="0" tabSelected="1" zoomScaleNormal="100" zoomScaleSheetLayoutView="100" workbookViewId="0">
      <selection activeCell="AX79" sqref="AX79"/>
    </sheetView>
  </sheetViews>
  <sheetFormatPr defaultRowHeight="12.75"/>
  <cols>
    <col min="2" max="2" width="0.42578125" customWidth="1"/>
    <col min="3" max="3" width="1.28515625" customWidth="1"/>
    <col min="4" max="4" width="63.7109375" customWidth="1"/>
    <col min="5" max="5" width="5.28515625" customWidth="1"/>
    <col min="6" max="6" width="1.42578125" customWidth="1"/>
    <col min="7" max="7" width="2.5703125" customWidth="1"/>
    <col min="8" max="8" width="24.85546875" customWidth="1"/>
    <col min="9" max="9" width="2.42578125" customWidth="1"/>
    <col min="10" max="10" width="24.7109375" customWidth="1"/>
    <col min="11" max="11" width="2.5703125" customWidth="1"/>
    <col min="12" max="12" width="1.140625" customWidth="1"/>
    <col min="13" max="14" width="0.5703125" customWidth="1"/>
    <col min="17" max="17" width="10.42578125" bestFit="1" customWidth="1"/>
    <col min="18" max="18" width="16.42578125" customWidth="1"/>
    <col min="19" max="19" width="14.7109375" bestFit="1" customWidth="1"/>
    <col min="20" max="20" width="20.28515625" bestFit="1" customWidth="1"/>
    <col min="21" max="21" width="18.140625" customWidth="1"/>
    <col min="22" max="22" width="20.28515625" bestFit="1" customWidth="1"/>
    <col min="23" max="23" width="14.5703125" customWidth="1"/>
    <col min="25" max="25" width="9.140625" style="2"/>
    <col min="27" max="27" width="10.42578125" bestFit="1" customWidth="1"/>
    <col min="28" max="28" width="11.140625" bestFit="1" customWidth="1"/>
    <col min="29" max="29" width="19.7109375" customWidth="1"/>
    <col min="30" max="30" width="9.28515625" customWidth="1"/>
    <col min="31" max="31" width="10" customWidth="1"/>
    <col min="32" max="32" width="9.28515625" customWidth="1"/>
    <col min="33" max="33" width="9.42578125" customWidth="1"/>
    <col min="34" max="35" width="8.5703125" customWidth="1"/>
    <col min="36" max="36" width="9.7109375" customWidth="1"/>
    <col min="37" max="37" width="46.42578125" customWidth="1"/>
    <col min="41" max="41" width="19.7109375" customWidth="1"/>
    <col min="42" max="42" width="9.28515625" customWidth="1"/>
    <col min="43" max="43" width="10" customWidth="1"/>
    <col min="44" max="44" width="9.28515625" customWidth="1"/>
    <col min="45" max="45" width="9.42578125" customWidth="1"/>
    <col min="46" max="47" width="8.5703125" customWidth="1"/>
    <col min="48" max="48" width="9.7109375" customWidth="1"/>
    <col min="49" max="49" width="11.7109375" customWidth="1"/>
    <col min="50" max="52" width="11.5703125" customWidth="1"/>
    <col min="54" max="54" width="9.140625" style="2"/>
  </cols>
  <sheetData>
    <row r="1" spans="1:53" ht="16.5" thickBot="1">
      <c r="A1" s="22" t="s">
        <v>3</v>
      </c>
      <c r="N1" t="s">
        <v>0</v>
      </c>
      <c r="Z1" s="110" t="s">
        <v>91</v>
      </c>
      <c r="AA1" s="110"/>
      <c r="AB1" s="110"/>
    </row>
    <row r="2" spans="1:5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53">
      <c r="A3" s="2"/>
      <c r="B3" s="3">
        <v>0.25</v>
      </c>
      <c r="C3" s="3">
        <v>0.75</v>
      </c>
      <c r="D3" s="99">
        <v>63</v>
      </c>
      <c r="E3" s="99">
        <v>4.57</v>
      </c>
      <c r="F3" s="99">
        <v>0.83</v>
      </c>
      <c r="G3" s="99"/>
      <c r="H3" s="99">
        <v>26.71</v>
      </c>
      <c r="I3" s="99">
        <v>1.57</v>
      </c>
      <c r="J3" s="99">
        <v>24</v>
      </c>
      <c r="K3" s="4">
        <v>1.86</v>
      </c>
      <c r="L3" s="3">
        <v>0.67</v>
      </c>
      <c r="M3" s="3">
        <v>0.33</v>
      </c>
      <c r="N3" s="3">
        <v>0.33</v>
      </c>
      <c r="O3" s="5">
        <f>SUM(B3:M3)</f>
        <v>124.53999999999998</v>
      </c>
      <c r="Z3" s="15" t="s">
        <v>19</v>
      </c>
      <c r="AA3" s="15"/>
      <c r="AB3" s="15"/>
      <c r="AC3" s="15">
        <v>138</v>
      </c>
      <c r="AD3" s="15">
        <v>65</v>
      </c>
      <c r="AE3" s="15">
        <v>70</v>
      </c>
      <c r="AF3" s="15">
        <v>65</v>
      </c>
      <c r="AG3" s="15">
        <v>66</v>
      </c>
      <c r="AH3" s="15">
        <v>60</v>
      </c>
      <c r="AI3" s="15">
        <v>60</v>
      </c>
      <c r="AJ3" s="15">
        <v>68</v>
      </c>
      <c r="AK3" s="15">
        <v>325</v>
      </c>
      <c r="AL3" s="15" t="s">
        <v>19</v>
      </c>
      <c r="AM3" s="15"/>
      <c r="AN3" s="15"/>
      <c r="AO3" s="15">
        <v>138</v>
      </c>
      <c r="AP3" s="15">
        <v>65</v>
      </c>
      <c r="AQ3" s="15">
        <v>70</v>
      </c>
      <c r="AR3" s="15">
        <v>65</v>
      </c>
      <c r="AS3" s="15">
        <v>66</v>
      </c>
      <c r="AT3" s="15">
        <v>60</v>
      </c>
      <c r="AU3" s="15">
        <v>60</v>
      </c>
      <c r="AV3" s="15">
        <v>68</v>
      </c>
      <c r="AW3" s="15">
        <v>82</v>
      </c>
      <c r="AX3" s="15">
        <v>81</v>
      </c>
      <c r="AY3" s="15">
        <v>81</v>
      </c>
      <c r="AZ3" s="15">
        <v>81</v>
      </c>
      <c r="BA3" s="15" t="s">
        <v>19</v>
      </c>
    </row>
    <row r="4" spans="1:53" ht="1.5" customHeight="1">
      <c r="A4" s="3">
        <v>1.5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O4" s="7"/>
    </row>
    <row r="5" spans="1:53" ht="21.75" customHeight="1">
      <c r="A5" s="3">
        <v>21.75</v>
      </c>
      <c r="D5" s="406" t="str">
        <f>[1]Contents!$Q$7</f>
        <v>London Office Update  – 23 August 2016</v>
      </c>
      <c r="E5" s="30"/>
      <c r="F5" s="30"/>
      <c r="G5" s="30"/>
      <c r="K5" s="407">
        <f>R5</f>
        <v>37</v>
      </c>
      <c r="L5" s="408"/>
      <c r="M5" s="408"/>
      <c r="N5" s="408"/>
      <c r="O5" s="7"/>
      <c r="Q5" s="8" t="s">
        <v>1</v>
      </c>
      <c r="R5" s="362">
        <f>'[2]Company Snapshots'!$Q$4+1</f>
        <v>37</v>
      </c>
    </row>
    <row r="6" spans="1:53" ht="1.5" customHeight="1">
      <c r="A6" s="3">
        <v>1.5</v>
      </c>
      <c r="D6" s="406"/>
      <c r="E6" s="30"/>
      <c r="F6" s="30"/>
      <c r="G6" s="30"/>
      <c r="O6" s="7"/>
    </row>
    <row r="7" spans="1:53" ht="12" customHeight="1">
      <c r="A7" s="3">
        <v>12</v>
      </c>
      <c r="O7" s="7"/>
      <c r="Q7" s="8" t="s">
        <v>209</v>
      </c>
      <c r="R7" s="266" t="s">
        <v>246</v>
      </c>
      <c r="S7" s="267"/>
      <c r="T7" s="268"/>
    </row>
    <row r="8" spans="1:53" ht="35.25" customHeight="1" thickBot="1">
      <c r="A8" s="3">
        <v>35.25</v>
      </c>
      <c r="B8" s="10" t="str">
        <f ca="1">U13 &amp; " – Central London Office Portfolio"</f>
        <v>British Land – Central London Office Portfolio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O8" s="7"/>
    </row>
    <row r="9" spans="1:53" ht="13.5" customHeight="1" thickTop="1">
      <c r="A9" s="4">
        <v>13.5</v>
      </c>
      <c r="O9" s="7"/>
      <c r="R9" s="24" t="s">
        <v>40</v>
      </c>
      <c r="S9" s="25"/>
      <c r="T9" s="25"/>
      <c r="U9" s="25"/>
      <c r="V9" s="25"/>
      <c r="W9" s="25"/>
    </row>
    <row r="10" spans="1:53" ht="16.5" customHeight="1" thickBot="1">
      <c r="A10" s="47"/>
      <c r="G10" s="405" t="s">
        <v>29</v>
      </c>
      <c r="H10" s="405"/>
      <c r="I10" s="26"/>
      <c r="J10" s="405" t="s">
        <v>200</v>
      </c>
      <c r="K10" s="405"/>
      <c r="L10" s="405"/>
      <c r="M10" s="405"/>
      <c r="O10" s="7"/>
      <c r="R10" s="111" t="s">
        <v>64</v>
      </c>
      <c r="S10" s="112">
        <f>HLOOKUP($A$1, PortfolioData!$B$10:$L$11, 2, FALSE)</f>
        <v>3</v>
      </c>
      <c r="T10" s="129"/>
    </row>
    <row r="11" spans="1:53" ht="15">
      <c r="A11" s="21"/>
      <c r="F11" s="42"/>
      <c r="G11" s="42"/>
      <c r="I11" s="42"/>
      <c r="J11" s="42"/>
      <c r="K11" s="26"/>
      <c r="L11" s="26"/>
      <c r="O11" s="2"/>
      <c r="R11" s="111" t="s">
        <v>63</v>
      </c>
      <c r="S11" s="112">
        <f>HLOOKUP("Average", PortfolioData!$B$10:$L$11, 2, FALSE)</f>
        <v>10</v>
      </c>
      <c r="T11" s="130"/>
    </row>
    <row r="12" spans="1:53" ht="12.75" customHeight="1">
      <c r="A12" s="21"/>
      <c r="O12" s="2"/>
      <c r="S12" s="117" t="s">
        <v>71</v>
      </c>
      <c r="T12" s="122" t="s">
        <v>70</v>
      </c>
    </row>
    <row r="13" spans="1:53" ht="12.75" customHeight="1">
      <c r="A13" s="21"/>
      <c r="D13" s="14"/>
      <c r="E13" s="14"/>
      <c r="O13" s="2"/>
      <c r="R13" s="111" t="s">
        <v>28</v>
      </c>
      <c r="S13" s="117" t="s">
        <v>5</v>
      </c>
      <c r="T13" s="118">
        <f>MATCH(S13, PortfolioData!B:B,0)-PortfolioData!$F$5</f>
        <v>2</v>
      </c>
      <c r="U13" s="119" t="str">
        <f ca="1">OFFSET(PortfolioData!$B$10, T13, $S$10)</f>
        <v>British Land</v>
      </c>
    </row>
    <row r="14" spans="1:53" ht="12.75" customHeight="1">
      <c r="A14" s="21"/>
      <c r="O14" s="2"/>
      <c r="R14" s="137" t="s">
        <v>68</v>
      </c>
      <c r="S14" s="117" t="s">
        <v>5</v>
      </c>
      <c r="T14" s="118">
        <f>MATCH(S14, PortfolioData!B:B,0)-PortfolioData!$F$5</f>
        <v>2</v>
      </c>
      <c r="U14" s="119" t="str">
        <f ca="1">OFFSET(PortfolioData!$B$10, T14, $S$11)&amp; "(2)"</f>
        <v>Selected REITs' Avg.(2)</v>
      </c>
    </row>
    <row r="15" spans="1:53" ht="12.75" customHeight="1">
      <c r="A15" s="21"/>
      <c r="D15" s="14"/>
      <c r="E15" s="14"/>
      <c r="O15" s="2"/>
    </row>
    <row r="16" spans="1:53" ht="12.75" customHeight="1">
      <c r="A16" s="21"/>
      <c r="O16" s="2"/>
      <c r="R16" s="24" t="s">
        <v>4</v>
      </c>
      <c r="S16" s="24"/>
      <c r="T16" s="24"/>
      <c r="U16" s="24"/>
      <c r="V16" s="24"/>
      <c r="W16" s="24"/>
    </row>
    <row r="17" spans="1:28" ht="12.75" customHeight="1">
      <c r="A17" s="21"/>
      <c r="C17" s="13"/>
      <c r="O17" s="2"/>
      <c r="R17" t="s">
        <v>7</v>
      </c>
      <c r="X17" s="18"/>
      <c r="Z17" s="18"/>
      <c r="AA17" s="18"/>
      <c r="AB17" s="18"/>
    </row>
    <row r="18" spans="1:28" ht="12.75" customHeight="1">
      <c r="A18" s="21"/>
      <c r="O18" s="2"/>
    </row>
    <row r="19" spans="1:28" ht="12.75" customHeight="1">
      <c r="A19" s="21"/>
      <c r="C19" s="13"/>
      <c r="H19" s="42"/>
      <c r="I19" s="42"/>
      <c r="J19" s="42"/>
      <c r="K19" s="42"/>
      <c r="L19" s="42"/>
      <c r="M19" s="26"/>
      <c r="N19" s="26"/>
      <c r="O19" s="2"/>
      <c r="R19" s="24" t="s">
        <v>13</v>
      </c>
      <c r="S19" s="25"/>
      <c r="T19" s="25"/>
      <c r="U19" s="25"/>
      <c r="V19" s="25"/>
      <c r="W19" s="25"/>
    </row>
    <row r="20" spans="1:28" ht="12.75" customHeight="1">
      <c r="A20" s="21"/>
      <c r="O20" s="2"/>
      <c r="R20" s="117" t="s">
        <v>59</v>
      </c>
      <c r="S20" s="122" t="s">
        <v>62</v>
      </c>
      <c r="T20" s="131" t="s">
        <v>60</v>
      </c>
      <c r="U20" s="122" t="s">
        <v>61</v>
      </c>
      <c r="V20" s="108" t="s">
        <v>8</v>
      </c>
      <c r="W20" s="108" t="s">
        <v>198</v>
      </c>
    </row>
    <row r="21" spans="1:28" ht="12.75" customHeight="1">
      <c r="A21" s="21"/>
      <c r="O21" s="2"/>
      <c r="R21" s="123" t="s">
        <v>187</v>
      </c>
      <c r="S21" s="125">
        <f>MATCH(R21, PortfolioData!B:B,0)-PortfolioData!$F$5</f>
        <v>6</v>
      </c>
      <c r="T21" s="124" t="s">
        <v>193</v>
      </c>
      <c r="U21" s="133">
        <f>MATCH(T21, PortfolioData!B:B,0)-PortfolioData!$F$5</f>
        <v>7</v>
      </c>
      <c r="V21" s="88" t="str">
        <f ca="1">OFFSET(PortfolioData!$B$10, S21, $S$10)</f>
        <v>London Office</v>
      </c>
      <c r="W21" s="245">
        <f ca="1">OFFSET(PortfolioData!$B$10, U21, $S$10)</f>
        <v>0.44842330304649919</v>
      </c>
    </row>
    <row r="22" spans="1:28" ht="12.75" customHeight="1">
      <c r="A22" s="21"/>
      <c r="O22" s="2"/>
      <c r="R22" s="123" t="s">
        <v>188</v>
      </c>
      <c r="S22" s="125">
        <f>MATCH(R22, PortfolioData!B:B,0)-PortfolioData!$F$5</f>
        <v>10</v>
      </c>
      <c r="T22" s="124" t="s">
        <v>194</v>
      </c>
      <c r="U22" s="125">
        <f>MATCH(T22, PortfolioData!B:B,0)-PortfolioData!$F$5</f>
        <v>11</v>
      </c>
      <c r="V22" s="88" t="str">
        <f ca="1">OFFSET(PortfolioData!$B$10, S22, $S$10)</f>
        <v>UK Retail</v>
      </c>
      <c r="W22" s="245">
        <f ca="1">OFFSET(PortfolioData!$B$10, U22, $S$10)</f>
        <v>0.52004275788348475</v>
      </c>
    </row>
    <row r="23" spans="1:28" ht="12.75" customHeight="1">
      <c r="A23" s="21"/>
      <c r="O23" s="2"/>
      <c r="R23" s="123" t="s">
        <v>189</v>
      </c>
      <c r="S23" s="125">
        <f>MATCH(R23, PortfolioData!B:B,0)-PortfolioData!$F$5</f>
        <v>14</v>
      </c>
      <c r="T23" s="124" t="s">
        <v>195</v>
      </c>
      <c r="U23" s="125">
        <f>MATCH(T23, PortfolioData!B:B,0)-PortfolioData!$F$5</f>
        <v>15</v>
      </c>
      <c r="V23" s="88" t="str">
        <f ca="1">OFFSET(PortfolioData!$B$10, S23, $S$10)</f>
        <v>Other</v>
      </c>
      <c r="W23" s="245">
        <f ca="1">OFFSET(PortfolioData!$B$10, U23, $S$10)</f>
        <v>3.1533939070016032E-2</v>
      </c>
    </row>
    <row r="24" spans="1:28" ht="12.75" customHeight="1">
      <c r="A24" s="21"/>
      <c r="G24" s="41" t="s">
        <v>41</v>
      </c>
      <c r="H24" s="16" t="s">
        <v>202</v>
      </c>
      <c r="I24" s="100"/>
      <c r="J24" s="100"/>
      <c r="K24" s="100"/>
      <c r="L24" s="100"/>
      <c r="M24" s="100"/>
      <c r="O24" s="2"/>
      <c r="R24" s="123" t="s">
        <v>190</v>
      </c>
      <c r="S24" s="125">
        <f>MATCH(R24, PortfolioData!B:B,0)-PortfolioData!$F$5</f>
        <v>18</v>
      </c>
      <c r="T24" s="124" t="s">
        <v>196</v>
      </c>
      <c r="U24" s="125">
        <f>MATCH(T24, PortfolioData!B:B,0)-PortfolioData!$F$5</f>
        <v>19</v>
      </c>
      <c r="V24" s="88">
        <f ca="1">OFFSET(PortfolioData!$B$10, S24, $S$10)</f>
        <v>0</v>
      </c>
      <c r="W24" s="245">
        <f ca="1">OFFSET(PortfolioData!$B$10, U24, $S$10)</f>
        <v>0</v>
      </c>
    </row>
    <row r="25" spans="1:28" ht="12.75" customHeight="1">
      <c r="A25" s="2"/>
      <c r="G25" s="41" t="s">
        <v>201</v>
      </c>
      <c r="H25" s="410" t="s">
        <v>313</v>
      </c>
      <c r="I25" s="411"/>
      <c r="J25" s="411"/>
      <c r="K25" s="411"/>
      <c r="L25" s="411"/>
      <c r="M25" s="411"/>
      <c r="O25" s="2"/>
      <c r="R25" s="123" t="s">
        <v>191</v>
      </c>
      <c r="S25" s="125">
        <f>MATCH(R25, PortfolioData!B:B,0)-PortfolioData!$F$5</f>
        <v>22</v>
      </c>
      <c r="T25" s="124" t="s">
        <v>197</v>
      </c>
      <c r="U25" s="125">
        <f>MATCH(T25, PortfolioData!B:B,0)-PortfolioData!$F$5</f>
        <v>23</v>
      </c>
      <c r="V25" s="88">
        <f ca="1">OFFSET(PortfolioData!$B$10, S25, $S$10)</f>
        <v>0</v>
      </c>
      <c r="W25" s="245">
        <f ca="1">OFFSET(PortfolioData!$B$10, U25, $S$10)</f>
        <v>0</v>
      </c>
    </row>
    <row r="26" spans="1:28">
      <c r="A26" s="2"/>
      <c r="H26" s="411"/>
      <c r="I26" s="411"/>
      <c r="J26" s="411"/>
      <c r="K26" s="411"/>
      <c r="L26" s="411"/>
      <c r="M26" s="411"/>
      <c r="O26" s="2"/>
      <c r="R26" s="126" t="s">
        <v>181</v>
      </c>
      <c r="S26" s="128" t="s">
        <v>19</v>
      </c>
      <c r="T26" s="127" t="s">
        <v>181</v>
      </c>
      <c r="U26" s="128" t="s">
        <v>19</v>
      </c>
      <c r="V26" s="211"/>
      <c r="W26" s="212"/>
    </row>
    <row r="27" spans="1:28" ht="15" customHeight="1">
      <c r="A27" s="2"/>
      <c r="H27" s="45"/>
      <c r="I27" s="45"/>
      <c r="J27" s="45"/>
      <c r="K27" s="45"/>
      <c r="O27" s="2"/>
      <c r="T27" s="127" t="s">
        <v>199</v>
      </c>
      <c r="U27" s="125">
        <f>MATCH(T27, PortfolioData!B:B,0)-PortfolioData!$F$5</f>
        <v>25</v>
      </c>
      <c r="V27" s="109" t="s">
        <v>185</v>
      </c>
      <c r="W27" s="269">
        <f>(PortfolioData!E18+PortfolioData!E22+PortfolioData!E26)/1000000</f>
        <v>13.097</v>
      </c>
    </row>
    <row r="28" spans="1:28" ht="15">
      <c r="A28" s="2"/>
      <c r="H28" s="45"/>
      <c r="I28" s="45"/>
      <c r="J28" s="45"/>
      <c r="K28" s="45"/>
      <c r="L28" s="40"/>
      <c r="M28" s="40"/>
      <c r="O28" s="2"/>
    </row>
    <row r="29" spans="1:28" ht="12.75" customHeight="1">
      <c r="A29" s="2"/>
      <c r="H29" s="33"/>
      <c r="I29" s="36"/>
      <c r="J29" s="36"/>
      <c r="O29" s="2"/>
      <c r="R29" s="15" t="s">
        <v>39</v>
      </c>
      <c r="S29" s="112" t="str">
        <f>"Total Value: " &amp; TEXT( W27, "£#,###.0") &amp; "bn"</f>
        <v>Total Value: £13.1bn</v>
      </c>
    </row>
    <row r="30" spans="1:28" ht="12.75" customHeight="1">
      <c r="A30" s="2"/>
      <c r="H30" s="33"/>
      <c r="I30" s="36"/>
      <c r="J30" s="36"/>
      <c r="O30" s="2"/>
    </row>
    <row r="31" spans="1:28" ht="12.75" customHeight="1">
      <c r="A31" s="2"/>
      <c r="H31" s="28"/>
      <c r="I31" s="37"/>
      <c r="J31" s="37"/>
      <c r="O31" s="2" t="s">
        <v>17</v>
      </c>
    </row>
    <row r="32" spans="1:28">
      <c r="A32" s="2"/>
      <c r="H32" s="28"/>
      <c r="I32" s="37"/>
      <c r="J32" s="37"/>
      <c r="O32" s="2"/>
      <c r="R32" s="24" t="s">
        <v>37</v>
      </c>
      <c r="S32" s="25"/>
      <c r="T32" s="25"/>
      <c r="U32" s="25"/>
      <c r="V32" s="25"/>
      <c r="W32" s="25"/>
    </row>
    <row r="33" spans="1:22">
      <c r="A33" s="2"/>
      <c r="H33" s="28"/>
      <c r="I33" s="37"/>
      <c r="J33" s="37"/>
      <c r="O33" s="2"/>
    </row>
    <row r="34" spans="1:22">
      <c r="A34" s="2"/>
      <c r="H34" s="34"/>
      <c r="I34" s="38"/>
      <c r="J34" s="38"/>
      <c r="O34" s="2"/>
      <c r="R34" s="101" t="s">
        <v>38</v>
      </c>
      <c r="S34" s="131" t="s">
        <v>71</v>
      </c>
      <c r="T34" s="122" t="s">
        <v>70</v>
      </c>
      <c r="U34" s="102" t="str">
        <f ca="1">U13</f>
        <v>British Land</v>
      </c>
      <c r="V34" s="101" t="str">
        <f ca="1">U14</f>
        <v>Selected REITs' Avg.(2)</v>
      </c>
    </row>
    <row r="35" spans="1:22">
      <c r="A35" s="2"/>
      <c r="H35" s="34"/>
      <c r="I35" s="38"/>
      <c r="J35" s="38"/>
      <c r="O35" s="2"/>
      <c r="R35" s="103" t="s">
        <v>26</v>
      </c>
      <c r="S35" s="132" t="s">
        <v>26</v>
      </c>
      <c r="T35" s="133">
        <f>MATCH(S35, PortfolioData!B:B,0)-PortfolioData!$F$5</f>
        <v>34</v>
      </c>
      <c r="U35" s="104">
        <f ca="1">OFFSET(PortfolioData!$B$10, T35, $S$10)</f>
        <v>3.3625834826518979E-2</v>
      </c>
      <c r="V35" s="104">
        <f ca="1">OFFSET(PortfolioData!$B$10, T35, $S$11)</f>
        <v>3.3626769078890555E-2</v>
      </c>
    </row>
    <row r="36" spans="1:22">
      <c r="A36" s="2"/>
      <c r="D36" s="26"/>
      <c r="E36" s="26"/>
      <c r="F36" s="26"/>
      <c r="G36" s="26"/>
      <c r="I36" s="18"/>
      <c r="J36" s="18"/>
      <c r="O36" s="2"/>
      <c r="R36" s="103"/>
      <c r="S36" s="134"/>
      <c r="T36" s="135"/>
      <c r="U36" s="105"/>
      <c r="V36" s="105"/>
    </row>
    <row r="37" spans="1:22" ht="15">
      <c r="A37" s="2"/>
      <c r="H37" s="40"/>
      <c r="I37" s="40"/>
      <c r="J37" s="40"/>
      <c r="K37" s="40"/>
      <c r="L37" s="40"/>
      <c r="M37" s="40"/>
      <c r="O37" s="2"/>
      <c r="R37" s="106" t="s">
        <v>27</v>
      </c>
      <c r="S37" s="126" t="s">
        <v>67</v>
      </c>
      <c r="T37" s="128">
        <f>MATCH(S37, PortfolioData!B:B,0)-PortfolioData!$F$5</f>
        <v>31</v>
      </c>
      <c r="U37" s="107">
        <f ca="1">OFFSET(PortfolioData!$B$10, T37, $S$10)/1000</f>
        <v>1259.118617675181</v>
      </c>
      <c r="V37" s="107">
        <f ca="1">OFFSET(PortfolioData!$B$10, T37, $S$11)</f>
        <v>344440.32841654215</v>
      </c>
    </row>
    <row r="38" spans="1:22" ht="12.75" customHeight="1">
      <c r="A38" s="2"/>
      <c r="H38" s="29"/>
      <c r="I38" s="29"/>
      <c r="J38" s="29"/>
      <c r="O38" s="2"/>
    </row>
    <row r="39" spans="1:22">
      <c r="A39" s="2"/>
      <c r="H39" s="35"/>
      <c r="I39" s="35"/>
      <c r="J39" s="35"/>
      <c r="O39" s="2"/>
    </row>
    <row r="40" spans="1:22">
      <c r="A40" s="2"/>
      <c r="H40" s="32"/>
      <c r="I40" s="32"/>
      <c r="J40" s="32"/>
      <c r="O40" s="2"/>
      <c r="R40" s="286" t="s">
        <v>338</v>
      </c>
    </row>
    <row r="41" spans="1:22">
      <c r="A41" s="2"/>
      <c r="H41" s="32"/>
      <c r="O41" s="2"/>
    </row>
    <row r="42" spans="1:22">
      <c r="A42" s="2"/>
      <c r="O42" s="2"/>
      <c r="R42" s="337"/>
      <c r="S42" s="337"/>
      <c r="T42" s="337"/>
      <c r="U42" s="337"/>
    </row>
    <row r="43" spans="1:22" ht="12.75" customHeight="1">
      <c r="A43" s="15"/>
      <c r="H43" s="26"/>
      <c r="I43" s="26"/>
      <c r="J43" s="26"/>
      <c r="O43" s="2"/>
      <c r="R43" s="361" t="s">
        <v>351</v>
      </c>
      <c r="S43" s="337"/>
      <c r="T43" s="337"/>
      <c r="U43" s="337"/>
    </row>
    <row r="44" spans="1:22" ht="8.25" customHeight="1">
      <c r="A44" s="15"/>
      <c r="O44" s="2"/>
      <c r="R44" s="361"/>
      <c r="S44" s="337"/>
      <c r="T44" s="337"/>
      <c r="U44" s="337"/>
    </row>
    <row r="45" spans="1:22" ht="12.75" customHeight="1">
      <c r="A45" s="3">
        <v>12.75</v>
      </c>
      <c r="B45" s="260" t="s">
        <v>1004</v>
      </c>
      <c r="M45" s="259" t="s">
        <v>210</v>
      </c>
      <c r="O45" s="2"/>
      <c r="R45" s="361"/>
      <c r="S45" s="361"/>
      <c r="T45" s="361"/>
      <c r="U45" s="337"/>
    </row>
    <row r="46" spans="1:22" ht="13.5" thickBot="1">
      <c r="A46" s="3">
        <v>12.75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8"/>
      <c r="O46" s="7"/>
      <c r="R46" s="361" t="s">
        <v>348</v>
      </c>
      <c r="S46" s="337"/>
      <c r="T46" s="361"/>
      <c r="U46" s="337"/>
    </row>
    <row r="47" spans="1:22" ht="23.25" customHeight="1">
      <c r="A47" s="3">
        <v>23.25</v>
      </c>
      <c r="N47" s="19" t="s">
        <v>1006</v>
      </c>
      <c r="O47" s="7"/>
      <c r="R47" s="361" t="s">
        <v>347</v>
      </c>
      <c r="S47" s="337"/>
      <c r="T47" s="337"/>
      <c r="U47" s="337"/>
    </row>
    <row r="48" spans="1:22" ht="15" customHeight="1">
      <c r="A48" s="4">
        <v>15</v>
      </c>
      <c r="M48" s="20" t="s">
        <v>242</v>
      </c>
      <c r="O48" s="7"/>
    </row>
    <row r="49" spans="1:53">
      <c r="A49" s="2"/>
      <c r="B49" s="3">
        <v>0.25</v>
      </c>
      <c r="C49" s="3">
        <v>0.75</v>
      </c>
      <c r="D49" s="3">
        <v>37.29</v>
      </c>
      <c r="E49" s="3"/>
      <c r="F49" s="2"/>
      <c r="G49" s="2"/>
      <c r="H49" s="2"/>
      <c r="I49" s="2"/>
      <c r="J49" s="2"/>
      <c r="K49" s="2"/>
      <c r="L49" s="3">
        <v>0.67</v>
      </c>
      <c r="M49" s="3">
        <v>0.33</v>
      </c>
      <c r="N49" s="3">
        <v>0.33</v>
      </c>
      <c r="O49" s="7"/>
      <c r="AB49" s="170" t="s">
        <v>85</v>
      </c>
      <c r="AC49" s="168">
        <v>138</v>
      </c>
      <c r="AD49" s="168">
        <v>65</v>
      </c>
      <c r="AE49" s="168">
        <v>70</v>
      </c>
      <c r="AF49" s="168">
        <v>65</v>
      </c>
      <c r="AG49" s="168">
        <v>66</v>
      </c>
      <c r="AH49" s="168">
        <v>60</v>
      </c>
      <c r="AI49" s="168">
        <v>60</v>
      </c>
      <c r="AJ49" s="168">
        <v>68</v>
      </c>
      <c r="AK49" s="169">
        <v>325</v>
      </c>
    </row>
    <row r="50" spans="1:5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AB50" s="117" t="s">
        <v>84</v>
      </c>
      <c r="AC50" s="131">
        <f>MATCH(AC53, AssetData_Investment!$B$12:$O$12,0)-1</f>
        <v>4</v>
      </c>
      <c r="AD50" s="131">
        <f>MATCH(AD53, AssetData_Investment!$B$12:$O$12,0)-1</f>
        <v>5</v>
      </c>
      <c r="AE50" s="131">
        <f>MATCH(AE53, AssetData_Investment!$B$12:$O$12,0)-1</f>
        <v>6</v>
      </c>
      <c r="AF50" s="172" t="s">
        <v>50</v>
      </c>
      <c r="AG50" s="131">
        <f>MATCH(AG53, AssetData_Investment!$B$12:$O$12,0)-1</f>
        <v>7</v>
      </c>
      <c r="AH50" s="172" t="s">
        <v>50</v>
      </c>
      <c r="AI50" s="131">
        <f>MATCH("Rent (£m)", AssetData_Investment!$B$12:$O$12,0)-1</f>
        <v>8</v>
      </c>
      <c r="AJ50" s="131">
        <f>MATCH(AJ53, AssetData_Investment!$B$12:$O$12,0)-1</f>
        <v>9</v>
      </c>
      <c r="AK50" s="131">
        <f>MATCH(AK53, AssetData_Investment!$B$12:$O$12,0)-1</f>
        <v>10</v>
      </c>
    </row>
    <row r="52" spans="1:53" ht="13.5" customHeight="1">
      <c r="AC52" s="402" t="s">
        <v>247</v>
      </c>
      <c r="AD52" s="402"/>
      <c r="AE52" s="402"/>
      <c r="AF52" s="402"/>
      <c r="AG52" s="402"/>
      <c r="AH52" s="402"/>
      <c r="AI52" s="402"/>
      <c r="AJ52" s="402"/>
      <c r="AK52" s="27"/>
      <c r="AS52" s="276"/>
    </row>
    <row r="53" spans="1:53" ht="12.75" customHeight="1">
      <c r="AA53" s="162" t="s">
        <v>82</v>
      </c>
      <c r="AB53" s="363" t="s">
        <v>83</v>
      </c>
      <c r="AC53" s="58" t="s">
        <v>9</v>
      </c>
      <c r="AD53" s="59" t="s">
        <v>10</v>
      </c>
      <c r="AE53" s="412" t="s">
        <v>88</v>
      </c>
      <c r="AF53" s="403" t="s">
        <v>30</v>
      </c>
      <c r="AG53" s="403" t="s">
        <v>22</v>
      </c>
      <c r="AH53" s="403" t="s">
        <v>32</v>
      </c>
      <c r="AI53" s="403" t="s">
        <v>23</v>
      </c>
      <c r="AJ53" s="58" t="s">
        <v>11</v>
      </c>
      <c r="AK53" s="58" t="s">
        <v>12</v>
      </c>
    </row>
    <row r="54" spans="1:53">
      <c r="AA54" s="164"/>
      <c r="AB54" s="364"/>
      <c r="AC54" s="60"/>
      <c r="AD54" s="61"/>
      <c r="AE54" s="413" t="s">
        <v>31</v>
      </c>
      <c r="AF54" s="404"/>
      <c r="AG54" s="404"/>
      <c r="AH54" s="404"/>
      <c r="AI54" s="404"/>
      <c r="AJ54" s="61"/>
      <c r="AK54" s="60"/>
    </row>
    <row r="55" spans="1:53" ht="12.75" customHeight="1">
      <c r="AA55" s="164" t="str">
        <f>$A$1 &amp; "1"</f>
        <v>BLND1</v>
      </c>
      <c r="AB55" s="364">
        <f>MATCH($AA55, AssetData_Investment!A:A,0)-AssetData_Investment!$C$4</f>
        <v>1</v>
      </c>
      <c r="AC55" s="62" t="str">
        <f ca="1">OFFSET(AssetData_Investment!$B$12,$AB55, AC$50)</f>
        <v>Broadgate (50%)</v>
      </c>
      <c r="AD55" s="63" t="str">
        <f ca="1">IF(OFFSET(AssetData_Investment!$B$12,$AB55, AD$50)="", "", OFFSET(AssetData_Investment!$B$12,$AB55, AD$50))</f>
        <v>City</v>
      </c>
      <c r="AE55" s="92">
        <f ca="1">MROUND(OFFSET(AssetData_Investment!$B$12,$AB55, AE$50),10)</f>
        <v>2340</v>
      </c>
      <c r="AF55" s="65">
        <f ca="1">AE55/$AE$59</f>
        <v>0.34361233480176212</v>
      </c>
      <c r="AG55" s="96">
        <f ca="1">OFFSET(AssetData_Investment!$B$12,$AB55, AG$50)</f>
        <v>2362</v>
      </c>
      <c r="AH55" s="64">
        <f ca="1">MROUND(AE55*1000/AG55, 5)</f>
        <v>990</v>
      </c>
      <c r="AI55" s="64">
        <f ca="1">OFFSET(AssetData_Investment!$B$12,$AB55, AI$50)*1000/AG55</f>
        <v>47.840812870448772</v>
      </c>
      <c r="AJ55" s="66">
        <f ca="1">OFFSET(AssetData_Investment!$B$12,$AB55, AJ$50)</f>
        <v>0.99299999999999999</v>
      </c>
      <c r="AK55" s="67" t="str">
        <f ca="1">OFFSET(AssetData_Investment!$B$12,$AB55, AK$50)</f>
        <v>Large campus next to Crossrail. Capex required.</v>
      </c>
    </row>
    <row r="56" spans="1:53">
      <c r="AA56" s="164" t="str">
        <f>$A$1 &amp; "2"</f>
        <v>BLND2</v>
      </c>
      <c r="AB56" s="364">
        <f>MATCH($AA56, AssetData_Investment!A:A,0)-AssetData_Investment!$C$4</f>
        <v>2</v>
      </c>
      <c r="AC56" s="68" t="str">
        <f ca="1">OFFSET(AssetData_Investment!$B$12,$AB56, AC$50)</f>
        <v>Regent's Place</v>
      </c>
      <c r="AD56" s="69" t="str">
        <f ca="1">IF(OFFSET(AssetData_Investment!$B$12,$AB56, AD$50)="", "", OFFSET(AssetData_Investment!$B$12,$AB56, AD$50))</f>
        <v>West End</v>
      </c>
      <c r="AE56" s="93">
        <f ca="1">MROUND(OFFSET(AssetData_Investment!$B$12,$AB56, AE$50),10)</f>
        <v>1800</v>
      </c>
      <c r="AF56" s="71">
        <f ca="1">AE56/$AE$59</f>
        <v>0.26431718061674009</v>
      </c>
      <c r="AG56" s="97">
        <f ca="1">OFFSET(AssetData_Investment!$B$12,$AB56, AG$50)</f>
        <v>1590</v>
      </c>
      <c r="AH56" s="72">
        <f ca="1">MROUND(AE56*1000/AG56,5)</f>
        <v>1130</v>
      </c>
      <c r="AI56" s="70">
        <f ca="1">OFFSET(AssetData_Investment!$B$12,$AB56, AI$50)*1000/AG56</f>
        <v>49.685534591194966</v>
      </c>
      <c r="AJ56" s="71">
        <f ca="1">OFFSET(AssetData_Investment!$B$12,$AB56, AJ$50)</f>
        <v>0.98699999999999999</v>
      </c>
      <c r="AK56" s="73" t="str">
        <f ca="1">OFFSET(AssetData_Investment!$B$12,$AB56, AK$50)</f>
        <v>Growing office estate in fringe West End</v>
      </c>
    </row>
    <row r="57" spans="1:53">
      <c r="AA57" s="164" t="str">
        <f>$A$1 &amp; "3"</f>
        <v>BLND3</v>
      </c>
      <c r="AB57" s="364">
        <f>MATCH($AA57, AssetData_Investment!A:A,0)-AssetData_Investment!$C$4</f>
        <v>3</v>
      </c>
      <c r="AC57" s="62" t="str">
        <f ca="1">OFFSET(AssetData_Investment!$B$12,$AB57, AC$50)</f>
        <v>Paddington Central</v>
      </c>
      <c r="AD57" s="63" t="str">
        <f ca="1">IF(OFFSET(AssetData_Investment!$B$12,$AB57, AD$50)="", "", OFFSET(AssetData_Investment!$B$12,$AB57, AD$50))</f>
        <v>West End</v>
      </c>
      <c r="AE57" s="94">
        <f ca="1">MROUND(OFFSET(AssetData_Investment!$B$12,$AB57, AE$50),10)</f>
        <v>820</v>
      </c>
      <c r="AF57" s="65">
        <f ca="1">AE57/$AE$59</f>
        <v>0.12041116005873716</v>
      </c>
      <c r="AG57" s="357">
        <f ca="1">OFFSET(AssetData_Investment!$B$12,$AB57, AG$50)</f>
        <v>806</v>
      </c>
      <c r="AH57" s="64">
        <f ca="1">MROUND(AE57*1000/AG57,5)</f>
        <v>1015</v>
      </c>
      <c r="AI57" s="74">
        <f ca="1">OFFSET(AssetData_Investment!$B$12,$AB57, AI$50)*1000/AG57</f>
        <v>40.942928039702231</v>
      </c>
      <c r="AJ57" s="65">
        <f ca="1">OFFSET(AssetData_Investment!$B$12,$AB57, AJ$50)</f>
        <v>0.998</v>
      </c>
      <c r="AK57" s="75" t="str">
        <f ca="1">OFFSET(AssetData_Investment!$B$12,$AB57, AK$50)</f>
        <v>Fringe West End estate with fast links to Heathrow</v>
      </c>
    </row>
    <row r="58" spans="1:53">
      <c r="AA58" s="166" t="str">
        <f>$A$1 &amp; "Other"</f>
        <v>BLNDOther</v>
      </c>
      <c r="AB58" s="364">
        <f>MATCH($AA58, AssetData_Investment!A:A,0)-AssetData_Investment!$C$4</f>
        <v>4</v>
      </c>
      <c r="AC58" s="68" t="str">
        <f ca="1">OFFSET(AssetData_Investment!$B$12,$AB58, AC$50)</f>
        <v>Other London Offices</v>
      </c>
      <c r="AD58" s="171" t="str">
        <f ca="1">IF(OFFSET(AssetData_Investment!$B$12,$AB58, AD$50)="", "", OFFSET(AssetData_Investment!$B$12,$AB58, AD$50))</f>
        <v/>
      </c>
      <c r="AE58" s="93">
        <f ca="1">MROUND(OFFSET(AssetData_Investment!$B$12,$AB58, AE$50),10)</f>
        <v>1850</v>
      </c>
      <c r="AF58" s="71">
        <f ca="1">AE58/$AE$59</f>
        <v>0.27165932452276065</v>
      </c>
      <c r="AG58" s="358">
        <f ca="1">OFFSET(AssetData_Investment!$B$12,$AB58, AG$50)</f>
        <v>651.33944140682706</v>
      </c>
      <c r="AH58" s="72">
        <f ca="1">MROUND(AE58*1000/AG58,5)</f>
        <v>2840</v>
      </c>
      <c r="AI58" s="70">
        <f ca="1">OFFSET(AssetData_Investment!$B$12,$AB58, AI$50)*1000/AG58</f>
        <v>36.847146778279594</v>
      </c>
      <c r="AJ58" s="71">
        <f ca="1">OFFSET(AssetData_Investment!$B$12,$AB58, AJ$50)</f>
        <v>0.94332486283962214</v>
      </c>
      <c r="AK58" s="73" t="str">
        <f ca="1">IF( OFFSET(AssetData_Investment!$B$12,$AB58, AK$50)="", "", OFFSET(AssetData_Investment!$B$12,$AB58, AK$50))</f>
        <v/>
      </c>
      <c r="AN58" s="170" t="s">
        <v>85</v>
      </c>
      <c r="AO58" s="168">
        <v>138</v>
      </c>
      <c r="AP58" s="168">
        <v>65</v>
      </c>
      <c r="AQ58" s="168">
        <v>70</v>
      </c>
      <c r="AR58" s="168">
        <v>65</v>
      </c>
      <c r="AS58" s="168">
        <v>66</v>
      </c>
      <c r="AT58" s="168">
        <v>60</v>
      </c>
      <c r="AU58" s="168">
        <v>60</v>
      </c>
      <c r="AV58" s="168">
        <v>68</v>
      </c>
      <c r="AW58" s="168">
        <v>82</v>
      </c>
      <c r="AX58" s="168">
        <v>81</v>
      </c>
      <c r="AY58" s="168">
        <v>81</v>
      </c>
      <c r="AZ58" s="168">
        <v>81</v>
      </c>
      <c r="BA58" s="181">
        <f>SUM(AO58:AZ58)</f>
        <v>917</v>
      </c>
    </row>
    <row r="59" spans="1:53" ht="14.25" customHeight="1" thickBot="1">
      <c r="AC59" s="53" t="s">
        <v>25</v>
      </c>
      <c r="AD59" s="54"/>
      <c r="AE59" s="95">
        <f ca="1">SUM(AE55:AE58)</f>
        <v>6810</v>
      </c>
      <c r="AF59" s="55">
        <f ca="1">SUM(AF55:AF58)</f>
        <v>1</v>
      </c>
      <c r="AG59" s="98">
        <f ca="1">SUM(AG55:AG58)</f>
        <v>5409.3394414068271</v>
      </c>
      <c r="AH59" s="56">
        <f ca="1">MROUND(SUMPRODUCT(AH55:AH58,$AG$55:$AG$58)/SUMPRODUCT($AG$55:$AG$58),5)</f>
        <v>1260</v>
      </c>
      <c r="AI59" s="56">
        <f ca="1">SUMPRODUCT(AI55:AI58,$AG$55:$AG$58)/SUM($AG$55:$AG$58)</f>
        <v>46.031498429176345</v>
      </c>
      <c r="AJ59" s="55">
        <f ca="1">SUMPRODUCT(AJ55:AJ58,$AG$55:$AG$58)/SUM($AG$55:$AG$58)</f>
        <v>0.98599999999999999</v>
      </c>
      <c r="AK59" s="57"/>
      <c r="AN59" s="166" t="s">
        <v>84</v>
      </c>
      <c r="AO59" s="179">
        <f>MATCH(AO63, AssetData_Developments!$B$12:$S$12, 0)-1</f>
        <v>4</v>
      </c>
      <c r="AP59" s="179">
        <f>MATCH(AP63, AssetData_Developments!$B$12:$S$12, 0)-1</f>
        <v>6</v>
      </c>
      <c r="AQ59" s="179">
        <f>MATCH(AQ63, AssetData_Developments!$B$12:$S$12, 0)-1</f>
        <v>7</v>
      </c>
      <c r="AR59" s="180" t="s">
        <v>50</v>
      </c>
      <c r="AS59" s="179">
        <f>MATCH(AS63, AssetData_Developments!$B$12:$S$12, 0)-1</f>
        <v>8</v>
      </c>
      <c r="AT59" s="180" t="s">
        <v>50</v>
      </c>
      <c r="AU59" s="179">
        <f>MATCH("Rent (£m)", AssetData_Developments!$B$12:$S$12, 0)-1</f>
        <v>9</v>
      </c>
      <c r="AV59" s="179">
        <f>MATCH(AV63, AssetData_Developments!$B$12:$S$12, 0)-1</f>
        <v>10</v>
      </c>
      <c r="AW59" s="179">
        <f>MATCH(AW63, AssetData_Developments!$B$12:$S$12, 0)-1</f>
        <v>11</v>
      </c>
      <c r="AX59" s="179">
        <f>MATCH(AX63, AssetData_Developments!$B$12:$S$12, 0)-1</f>
        <v>12</v>
      </c>
      <c r="AY59" s="179">
        <f>MATCH(AY63, AssetData_Developments!$B$12:$S$12, 0)-1</f>
        <v>13</v>
      </c>
      <c r="AZ59" s="179">
        <f>MATCH(AZ63, AssetData_Developments!$B$12:$S$12, 0)-1</f>
        <v>14</v>
      </c>
    </row>
    <row r="61" spans="1:53">
      <c r="AC61" t="s">
        <v>227</v>
      </c>
      <c r="AE61">
        <v>10</v>
      </c>
      <c r="AH61">
        <v>5</v>
      </c>
      <c r="AI61">
        <v>1</v>
      </c>
    </row>
    <row r="62" spans="1:53" ht="13.5" customHeight="1">
      <c r="AO62" s="409" t="s">
        <v>248</v>
      </c>
      <c r="AP62" s="409"/>
      <c r="AQ62" s="409"/>
      <c r="AR62" s="409"/>
      <c r="AS62" s="409"/>
      <c r="AT62" s="409"/>
      <c r="AU62" s="409"/>
      <c r="AV62" s="409"/>
      <c r="AW62" s="409"/>
      <c r="AX62" s="43"/>
      <c r="AY62" s="43"/>
      <c r="AZ62" s="44"/>
    </row>
    <row r="63" spans="1:53" ht="12.75" customHeight="1">
      <c r="AM63" s="162" t="s">
        <v>82</v>
      </c>
      <c r="AN63" s="363" t="s">
        <v>83</v>
      </c>
      <c r="AO63" s="58" t="s">
        <v>9</v>
      </c>
      <c r="AP63" s="76" t="s">
        <v>10</v>
      </c>
      <c r="AQ63" s="400" t="s">
        <v>16</v>
      </c>
      <c r="AR63" s="400" t="s">
        <v>33</v>
      </c>
      <c r="AS63" s="400" t="s">
        <v>22</v>
      </c>
      <c r="AT63" s="400" t="s">
        <v>24</v>
      </c>
      <c r="AU63" s="400" t="s">
        <v>23</v>
      </c>
      <c r="AV63" s="1" t="s">
        <v>20</v>
      </c>
      <c r="AW63" s="400" t="s">
        <v>34</v>
      </c>
      <c r="AX63" s="400" t="s">
        <v>36</v>
      </c>
      <c r="AY63" s="400" t="s">
        <v>35</v>
      </c>
      <c r="AZ63" s="400" t="s">
        <v>15</v>
      </c>
    </row>
    <row r="64" spans="1:53">
      <c r="AM64" s="164"/>
      <c r="AN64" s="364"/>
      <c r="AO64" s="77"/>
      <c r="AP64" s="78"/>
      <c r="AQ64" s="401"/>
      <c r="AR64" s="401"/>
      <c r="AS64" s="401"/>
      <c r="AT64" s="401"/>
      <c r="AU64" s="401"/>
      <c r="AV64" s="79"/>
      <c r="AW64" s="401"/>
      <c r="AX64" s="401"/>
      <c r="AY64" s="401"/>
      <c r="AZ64" s="401"/>
    </row>
    <row r="65" spans="39:52">
      <c r="AM65" s="164" t="str">
        <f>$A$1 &amp; "1"</f>
        <v>BLND1</v>
      </c>
      <c r="AN65" s="364">
        <f>MATCH($AM65, AssetData_Developments!A:A,0)-AssetData_Developments!$C$4</f>
        <v>1</v>
      </c>
      <c r="AO65" s="80" t="str">
        <f ca="1">OFFSET(AssetData_Developments!$B$12, $AN65,AO$59)</f>
        <v>The Clarges Estate</v>
      </c>
      <c r="AP65" s="81" t="e">
        <f ca="1">IF(OFFSET(AssetData_Developments!$B$12, $AN65,AP$59)="", "", OFFSET(AssetData_Developments!$B$12, $AN65,AP$59))</f>
        <v>#N/A</v>
      </c>
      <c r="AQ65" s="82">
        <f ca="1">MROUND(OFFSET(AssetData_Developments!$B$12, $AN65,AQ$59), 10)</f>
        <v>70</v>
      </c>
      <c r="AR65" s="83">
        <f ca="1">AQ65/$AQ$69</f>
        <v>0.35</v>
      </c>
      <c r="AS65" s="384" t="e">
        <f ca="1">OFFSET(AssetData_Developments!$B$12, $AN65,AS$59)</f>
        <v>#N/A</v>
      </c>
      <c r="AT65" s="85" t="e">
        <f ca="1">MROUND(AQ65*1000/AS65, 5)</f>
        <v>#N/A</v>
      </c>
      <c r="AU65" s="85" t="e">
        <f ca="1">OFFSET(AssetData_Developments!$B$12, $AN65,AU$59)*1000/AS65</f>
        <v>#N/A</v>
      </c>
      <c r="AV65" s="86">
        <f ca="1">OFFSET(AssetData_Developments!$B$12, $AN65,AV$59)</f>
        <v>0</v>
      </c>
      <c r="AW65" s="87">
        <f ca="1">OFFSET(AssetData_Developments!$B$12, $AN65,AW$59)</f>
        <v>7.0000000000000007E-2</v>
      </c>
      <c r="AX65" s="87">
        <f ca="1">OFFSET(AssetData_Developments!$B$12, $AN65,AX$59)</f>
        <v>0.05</v>
      </c>
      <c r="AY65" s="263">
        <f ca="1">OFFSET(AssetData_Developments!$B$12, $AN65,AY$59)</f>
        <v>0.39999999999999991</v>
      </c>
      <c r="AZ65" s="188" t="str">
        <f ca="1">OFFSET(AssetData_Developments!$B$12, $AN65,AZ$59)</f>
        <v>Q2 '16</v>
      </c>
    </row>
    <row r="66" spans="39:52">
      <c r="AM66" s="164" t="str">
        <f>$A$1 &amp; "2"</f>
        <v>BLND2</v>
      </c>
      <c r="AN66" s="364">
        <f>MATCH($AM66, AssetData_Developments!A:A,0)-AssetData_Developments!$C$4</f>
        <v>2</v>
      </c>
      <c r="AO66" s="68" t="str">
        <f ca="1">OFFSET(AssetData_Developments!$B$12, $AN66,AO$59)</f>
        <v>4 Kingdom Street</v>
      </c>
      <c r="AP66" s="69" t="str">
        <f ca="1">IF(OFFSET(AssetData_Developments!$B$12, $AN66,AP$59)="", "", OFFSET(AssetData_Developments!$B$12, $AN66,AP$59))</f>
        <v>West End</v>
      </c>
      <c r="AQ66" s="93">
        <f ca="1">MROUND(OFFSET(AssetData_Developments!$B$12, $AN66,AQ$59),10)</f>
        <v>130</v>
      </c>
      <c r="AR66" s="216">
        <f ca="1">AQ66/$AQ$69</f>
        <v>0.65</v>
      </c>
      <c r="AS66" s="69">
        <f ca="1">OFFSET(AssetData_Developments!$B$12, $AN66,AS$59)</f>
        <v>147</v>
      </c>
      <c r="AT66" s="70">
        <f ca="1">MROUND(AQ66*1000/AS66,5)</f>
        <v>885</v>
      </c>
      <c r="AU66" s="70">
        <f ca="1">OFFSET(AssetData_Developments!$B$12, $AN66,AU$59)*1000/AS66</f>
        <v>63.945578231292515</v>
      </c>
      <c r="AV66" s="218">
        <f ca="1">OFFSET(AssetData_Developments!$B$12, $AN66,AV$59)</f>
        <v>0</v>
      </c>
      <c r="AW66" s="219">
        <f ca="1">OFFSET(AssetData_Developments!$B$12, $AN66,AW$59)</f>
        <v>7.3109080000000007E-2</v>
      </c>
      <c r="AX66" s="219">
        <f ca="1">OFFSET(AssetData_Developments!$B$12, $AN66,AX$59)</f>
        <v>4.7500000000000001E-2</v>
      </c>
      <c r="AY66" s="71">
        <f ca="1">OFFSET(AssetData_Developments!$B$12, $AN66,AY$59)</f>
        <v>0.45545015</v>
      </c>
      <c r="AZ66" s="220" t="str">
        <f ca="1">OFFSET(AssetData_Developments!$B$12, $AN66,AZ$59)</f>
        <v>Q2 '17</v>
      </c>
    </row>
    <row r="67" spans="39:52" hidden="1">
      <c r="AM67" s="164" t="str">
        <f>$A$1 &amp; "3"</f>
        <v>BLND3</v>
      </c>
      <c r="AN67" s="364">
        <f>MATCH($AM67, AssetData_Developments!A:A,0)-AssetData_Developments!$C$4</f>
        <v>3</v>
      </c>
      <c r="AO67" s="80">
        <f ca="1">OFFSET(AssetData_Developments!$B$12, $AN67,AO$59)</f>
        <v>0</v>
      </c>
      <c r="AP67" s="81" t="str">
        <f ca="1">IF(OFFSET(AssetData_Developments!$B$12, $AN67,AP$59)="", "", OFFSET(AssetData_Developments!$B$12, $AN67,AP$59))</f>
        <v/>
      </c>
      <c r="AQ67" s="82">
        <f ca="1">MROUND(OFFSET(AssetData_Developments!$B$12, $AN67,AQ$59),10)</f>
        <v>0</v>
      </c>
      <c r="AR67" s="83">
        <f ca="1">AQ67/$AQ$69</f>
        <v>0</v>
      </c>
      <c r="AS67" s="81">
        <f ca="1">OFFSET(AssetData_Developments!$B$12, $AN67,AS$59)</f>
        <v>0</v>
      </c>
      <c r="AT67" s="85" t="e">
        <f ca="1">MROUND(AQ67*1000/AS67,5)</f>
        <v>#DIV/0!</v>
      </c>
      <c r="AU67" s="85" t="e">
        <f ca="1">OFFSET(AssetData_Developments!$B$12, $AN67,AU$59)*1000/AS67</f>
        <v>#DIV/0!</v>
      </c>
      <c r="AV67" s="86">
        <f ca="1">OFFSET(AssetData_Developments!$B$12, $AN67,AV$59)</f>
        <v>0</v>
      </c>
      <c r="AW67" s="87">
        <f ca="1">OFFSET(AssetData_Developments!$B$12, $AN67,AW$59)</f>
        <v>0</v>
      </c>
      <c r="AX67" s="87">
        <f ca="1">OFFSET(AssetData_Developments!$B$12, $AN67,AX$59)</f>
        <v>0</v>
      </c>
      <c r="AY67" s="263">
        <f ca="1">OFFSET(AssetData_Developments!$B$12, $AN67,AY$59)</f>
        <v>0</v>
      </c>
      <c r="AZ67" s="188">
        <f ca="1">OFFSET(AssetData_Developments!$B$12, $AN67,AZ$59)</f>
        <v>0</v>
      </c>
    </row>
    <row r="68" spans="39:52" hidden="1">
      <c r="AM68" s="166" t="str">
        <f>$A$1 &amp; "Other"</f>
        <v>BLNDOther</v>
      </c>
      <c r="AN68" s="167">
        <f>MATCH($AM68, AssetData_Developments!A:A,0)-AssetData_Developments!$C$4</f>
        <v>4</v>
      </c>
      <c r="AO68" s="68" t="str">
        <f ca="1">OFFSET(AssetData_Developments!$B$12, $AN68,AO$59)</f>
        <v>Other</v>
      </c>
      <c r="AP68" s="69" t="str">
        <f ca="1">IF(OFFSET(AssetData_Developments!$B$12, $AN68,AP$59)="", "", OFFSET(AssetData_Developments!$B$12, $AN68,AP$59))</f>
        <v/>
      </c>
      <c r="AQ68" s="93">
        <f ca="1">MROUND(OFFSET(AssetData_Developments!$B$12, $AN68,AQ$59),10)</f>
        <v>0</v>
      </c>
      <c r="AR68" s="216">
        <f ca="1">AQ68/$AQ$69</f>
        <v>0</v>
      </c>
      <c r="AS68" s="69" t="e">
        <f ca="1">OFFSET(AssetData_Developments!$B$12, $AN68,AS$59)</f>
        <v>#N/A</v>
      </c>
      <c r="AT68" s="70" t="e">
        <f ca="1">MROUND(AQ68*1000/AS68,5)</f>
        <v>#N/A</v>
      </c>
      <c r="AU68" s="70" t="e">
        <f ca="1">OFFSET(AssetData_Developments!$B$12, $AN68,AU$59)*1000/AS68</f>
        <v>#N/A</v>
      </c>
      <c r="AV68" s="218">
        <f ca="1">OFFSET(AssetData_Developments!$B$12, $AN68,AV$59)</f>
        <v>0</v>
      </c>
      <c r="AW68" s="219">
        <f ca="1">OFFSET(AssetData_Developments!$B$12, $AN68,AW$59)</f>
        <v>0</v>
      </c>
      <c r="AX68" s="219">
        <f ca="1">OFFSET(AssetData_Developments!$B$12, $AN68,AX$59)</f>
        <v>0</v>
      </c>
      <c r="AY68" s="71">
        <f ca="1">OFFSET(AssetData_Developments!$B$12, $AN68,AY$59)</f>
        <v>0</v>
      </c>
      <c r="AZ68" s="220" t="str">
        <f ca="1">IF(OFFSET(AssetData_Developments!$B$12, $AN68,AZ$59)="", "", OFFSET(AssetData_Developments!$B$12, $AN68,AZ$59))</f>
        <v/>
      </c>
    </row>
    <row r="69" spans="39:52" ht="14.25" customHeight="1" thickBot="1">
      <c r="AO69" s="48" t="s">
        <v>25</v>
      </c>
      <c r="AP69" s="49"/>
      <c r="AQ69" s="91">
        <f ca="1">MROUND(SUM(AQ65:AQ68),10)</f>
        <v>200</v>
      </c>
      <c r="AR69" s="89">
        <f ca="1">SUM(AR65:AR68)</f>
        <v>1</v>
      </c>
      <c r="AS69" s="359" t="e">
        <f ca="1">SUM(AS65:AS68)</f>
        <v>#N/A</v>
      </c>
      <c r="AT69" s="50">
        <f ca="1">IF(ISERROR(MROUND(SUMPRODUCT(AT65:AT67,AS65:AS67)/AS69,5)), AT66, MROUND(SUMPRODUCT(AT65:AT67,AS65:AS67)/AS69,5))</f>
        <v>885</v>
      </c>
      <c r="AU69" s="50">
        <f ca="1">IF(ISERROR(MROUND(SUMPRODUCT(AU65:AU67,AS65:AS67)/AS69,5)), AU66, MROUND(SUMPRODUCT(AU65:AU67,AS65:AS67)/AS69,5))</f>
        <v>63.945578231292515</v>
      </c>
      <c r="AV69" s="51" t="e">
        <f ca="1">SUMPRODUCT(AV65:AV68,$AS$65:$AS$68)/$AS$69</f>
        <v>#N/A</v>
      </c>
      <c r="AW69" s="52" t="e">
        <f ca="1">SUMPRODUCT(AW65:AW68,$AS$65:$AS$68)/$AS$69</f>
        <v>#N/A</v>
      </c>
      <c r="AX69" s="52" t="e">
        <f ca="1">SUMPRODUCT(AX65:AX68,$AS$65:$AS$68)/$AS$69</f>
        <v>#N/A</v>
      </c>
      <c r="AY69" s="51" t="e">
        <f ca="1">SUMPRODUCT(AY65:AY68,$AS$65:$AS$68)/$AS$69</f>
        <v>#N/A</v>
      </c>
      <c r="AZ69" s="48"/>
    </row>
    <row r="71" spans="39:52">
      <c r="AO71" t="s">
        <v>227</v>
      </c>
      <c r="AQ71">
        <v>10</v>
      </c>
      <c r="AT71">
        <v>5</v>
      </c>
      <c r="AU71">
        <v>1</v>
      </c>
    </row>
  </sheetData>
  <mergeCells count="21">
    <mergeCell ref="J10:M10"/>
    <mergeCell ref="AS63:AS64"/>
    <mergeCell ref="D5:D6"/>
    <mergeCell ref="K5:N5"/>
    <mergeCell ref="AO62:AW62"/>
    <mergeCell ref="AU63:AU64"/>
    <mergeCell ref="AR63:AR64"/>
    <mergeCell ref="G10:H10"/>
    <mergeCell ref="AW63:AW64"/>
    <mergeCell ref="AH53:AH54"/>
    <mergeCell ref="H25:M26"/>
    <mergeCell ref="AI53:AI54"/>
    <mergeCell ref="AE53:AE54"/>
    <mergeCell ref="AQ63:AQ64"/>
    <mergeCell ref="AZ63:AZ64"/>
    <mergeCell ref="AT63:AT64"/>
    <mergeCell ref="AC52:AJ52"/>
    <mergeCell ref="AG53:AG54"/>
    <mergeCell ref="AF53:AF54"/>
    <mergeCell ref="AX63:AX64"/>
    <mergeCell ref="AY63:AY64"/>
  </mergeCells>
  <phoneticPr fontId="0" type="noConversion"/>
  <pageMargins left="0.47244094488188981" right="0.47244094488188981" top="0.27559055118110237" bottom="7.874015748031496E-2" header="0.51181102362204722" footer="0.51181102362204722"/>
  <pageSetup orientation="landscape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55"/>
  </sheetPr>
  <dimension ref="A1:BB71"/>
  <sheetViews>
    <sheetView showGridLines="0" tabSelected="1" zoomScaleNormal="100" zoomScaleSheetLayoutView="100" workbookViewId="0">
      <selection activeCell="AX79" sqref="AX79"/>
    </sheetView>
  </sheetViews>
  <sheetFormatPr defaultRowHeight="12.75"/>
  <cols>
    <col min="2" max="2" width="0.42578125" customWidth="1"/>
    <col min="3" max="3" width="1.28515625" customWidth="1"/>
    <col min="4" max="4" width="63.7109375" customWidth="1"/>
    <col min="5" max="5" width="5.28515625" customWidth="1"/>
    <col min="6" max="6" width="1.42578125" customWidth="1"/>
    <col min="7" max="7" width="2.5703125" customWidth="1"/>
    <col min="8" max="8" width="24.85546875" customWidth="1"/>
    <col min="9" max="9" width="2.42578125" customWidth="1"/>
    <col min="10" max="10" width="24.7109375" customWidth="1"/>
    <col min="11" max="11" width="2.5703125" customWidth="1"/>
    <col min="12" max="12" width="1.140625" customWidth="1"/>
    <col min="13" max="14" width="0.5703125" customWidth="1"/>
    <col min="18" max="18" width="16.42578125" customWidth="1"/>
    <col min="19" max="19" width="14.7109375" bestFit="1" customWidth="1"/>
    <col min="20" max="20" width="20.28515625" bestFit="1" customWidth="1"/>
    <col min="21" max="21" width="18.140625" customWidth="1"/>
    <col min="22" max="22" width="20.28515625" bestFit="1" customWidth="1"/>
    <col min="23" max="23" width="14.5703125" customWidth="1"/>
    <col min="25" max="25" width="9.140625" style="2"/>
    <col min="27" max="27" width="10.42578125" bestFit="1" customWidth="1"/>
    <col min="28" max="28" width="11.140625" bestFit="1" customWidth="1"/>
    <col min="29" max="29" width="19.7109375" customWidth="1"/>
    <col min="30" max="30" width="9.28515625" customWidth="1"/>
    <col min="31" max="31" width="10" customWidth="1"/>
    <col min="32" max="32" width="9.28515625" customWidth="1"/>
    <col min="33" max="33" width="9.42578125" customWidth="1"/>
    <col min="34" max="35" width="8.5703125" customWidth="1"/>
    <col min="36" max="36" width="9.7109375" customWidth="1"/>
    <col min="37" max="37" width="46.42578125" customWidth="1"/>
    <col min="41" max="41" width="21.28515625" customWidth="1"/>
    <col min="42" max="42" width="9.5703125" customWidth="1"/>
    <col min="43" max="43" width="9.42578125" customWidth="1"/>
    <col min="45" max="47" width="8.5703125" customWidth="1"/>
    <col min="48" max="48" width="9.42578125" customWidth="1"/>
    <col min="49" max="49" width="11.7109375" customWidth="1"/>
    <col min="50" max="52" width="11.5703125" customWidth="1"/>
    <col min="53" max="53" width="11.85546875" bestFit="1" customWidth="1"/>
    <col min="54" max="54" width="9.140625" style="2"/>
  </cols>
  <sheetData>
    <row r="1" spans="1:53" ht="16.5" thickBot="1">
      <c r="A1" s="22" t="s">
        <v>45</v>
      </c>
      <c r="N1" t="s">
        <v>0</v>
      </c>
      <c r="Z1" s="110" t="s">
        <v>91</v>
      </c>
      <c r="AA1" s="110"/>
      <c r="AB1" s="110"/>
    </row>
    <row r="2" spans="1:5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53">
      <c r="A3" s="2"/>
      <c r="B3" s="3">
        <v>0.25</v>
      </c>
      <c r="C3" s="3">
        <v>0.75</v>
      </c>
      <c r="D3" s="99">
        <v>63</v>
      </c>
      <c r="E3" s="99">
        <v>4.57</v>
      </c>
      <c r="F3" s="99">
        <v>0.83</v>
      </c>
      <c r="G3" s="99"/>
      <c r="H3" s="99">
        <v>26.71</v>
      </c>
      <c r="I3" s="99">
        <v>1.57</v>
      </c>
      <c r="J3" s="99">
        <v>24</v>
      </c>
      <c r="K3" s="4">
        <v>1.86</v>
      </c>
      <c r="L3" s="3">
        <v>0.67</v>
      </c>
      <c r="M3" s="3">
        <v>0.33</v>
      </c>
      <c r="N3" s="3">
        <v>0.33</v>
      </c>
      <c r="O3" s="5">
        <f>SUM(B3:M3)</f>
        <v>124.53999999999998</v>
      </c>
      <c r="Z3" s="15" t="s">
        <v>19</v>
      </c>
      <c r="AA3" s="15"/>
      <c r="AB3" s="15"/>
      <c r="AC3" s="15">
        <v>138</v>
      </c>
      <c r="AD3" s="15">
        <v>65</v>
      </c>
      <c r="AE3" s="15">
        <v>70</v>
      </c>
      <c r="AF3" s="15">
        <v>65</v>
      </c>
      <c r="AG3" s="15">
        <v>66</v>
      </c>
      <c r="AH3" s="15">
        <v>60</v>
      </c>
      <c r="AI3" s="15">
        <v>60</v>
      </c>
      <c r="AJ3" s="15">
        <v>68</v>
      </c>
      <c r="AK3" s="15">
        <v>325</v>
      </c>
      <c r="AL3" s="15" t="s">
        <v>19</v>
      </c>
      <c r="AM3" s="15"/>
      <c r="AN3" s="15"/>
      <c r="AO3" s="15">
        <v>138</v>
      </c>
      <c r="AP3" s="15">
        <v>65</v>
      </c>
      <c r="AQ3" s="15">
        <v>70</v>
      </c>
      <c r="AR3" s="15">
        <v>65</v>
      </c>
      <c r="AS3" s="15">
        <v>66</v>
      </c>
      <c r="AT3" s="15">
        <v>60</v>
      </c>
      <c r="AU3" s="15">
        <v>60</v>
      </c>
      <c r="AV3" s="15">
        <v>68</v>
      </c>
      <c r="AW3" s="15">
        <v>82</v>
      </c>
      <c r="AX3" s="15">
        <v>81</v>
      </c>
      <c r="AY3" s="15">
        <v>81</v>
      </c>
      <c r="AZ3" s="15">
        <v>81</v>
      </c>
      <c r="BA3" s="15" t="s">
        <v>19</v>
      </c>
    </row>
    <row r="4" spans="1:53" ht="1.5" customHeight="1">
      <c r="A4" s="3">
        <v>1.5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O4" s="7"/>
    </row>
    <row r="5" spans="1:53" ht="21.75" customHeight="1">
      <c r="A5" s="3">
        <v>21.75</v>
      </c>
      <c r="D5" s="406" t="str">
        <f>[1]Contents!$Q$7</f>
        <v>London Office Update  – 23 August 2016</v>
      </c>
      <c r="E5" s="30"/>
      <c r="F5" s="30"/>
      <c r="G5" s="30"/>
      <c r="K5" s="407">
        <f>R5</f>
        <v>38</v>
      </c>
      <c r="L5" s="408"/>
      <c r="M5" s="408"/>
      <c r="N5" s="408"/>
      <c r="O5" s="7"/>
      <c r="Q5" s="8" t="s">
        <v>1</v>
      </c>
      <c r="R5" s="362">
        <f>BLND!R5+1</f>
        <v>38</v>
      </c>
    </row>
    <row r="6" spans="1:53" ht="1.5" customHeight="1">
      <c r="A6" s="3">
        <v>1.5</v>
      </c>
      <c r="D6" s="406"/>
      <c r="E6" s="30"/>
      <c r="F6" s="30"/>
      <c r="G6" s="30"/>
      <c r="O6" s="7"/>
    </row>
    <row r="7" spans="1:53" ht="12" customHeight="1">
      <c r="A7" s="3">
        <v>12</v>
      </c>
      <c r="O7" s="7"/>
    </row>
    <row r="8" spans="1:53" ht="35.25" customHeight="1" thickBot="1">
      <c r="A8" s="3">
        <v>35.25</v>
      </c>
      <c r="B8" s="10" t="str">
        <f ca="1">U13 &amp; " – Central London Office Portfolio"</f>
        <v>Derwent London – Central London Office Portfolio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O8" s="7"/>
    </row>
    <row r="9" spans="1:53" ht="13.5" customHeight="1" thickTop="1">
      <c r="A9" s="4">
        <v>13.5</v>
      </c>
      <c r="O9" s="7"/>
      <c r="R9" s="24" t="s">
        <v>40</v>
      </c>
      <c r="S9" s="25"/>
      <c r="T9" s="25"/>
      <c r="U9" s="25"/>
      <c r="V9" s="25"/>
      <c r="W9" s="25"/>
    </row>
    <row r="10" spans="1:53" ht="16.5" customHeight="1" thickBot="1">
      <c r="A10" s="47"/>
      <c r="G10" s="405" t="s">
        <v>346</v>
      </c>
      <c r="H10" s="405"/>
      <c r="I10" s="26"/>
      <c r="J10" s="405" t="s">
        <v>345</v>
      </c>
      <c r="K10" s="405"/>
      <c r="L10" s="405"/>
      <c r="M10" s="405"/>
      <c r="O10" s="7"/>
      <c r="R10" s="111" t="s">
        <v>64</v>
      </c>
      <c r="S10" s="112">
        <f>HLOOKUP($A$1, PortfolioData!$B$10:$L$11, 2, FALSE)</f>
        <v>6</v>
      </c>
      <c r="T10" s="129"/>
    </row>
    <row r="11" spans="1:53" ht="15">
      <c r="A11" s="21"/>
      <c r="F11" s="42"/>
      <c r="G11" s="42"/>
      <c r="I11" s="42"/>
      <c r="J11" s="42"/>
      <c r="K11" s="26"/>
      <c r="L11" s="26"/>
      <c r="O11" s="2"/>
      <c r="R11" s="111" t="s">
        <v>63</v>
      </c>
      <c r="S11" s="112">
        <f>HLOOKUP("Average", PortfolioData!$B$10:$L$11, 2, FALSE)</f>
        <v>10</v>
      </c>
      <c r="T11" s="130"/>
    </row>
    <row r="12" spans="1:53" ht="12.75" customHeight="1">
      <c r="A12" s="21"/>
      <c r="O12" s="2"/>
      <c r="S12" s="117" t="s">
        <v>71</v>
      </c>
      <c r="T12" s="122" t="s">
        <v>70</v>
      </c>
    </row>
    <row r="13" spans="1:53" ht="12.75" customHeight="1">
      <c r="A13" s="21"/>
      <c r="D13" s="14"/>
      <c r="E13" s="14"/>
      <c r="O13" s="2"/>
      <c r="R13" s="111" t="s">
        <v>28</v>
      </c>
      <c r="S13" s="117" t="s">
        <v>5</v>
      </c>
      <c r="T13" s="118">
        <f>MATCH(S13, PortfolioData!B:B,0)-PortfolioData!$F$5</f>
        <v>2</v>
      </c>
      <c r="U13" s="119" t="str">
        <f ca="1">OFFSET(PortfolioData!$B$10, T13, $S$10)</f>
        <v>Derwent London</v>
      </c>
    </row>
    <row r="14" spans="1:53" ht="12.75" customHeight="1">
      <c r="A14" s="21"/>
      <c r="O14" s="2"/>
      <c r="R14" s="137" t="s">
        <v>68</v>
      </c>
      <c r="S14" s="117" t="s">
        <v>5</v>
      </c>
      <c r="T14" s="118">
        <f>MATCH(S14, PortfolioData!B:B,0)-PortfolioData!$F$5</f>
        <v>2</v>
      </c>
      <c r="U14" s="119" t="str">
        <f ca="1">OFFSET(PortfolioData!$B$10, T14, $S$11)&amp;"(2)"</f>
        <v>Selected REITs' Avg.(2)</v>
      </c>
    </row>
    <row r="15" spans="1:53" ht="12.75" customHeight="1">
      <c r="A15" s="21"/>
      <c r="D15" s="14"/>
      <c r="E15" s="14"/>
      <c r="O15" s="2"/>
    </row>
    <row r="16" spans="1:53" ht="12.75" customHeight="1">
      <c r="A16" s="21"/>
      <c r="O16" s="2"/>
      <c r="R16" s="24" t="s">
        <v>4</v>
      </c>
      <c r="S16" s="24"/>
      <c r="T16" s="24"/>
      <c r="U16" s="24"/>
      <c r="V16" s="24"/>
      <c r="W16" s="24"/>
    </row>
    <row r="17" spans="1:28" ht="12.75" customHeight="1">
      <c r="A17" s="21"/>
      <c r="C17" s="13"/>
      <c r="O17" s="2"/>
      <c r="R17" t="s">
        <v>7</v>
      </c>
      <c r="X17" s="18"/>
      <c r="Z17" s="18"/>
      <c r="AA17" s="18"/>
      <c r="AB17" s="18"/>
    </row>
    <row r="18" spans="1:28" ht="12.75" customHeight="1">
      <c r="A18" s="21"/>
      <c r="O18" s="2"/>
    </row>
    <row r="19" spans="1:28" ht="12.75" customHeight="1">
      <c r="A19" s="21"/>
      <c r="C19" s="13"/>
      <c r="H19" s="42"/>
      <c r="I19" s="42"/>
      <c r="J19" s="42"/>
      <c r="K19" s="42"/>
      <c r="L19" s="42"/>
      <c r="M19" s="26"/>
      <c r="N19" s="26"/>
      <c r="O19" s="2"/>
      <c r="R19" s="24" t="s">
        <v>13</v>
      </c>
      <c r="S19" s="25"/>
      <c r="T19" s="25"/>
      <c r="U19" s="25"/>
      <c r="V19" s="25"/>
      <c r="W19" s="25"/>
    </row>
    <row r="20" spans="1:28" ht="12.75" customHeight="1">
      <c r="A20" s="21"/>
      <c r="O20" s="2"/>
      <c r="R20" s="117" t="s">
        <v>59</v>
      </c>
      <c r="S20" s="122" t="s">
        <v>62</v>
      </c>
      <c r="T20" s="131" t="s">
        <v>60</v>
      </c>
      <c r="U20" s="122" t="s">
        <v>61</v>
      </c>
      <c r="V20" s="108" t="s">
        <v>8</v>
      </c>
      <c r="W20" s="108" t="s">
        <v>192</v>
      </c>
    </row>
    <row r="21" spans="1:28" ht="12.75" customHeight="1">
      <c r="A21" s="21"/>
      <c r="O21" s="2"/>
      <c r="R21" s="123" t="s">
        <v>187</v>
      </c>
      <c r="S21" s="125">
        <f>MATCH(R21, PortfolioData!B:B,0)-PortfolioData!$F$5</f>
        <v>6</v>
      </c>
      <c r="T21" s="124" t="s">
        <v>193</v>
      </c>
      <c r="U21" s="133">
        <f>MATCH(T21, PortfolioData!B:B,0)-PortfolioData!$F$5</f>
        <v>7</v>
      </c>
      <c r="V21" s="88" t="str">
        <f ca="1">OFFSET(PortfolioData!$B$10, S21, $S$10)</f>
        <v>London Office</v>
      </c>
      <c r="W21" s="245">
        <f ca="1">OFFSET(PortfolioData!$B$10, U21, $S$10)</f>
        <v>0.93854382261931601</v>
      </c>
    </row>
    <row r="22" spans="1:28" ht="12.75" customHeight="1">
      <c r="A22" s="21"/>
      <c r="O22" s="2"/>
      <c r="R22" s="123" t="s">
        <v>188</v>
      </c>
      <c r="S22" s="125">
        <f>MATCH(R22, PortfolioData!B:B,0)-PortfolioData!$F$5</f>
        <v>10</v>
      </c>
      <c r="T22" s="124" t="s">
        <v>194</v>
      </c>
      <c r="U22" s="125">
        <f>MATCH(T22, PortfolioData!B:B,0)-PortfolioData!$F$5</f>
        <v>11</v>
      </c>
      <c r="V22" s="88" t="str">
        <f ca="1">OFFSET(PortfolioData!$B$10, S22, $S$10)</f>
        <v>Retail</v>
      </c>
      <c r="W22" s="245">
        <f ca="1">OFFSET(PortfolioData!$B$10, U22, $S$10)</f>
        <v>6.1456177380683985E-2</v>
      </c>
    </row>
    <row r="23" spans="1:28" ht="12.75" customHeight="1">
      <c r="A23" s="21"/>
      <c r="G23" s="41" t="s">
        <v>343</v>
      </c>
      <c r="H23" s="16" t="s">
        <v>989</v>
      </c>
      <c r="O23" s="2"/>
      <c r="R23" s="123" t="s">
        <v>189</v>
      </c>
      <c r="S23" s="125">
        <f>MATCH(R23, PortfolioData!B:B,0)-PortfolioData!$F$5</f>
        <v>14</v>
      </c>
      <c r="T23" s="124" t="s">
        <v>195</v>
      </c>
      <c r="U23" s="125">
        <f>MATCH(T23, PortfolioData!B:B,0)-PortfolioData!$F$5</f>
        <v>15</v>
      </c>
      <c r="V23" s="88">
        <f ca="1">OFFSET(PortfolioData!$B$10, S23, $S$10)</f>
        <v>0</v>
      </c>
      <c r="W23" s="245">
        <f ca="1">OFFSET(PortfolioData!$B$10, U23, $S$10)</f>
        <v>0</v>
      </c>
    </row>
    <row r="24" spans="1:28" ht="12.75" customHeight="1">
      <c r="A24" s="21"/>
      <c r="G24" s="41" t="s">
        <v>201</v>
      </c>
      <c r="H24" s="16" t="s">
        <v>202</v>
      </c>
      <c r="I24" s="100"/>
      <c r="J24" s="100"/>
      <c r="K24" s="100"/>
      <c r="L24" s="100"/>
      <c r="M24" s="100"/>
      <c r="O24" s="2"/>
      <c r="R24" s="123" t="s">
        <v>190</v>
      </c>
      <c r="S24" s="125">
        <f>MATCH(R24, PortfolioData!B:B,0)-PortfolioData!$F$5</f>
        <v>18</v>
      </c>
      <c r="T24" s="124" t="s">
        <v>196</v>
      </c>
      <c r="U24" s="125">
        <f>MATCH(T24, PortfolioData!B:B,0)-PortfolioData!$F$5</f>
        <v>19</v>
      </c>
      <c r="V24" s="88">
        <f ca="1">OFFSET(PortfolioData!$B$10, S24, $S$10)</f>
        <v>0</v>
      </c>
      <c r="W24" s="245">
        <f ca="1">OFFSET(PortfolioData!$B$10, U24, $S$10)</f>
        <v>0</v>
      </c>
    </row>
    <row r="25" spans="1:28" ht="12.75" customHeight="1">
      <c r="A25" s="2"/>
      <c r="G25" s="41" t="s">
        <v>344</v>
      </c>
      <c r="H25" s="414" t="s">
        <v>313</v>
      </c>
      <c r="I25" s="415"/>
      <c r="J25" s="415"/>
      <c r="K25" s="415"/>
      <c r="L25" s="415"/>
      <c r="M25" s="415"/>
      <c r="O25" s="2"/>
      <c r="R25" s="123" t="s">
        <v>191</v>
      </c>
      <c r="S25" s="125">
        <f>MATCH(R25, PortfolioData!B:B,0)-PortfolioData!$F$5</f>
        <v>22</v>
      </c>
      <c r="T25" s="124" t="s">
        <v>197</v>
      </c>
      <c r="U25" s="125">
        <f>MATCH(T25, PortfolioData!B:B,0)-PortfolioData!$F$5</f>
        <v>23</v>
      </c>
      <c r="V25" s="88">
        <f ca="1">OFFSET(PortfolioData!$B$10, S25, $S$10)</f>
        <v>0</v>
      </c>
      <c r="W25" s="245">
        <f ca="1">OFFSET(PortfolioData!$B$10, U25, $S$10)</f>
        <v>0</v>
      </c>
    </row>
    <row r="26" spans="1:28">
      <c r="A26" s="2"/>
      <c r="H26" s="415"/>
      <c r="I26" s="415"/>
      <c r="J26" s="415"/>
      <c r="K26" s="415"/>
      <c r="L26" s="415"/>
      <c r="M26" s="415"/>
      <c r="O26" s="2"/>
      <c r="R26" s="126" t="s">
        <v>181</v>
      </c>
      <c r="S26" s="128" t="s">
        <v>19</v>
      </c>
      <c r="T26" s="127" t="s">
        <v>181</v>
      </c>
      <c r="U26" s="128" t="s">
        <v>19</v>
      </c>
      <c r="V26" s="211"/>
      <c r="W26" s="212"/>
    </row>
    <row r="27" spans="1:28" ht="15" customHeight="1">
      <c r="A27" s="2"/>
      <c r="H27" s="45"/>
      <c r="I27" s="45"/>
      <c r="J27" s="45"/>
      <c r="K27" s="45"/>
      <c r="O27" s="2"/>
      <c r="T27" s="127" t="s">
        <v>199</v>
      </c>
      <c r="U27" s="246">
        <f>MATCH(T27, PortfolioData!B:B,0)-PortfolioData!$F$5</f>
        <v>25</v>
      </c>
      <c r="V27" s="109" t="s">
        <v>185</v>
      </c>
      <c r="W27" s="269">
        <v>5.0999999999999996</v>
      </c>
    </row>
    <row r="28" spans="1:28" ht="15">
      <c r="A28" s="2"/>
      <c r="H28" s="45"/>
      <c r="I28" s="45"/>
      <c r="J28" s="45"/>
      <c r="K28" s="45"/>
      <c r="L28" s="40"/>
      <c r="M28" s="40"/>
      <c r="O28" s="2"/>
    </row>
    <row r="29" spans="1:28" ht="12.75" customHeight="1">
      <c r="A29" s="2"/>
      <c r="H29" s="33"/>
      <c r="I29" s="36"/>
      <c r="J29" s="36"/>
      <c r="O29" s="2"/>
      <c r="R29" s="15" t="s">
        <v>39</v>
      </c>
      <c r="S29" s="112" t="str">
        <f>"Total Value: " &amp; TEXT( W27, "£#,###.0") &amp; "bn"</f>
        <v>Total Value: £5.1bn</v>
      </c>
    </row>
    <row r="30" spans="1:28" ht="12.75" customHeight="1">
      <c r="A30" s="2"/>
      <c r="H30" s="33"/>
      <c r="I30" s="36"/>
      <c r="J30" s="36"/>
      <c r="O30" s="2"/>
    </row>
    <row r="31" spans="1:28" ht="12.75" customHeight="1">
      <c r="A31" s="2"/>
      <c r="H31" s="28"/>
      <c r="I31" s="37"/>
      <c r="J31" s="37"/>
      <c r="O31" s="2" t="s">
        <v>17</v>
      </c>
    </row>
    <row r="32" spans="1:28">
      <c r="A32" s="2"/>
      <c r="H32" s="28"/>
      <c r="I32" s="37"/>
      <c r="J32" s="37"/>
      <c r="O32" s="2"/>
      <c r="R32" s="24" t="s">
        <v>37</v>
      </c>
      <c r="S32" s="25"/>
      <c r="T32" s="25"/>
      <c r="U32" s="25"/>
      <c r="V32" s="25"/>
      <c r="W32" s="25"/>
    </row>
    <row r="33" spans="1:22">
      <c r="A33" s="2"/>
      <c r="H33" s="28"/>
      <c r="I33" s="37"/>
      <c r="J33" s="37"/>
      <c r="O33" s="2"/>
    </row>
    <row r="34" spans="1:22">
      <c r="A34" s="2"/>
      <c r="H34" s="34"/>
      <c r="I34" s="38"/>
      <c r="J34" s="38"/>
      <c r="O34" s="2"/>
      <c r="R34" s="101" t="s">
        <v>38</v>
      </c>
      <c r="S34" s="131" t="s">
        <v>71</v>
      </c>
      <c r="T34" s="122" t="s">
        <v>70</v>
      </c>
      <c r="U34" s="102" t="str">
        <f ca="1">U13</f>
        <v>Derwent London</v>
      </c>
      <c r="V34" s="101" t="str">
        <f ca="1">U14</f>
        <v>Selected REITs' Avg.(2)</v>
      </c>
    </row>
    <row r="35" spans="1:22">
      <c r="A35" s="2"/>
      <c r="H35" s="34"/>
      <c r="I35" s="38"/>
      <c r="J35" s="38"/>
      <c r="O35" s="2"/>
      <c r="R35" s="103" t="s">
        <v>26</v>
      </c>
      <c r="S35" s="132" t="s">
        <v>26</v>
      </c>
      <c r="T35" s="133">
        <f>MATCH(S35, PortfolioData!B:B,0)-PortfolioData!$F$5</f>
        <v>34</v>
      </c>
      <c r="U35" s="104">
        <f ca="1">OFFSET(PortfolioData!$B$10, T35, $S$10)</f>
        <v>2.9925862258520963E-2</v>
      </c>
      <c r="V35" s="104">
        <f ca="1">OFFSET(PortfolioData!$B$10, T35, $S$11)</f>
        <v>3.3626769078890555E-2</v>
      </c>
    </row>
    <row r="36" spans="1:22">
      <c r="A36" s="2"/>
      <c r="D36" s="26"/>
      <c r="E36" s="26"/>
      <c r="F36" s="26"/>
      <c r="G36" s="26"/>
      <c r="I36" s="18"/>
      <c r="J36" s="18"/>
      <c r="O36" s="2"/>
      <c r="R36" s="103"/>
      <c r="S36" s="134"/>
      <c r="T36" s="135"/>
      <c r="U36" s="105"/>
      <c r="V36" s="105"/>
    </row>
    <row r="37" spans="1:22" ht="15">
      <c r="A37" s="2"/>
      <c r="H37" s="40"/>
      <c r="I37" s="40"/>
      <c r="J37" s="40"/>
      <c r="K37" s="40"/>
      <c r="L37" s="40"/>
      <c r="M37" s="40"/>
      <c r="O37" s="2"/>
      <c r="R37" s="106" t="s">
        <v>27</v>
      </c>
      <c r="S37" s="126" t="s">
        <v>67</v>
      </c>
      <c r="T37" s="128">
        <f>MATCH(S37, PortfolioData!B:B,0)-PortfolioData!$F$5</f>
        <v>31</v>
      </c>
      <c r="U37" s="107">
        <f ca="1">OFFSET(PortfolioData!$B$10, T37, $S$10)</f>
        <v>519.23556743165841</v>
      </c>
      <c r="V37" s="107">
        <f ca="1">OFFSET(PortfolioData!$B$10, T37, $S$11)</f>
        <v>344440.32841654215</v>
      </c>
    </row>
    <row r="38" spans="1:22" ht="12.75" customHeight="1">
      <c r="A38" s="2"/>
      <c r="H38" s="29"/>
      <c r="I38" s="29"/>
      <c r="J38" s="29"/>
      <c r="O38" s="2"/>
    </row>
    <row r="39" spans="1:22">
      <c r="A39" s="2"/>
      <c r="H39" s="35"/>
      <c r="I39" s="35"/>
      <c r="J39" s="35"/>
      <c r="O39" s="2"/>
    </row>
    <row r="40" spans="1:22">
      <c r="A40" s="2"/>
      <c r="H40" s="32"/>
      <c r="I40" s="32"/>
      <c r="J40" s="32"/>
      <c r="O40" s="2"/>
      <c r="R40" s="286" t="s">
        <v>338</v>
      </c>
    </row>
    <row r="41" spans="1:22">
      <c r="A41" s="2"/>
      <c r="H41" s="32"/>
      <c r="O41" s="2"/>
      <c r="R41" s="258" t="s">
        <v>990</v>
      </c>
    </row>
    <row r="42" spans="1:22">
      <c r="A42" s="2"/>
      <c r="O42" s="2"/>
      <c r="R42" s="370" t="s">
        <v>991</v>
      </c>
    </row>
    <row r="43" spans="1:22" ht="8.25" customHeight="1">
      <c r="A43" s="15"/>
      <c r="H43" s="26"/>
      <c r="I43" s="26"/>
      <c r="J43" s="26"/>
      <c r="O43" s="2"/>
    </row>
    <row r="44" spans="1:22">
      <c r="A44" s="15"/>
      <c r="O44" s="2"/>
    </row>
    <row r="45" spans="1:22" ht="12.75" customHeight="1">
      <c r="A45" s="3">
        <v>12.75</v>
      </c>
      <c r="B45" s="260" t="s">
        <v>1004</v>
      </c>
      <c r="M45" s="259" t="s">
        <v>210</v>
      </c>
      <c r="O45" s="2"/>
    </row>
    <row r="46" spans="1:22" ht="13.5" thickBot="1">
      <c r="A46" s="3">
        <v>12.75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8"/>
      <c r="O46" s="7"/>
    </row>
    <row r="47" spans="1:22" ht="23.25" customHeight="1">
      <c r="A47" s="3">
        <v>23.25</v>
      </c>
      <c r="N47" s="19" t="s">
        <v>1006</v>
      </c>
      <c r="O47" s="7"/>
    </row>
    <row r="48" spans="1:22" ht="15" customHeight="1">
      <c r="A48" s="4">
        <v>15</v>
      </c>
      <c r="M48" s="20" t="s">
        <v>242</v>
      </c>
      <c r="O48" s="7"/>
    </row>
    <row r="49" spans="1:53">
      <c r="A49" s="2"/>
      <c r="B49" s="3">
        <v>0.25</v>
      </c>
      <c r="C49" s="3">
        <v>0.75</v>
      </c>
      <c r="D49" s="3">
        <v>37.29</v>
      </c>
      <c r="E49" s="3"/>
      <c r="F49" s="2"/>
      <c r="G49" s="2"/>
      <c r="H49" s="2"/>
      <c r="I49" s="2"/>
      <c r="J49" s="2"/>
      <c r="K49" s="2"/>
      <c r="L49" s="3">
        <v>0.67</v>
      </c>
      <c r="M49" s="3">
        <v>0.33</v>
      </c>
      <c r="N49" s="3">
        <v>0.33</v>
      </c>
      <c r="O49" s="7"/>
      <c r="AB49" s="170" t="s">
        <v>85</v>
      </c>
      <c r="AC49" s="168">
        <v>138</v>
      </c>
      <c r="AD49" s="168">
        <v>65</v>
      </c>
      <c r="AE49" s="168">
        <v>70</v>
      </c>
      <c r="AF49" s="168">
        <v>65</v>
      </c>
      <c r="AG49" s="168">
        <v>66</v>
      </c>
      <c r="AH49" s="168">
        <v>60</v>
      </c>
      <c r="AI49" s="168">
        <v>60</v>
      </c>
      <c r="AJ49" s="168">
        <v>68</v>
      </c>
      <c r="AK49" s="169">
        <v>325</v>
      </c>
    </row>
    <row r="50" spans="1:5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AB50" s="117" t="s">
        <v>84</v>
      </c>
      <c r="AC50" s="131">
        <f>MATCH(AC53, AssetData_Investment!$B$12:$O$12,0)-1</f>
        <v>4</v>
      </c>
      <c r="AD50" s="131">
        <f>MATCH(AD53, AssetData_Investment!$B$12:$O$12,0)-1</f>
        <v>5</v>
      </c>
      <c r="AE50" s="131">
        <f>MATCH(AE53, AssetData_Investment!$B$12:$O$12,0)-1</f>
        <v>6</v>
      </c>
      <c r="AF50" s="172" t="s">
        <v>50</v>
      </c>
      <c r="AG50" s="131">
        <f>MATCH(AG53, AssetData_Investment!$B$12:$O$12,0)-1</f>
        <v>7</v>
      </c>
      <c r="AH50" s="172" t="s">
        <v>50</v>
      </c>
      <c r="AI50" s="131">
        <f>MATCH("Rent (£m)", AssetData_Investment!$B$12:$O$12,0)-1</f>
        <v>8</v>
      </c>
      <c r="AJ50" s="131">
        <f>MATCH(AJ53, AssetData_Investment!$B$12:$O$12,0)-1</f>
        <v>9</v>
      </c>
      <c r="AK50" s="131">
        <f>MATCH(AK53, AssetData_Investment!$B$12:$O$12,0)-1</f>
        <v>10</v>
      </c>
    </row>
    <row r="52" spans="1:53" ht="13.5" customHeight="1">
      <c r="AC52" s="402" t="s">
        <v>247</v>
      </c>
      <c r="AD52" s="402"/>
      <c r="AE52" s="402"/>
      <c r="AF52" s="402"/>
      <c r="AG52" s="402"/>
      <c r="AH52" s="402"/>
      <c r="AI52" s="402"/>
      <c r="AJ52" s="402"/>
      <c r="AK52" s="27"/>
    </row>
    <row r="53" spans="1:53" ht="12.75" customHeight="1">
      <c r="AA53" s="162" t="s">
        <v>82</v>
      </c>
      <c r="AB53" s="363" t="s">
        <v>83</v>
      </c>
      <c r="AC53" s="58" t="s">
        <v>9</v>
      </c>
      <c r="AD53" s="59" t="s">
        <v>10</v>
      </c>
      <c r="AE53" s="412" t="s">
        <v>88</v>
      </c>
      <c r="AF53" s="403" t="s">
        <v>30</v>
      </c>
      <c r="AG53" s="403" t="s">
        <v>22</v>
      </c>
      <c r="AH53" s="403" t="s">
        <v>32</v>
      </c>
      <c r="AI53" s="403" t="s">
        <v>23</v>
      </c>
      <c r="AJ53" s="58" t="s">
        <v>11</v>
      </c>
      <c r="AK53" s="58" t="s">
        <v>12</v>
      </c>
    </row>
    <row r="54" spans="1:53">
      <c r="AA54" s="164"/>
      <c r="AB54" s="364"/>
      <c r="AC54" s="60"/>
      <c r="AD54" s="61"/>
      <c r="AE54" s="413" t="s">
        <v>31</v>
      </c>
      <c r="AF54" s="404"/>
      <c r="AG54" s="404"/>
      <c r="AH54" s="404"/>
      <c r="AI54" s="404"/>
      <c r="AJ54" s="61"/>
      <c r="AK54" s="60"/>
    </row>
    <row r="55" spans="1:53" ht="12.75" customHeight="1">
      <c r="AA55" s="164" t="str">
        <f>$A$1 &amp; "1"</f>
        <v>DLN1</v>
      </c>
      <c r="AB55" s="364">
        <f>MATCH($AA55, AssetData_Investment!A:A,0)-AssetData_Investment!$C$4</f>
        <v>16</v>
      </c>
      <c r="AC55" s="62" t="str">
        <f ca="1">OFFSET(AssetData_Investment!$B$12,$AB55, AC$50)</f>
        <v>1-2 Stephen St</v>
      </c>
      <c r="AD55" s="63" t="str">
        <f ca="1">IF(OFFSET(AssetData_Investment!$B$12,$AB55, AD$50)="", "", OFFSET(AssetData_Investment!$B$12,$AB55, AD$50))</f>
        <v>West End</v>
      </c>
      <c r="AE55" s="92">
        <f ca="1">MROUND(OFFSET(AssetData_Investment!$B$12,$AB55, AE$50),10)</f>
        <v>340</v>
      </c>
      <c r="AF55" s="65">
        <f ca="1">AE55/$AE$59</f>
        <v>0.1059190031152648</v>
      </c>
      <c r="AG55" s="96">
        <f ca="1">OFFSET(AssetData_Investment!$B$12,$AB55, AG$50)</f>
        <v>266</v>
      </c>
      <c r="AH55" s="64">
        <f ca="1">MROUND(AE55*1000/AG55,5)</f>
        <v>1280</v>
      </c>
      <c r="AI55" s="270">
        <f ca="1">OFFSET(AssetData_Investment!$B$12,$AB55, AI$50)*1000/AG55</f>
        <v>63.909774436090224</v>
      </c>
      <c r="AJ55" s="272">
        <f ca="1">OFFSET(AssetData_Investment!$B$12,$AB55, AJ$50)</f>
        <v>0.95864661654135341</v>
      </c>
      <c r="AK55" s="67" t="str">
        <f ca="1">OFFSET(AssetData_Investment!$B$12,$AB55, AK$50)</f>
        <v>Office and retail development, completed in 2015</v>
      </c>
    </row>
    <row r="56" spans="1:53">
      <c r="AA56" s="164" t="str">
        <f>$A$1 &amp; "2"</f>
        <v>DLN2</v>
      </c>
      <c r="AB56" s="364">
        <f>MATCH($AA56, AssetData_Investment!A:A,0)-AssetData_Investment!$C$4</f>
        <v>17</v>
      </c>
      <c r="AC56" s="68" t="str">
        <f ca="1">OFFSET(AssetData_Investment!$B$12,$AB56, AC$50)</f>
        <v>The Angel Building</v>
      </c>
      <c r="AD56" s="69" t="str">
        <f ca="1">IF(OFFSET(AssetData_Investment!$B$12,$AB56, AD$50)="", "", OFFSET(AssetData_Investment!$B$12,$AB56, AD$50))</f>
        <v>Islington</v>
      </c>
      <c r="AE56" s="93">
        <f ca="1">MROUND(OFFSET(AssetData_Investment!$B$12,$AB56, AE$50),10)</f>
        <v>240</v>
      </c>
      <c r="AF56" s="71">
        <f ca="1">AE56/$AE$59</f>
        <v>7.476635514018691E-2</v>
      </c>
      <c r="AG56" s="97">
        <f ca="1">OFFSET(AssetData_Investment!$B$12,$AB56, AG$50)</f>
        <v>262</v>
      </c>
      <c r="AH56" s="72">
        <f ca="1">MROUND(AE56*1000/AG56,5)</f>
        <v>915</v>
      </c>
      <c r="AI56" s="271">
        <f ca="1">OFFSET(AssetData_Investment!$B$12,$AB56, AI$50)*1000/AG56</f>
        <v>47.709923664122137</v>
      </c>
      <c r="AJ56" s="273">
        <f ca="1">OFFSET(AssetData_Investment!$B$12,$AB56, AJ$50)</f>
        <v>1</v>
      </c>
      <c r="AK56" s="73" t="str">
        <f ca="1">OFFSET(AssetData_Investment!$B$12,$AB56, AK$50)</f>
        <v>DLN's biggest ever redevelopment.</v>
      </c>
    </row>
    <row r="57" spans="1:53" ht="11.25" customHeight="1">
      <c r="AA57" s="164" t="str">
        <f>$A$1 &amp; "3"</f>
        <v>DLN3</v>
      </c>
      <c r="AB57" s="364">
        <f>MATCH($AA57, AssetData_Investment!A:A,0)-AssetData_Investment!$C$4</f>
        <v>18</v>
      </c>
      <c r="AC57" s="62" t="str">
        <f ca="1">OFFSET(AssetData_Investment!$B$12,$AB57, AC$50)</f>
        <v>8 Fitzroy St</v>
      </c>
      <c r="AD57" s="63" t="str">
        <f ca="1">IF(OFFSET(AssetData_Investment!$B$12,$AB57, AD$50)="", "", OFFSET(AssetData_Investment!$B$12,$AB57, AD$50))</f>
        <v>NoHo</v>
      </c>
      <c r="AE57" s="94">
        <f ca="1">MROUND(OFFSET(AssetData_Investment!$B$12,$AB57, AE$50),10)</f>
        <v>180</v>
      </c>
      <c r="AF57" s="65">
        <f ca="1">AE57/$AE$59</f>
        <v>5.6074766355140186E-2</v>
      </c>
      <c r="AG57" s="96">
        <f ca="1">OFFSET(AssetData_Investment!$B$12,$AB57, AG$50)</f>
        <v>147.9</v>
      </c>
      <c r="AH57" s="64">
        <f ca="1">MROUND(AE57*1000/AG57,5)</f>
        <v>1215</v>
      </c>
      <c r="AI57" s="270">
        <f ca="1">OFFSET(AssetData_Investment!$B$12,$AB57, AI$50)*1000/AG57</f>
        <v>47.329276538201484</v>
      </c>
      <c r="AJ57" s="274">
        <f ca="1">OFFSET(AssetData_Investment!$B$12,$AB57, AJ$50)</f>
        <v>1</v>
      </c>
      <c r="AK57" s="75" t="str">
        <f ca="1">OFFSET(AssetData_Investment!$B$12,$AB57, AK$50)</f>
        <v>Leased to Arup with uplifts of c.3% p.a. for 20 years</v>
      </c>
    </row>
    <row r="58" spans="1:53">
      <c r="AA58" s="166" t="str">
        <f>$A$1 &amp; "Other"</f>
        <v>DLNOther</v>
      </c>
      <c r="AB58" s="364">
        <f>MATCH($AA58, AssetData_Investment!A:A,0)-AssetData_Investment!$C$4</f>
        <v>19</v>
      </c>
      <c r="AC58" s="68" t="str">
        <f ca="1">OFFSET(AssetData_Investment!$B$12,$AB58, AC$50)</f>
        <v>Other London Offices</v>
      </c>
      <c r="AD58" s="171" t="str">
        <f ca="1">IF(OFFSET(AssetData_Investment!$B$12,$AB58, AD$50)="", "", OFFSET(AssetData_Investment!$B$12,$AB58, AD$50))</f>
        <v/>
      </c>
      <c r="AE58" s="93">
        <f ca="1">MROUND(OFFSET(AssetData_Investment!$B$12,$AB58, AE$50),10)</f>
        <v>2450</v>
      </c>
      <c r="AF58" s="71">
        <f ca="1">AE58/$AE$59</f>
        <v>0.76323987538940807</v>
      </c>
      <c r="AG58" s="97">
        <f ca="1">OFFSET(AssetData_Investment!$B$12,$AB58, AG$50)</f>
        <v>5493.1</v>
      </c>
      <c r="AH58" s="72">
        <f ca="1">MROUND(AE58*1000/AG58,5)</f>
        <v>445</v>
      </c>
      <c r="AI58" s="271">
        <f ca="1">OFFSET(AssetData_Investment!$B$12,$AB58, AI$50)*1000/AG58</f>
        <v>20.041371427800424</v>
      </c>
      <c r="AJ58" s="273">
        <f ca="1">OFFSET(AssetData_Investment!$B$12,$AB58, AJ$50)</f>
        <v>0.98777448071216623</v>
      </c>
      <c r="AK58" s="73"/>
      <c r="AN58" s="170" t="s">
        <v>85</v>
      </c>
      <c r="AO58" s="168">
        <v>149</v>
      </c>
      <c r="AP58" s="168">
        <v>67</v>
      </c>
      <c r="AQ58" s="168">
        <v>66</v>
      </c>
      <c r="AR58" s="168">
        <v>64</v>
      </c>
      <c r="AS58" s="168">
        <v>60</v>
      </c>
      <c r="AT58" s="168">
        <v>60</v>
      </c>
      <c r="AU58" s="168">
        <v>60</v>
      </c>
      <c r="AV58" s="168">
        <v>66</v>
      </c>
      <c r="AW58" s="168">
        <v>82</v>
      </c>
      <c r="AX58" s="168">
        <v>81</v>
      </c>
      <c r="AY58" s="168">
        <v>81</v>
      </c>
      <c r="AZ58" s="168">
        <v>81</v>
      </c>
      <c r="BA58" s="181">
        <f>SUM(AO58:AZ58)</f>
        <v>917</v>
      </c>
    </row>
    <row r="59" spans="1:53" ht="14.25" customHeight="1" thickBot="1">
      <c r="AA59" s="166" t="str">
        <f>$A$1 &amp; "Total"</f>
        <v>DLNTotal</v>
      </c>
      <c r="AB59" s="165">
        <f>MATCH($AA59, AssetData_Investment!A:A,0)-AssetData_Investment!$C$4</f>
        <v>20</v>
      </c>
      <c r="AC59" s="53" t="s">
        <v>25</v>
      </c>
      <c r="AD59" s="54"/>
      <c r="AE59" s="95">
        <f ca="1">MROUND(SUM(AE55:AE58),10)</f>
        <v>3210</v>
      </c>
      <c r="AF59" s="55">
        <f ca="1">SUM(AF55:AF58)</f>
        <v>1</v>
      </c>
      <c r="AG59" s="98">
        <f ca="1">SUM(AG55:AG58)</f>
        <v>6169</v>
      </c>
      <c r="AH59" s="56">
        <f ca="1">MROUND(SUMPRODUCT(AH55:AH58,$AG$55:$AG$58)/SUMPRODUCT($AG$55:$AG$58),5)</f>
        <v>520</v>
      </c>
      <c r="AI59" s="56">
        <f ca="1">OFFSET(AssetData_Investment!$B$12,$AB59, AI$50)*1000/AG59</f>
        <v>23.76223981035022</v>
      </c>
      <c r="AJ59" s="55">
        <f ca="1">OFFSET(AssetData_Investment!$B$12,$AB59, AJ$50)</f>
        <v>0.98733084778732372</v>
      </c>
      <c r="AK59" s="57"/>
      <c r="AN59" s="166" t="s">
        <v>84</v>
      </c>
      <c r="AO59" s="179">
        <f>MATCH(AO63, AssetData_Developments!$B$12:$S$12, 0)-1</f>
        <v>4</v>
      </c>
      <c r="AP59" s="179">
        <f>MATCH(AP63, AssetData_Developments!$B$12:$S$12, 0)-1</f>
        <v>6</v>
      </c>
      <c r="AQ59" s="179">
        <f>MATCH(AQ63, AssetData_Developments!$B$12:$S$12, 0)-1</f>
        <v>7</v>
      </c>
      <c r="AR59" s="180" t="s">
        <v>50</v>
      </c>
      <c r="AS59" s="179">
        <f>MATCH(AS63, AssetData_Developments!$B$12:$S$12, 0)-1</f>
        <v>8</v>
      </c>
      <c r="AT59" s="180" t="s">
        <v>50</v>
      </c>
      <c r="AU59" s="179">
        <f>MATCH("Rent (£m)", AssetData_Developments!$B$12:$S$12, 0)-1</f>
        <v>9</v>
      </c>
      <c r="AV59" s="179">
        <f>MATCH(AV63, AssetData_Developments!$B$12:$S$12, 0)-1</f>
        <v>10</v>
      </c>
      <c r="AW59" s="179">
        <f>MATCH(AW63, AssetData_Developments!$B$12:$S$12, 0)-1</f>
        <v>11</v>
      </c>
      <c r="AX59" s="179">
        <f>MATCH(AX63, AssetData_Developments!$B$12:$S$12, 0)-1</f>
        <v>12</v>
      </c>
      <c r="AY59" s="179">
        <f>MATCH(AY63, AssetData_Developments!$B$12:$S$12, 0)-1</f>
        <v>13</v>
      </c>
      <c r="AZ59" s="179">
        <f>MATCH(AZ63, AssetData_Developments!$B$12:$S$12, 0)-1</f>
        <v>14</v>
      </c>
    </row>
    <row r="61" spans="1:53">
      <c r="AC61" t="s">
        <v>227</v>
      </c>
      <c r="AE61">
        <v>10</v>
      </c>
      <c r="AH61">
        <v>5</v>
      </c>
      <c r="AI61">
        <v>1</v>
      </c>
      <c r="BA61" s="251" t="s">
        <v>206</v>
      </c>
    </row>
    <row r="62" spans="1:53" ht="13.5" customHeight="1">
      <c r="AO62" s="409" t="s">
        <v>248</v>
      </c>
      <c r="AP62" s="409"/>
      <c r="AQ62" s="409"/>
      <c r="AR62" s="409"/>
      <c r="AS62" s="409"/>
      <c r="AT62" s="409"/>
      <c r="AU62" s="409"/>
      <c r="AV62" s="409"/>
      <c r="AW62" s="409"/>
      <c r="AX62" s="43"/>
      <c r="AY62" s="43"/>
      <c r="AZ62" s="381"/>
      <c r="BA62" s="378"/>
    </row>
    <row r="63" spans="1:53" ht="12.75" customHeight="1">
      <c r="AE63" s="356"/>
      <c r="AM63" s="162" t="s">
        <v>82</v>
      </c>
      <c r="AN63" s="363" t="s">
        <v>83</v>
      </c>
      <c r="AO63" s="58" t="s">
        <v>9</v>
      </c>
      <c r="AP63" s="76" t="s">
        <v>10</v>
      </c>
      <c r="AQ63" s="400" t="s">
        <v>16</v>
      </c>
      <c r="AR63" s="400" t="s">
        <v>33</v>
      </c>
      <c r="AS63" s="400" t="s">
        <v>22</v>
      </c>
      <c r="AT63" s="400" t="s">
        <v>24</v>
      </c>
      <c r="AU63" s="400" t="s">
        <v>23</v>
      </c>
      <c r="AV63" s="1" t="s">
        <v>20</v>
      </c>
      <c r="AW63" s="400" t="s">
        <v>34</v>
      </c>
      <c r="AX63" s="400" t="s">
        <v>36</v>
      </c>
      <c r="AY63" s="400" t="s">
        <v>35</v>
      </c>
      <c r="AZ63" s="400" t="s">
        <v>15</v>
      </c>
      <c r="BA63" s="378"/>
    </row>
    <row r="64" spans="1:53">
      <c r="AM64" s="164"/>
      <c r="AN64" s="364"/>
      <c r="AO64" s="77"/>
      <c r="AP64" s="78"/>
      <c r="AQ64" s="401"/>
      <c r="AR64" s="401"/>
      <c r="AS64" s="401"/>
      <c r="AT64" s="401"/>
      <c r="AU64" s="401"/>
      <c r="AV64" s="79"/>
      <c r="AW64" s="401"/>
      <c r="AX64" s="401"/>
      <c r="AY64" s="401"/>
      <c r="AZ64" s="401"/>
      <c r="BA64" s="378"/>
    </row>
    <row r="65" spans="39:53">
      <c r="AM65" s="164" t="str">
        <f>$A$1 &amp; "1"</f>
        <v>DLN1</v>
      </c>
      <c r="AN65" s="364">
        <f>MATCH($AM65, AssetData_Developments!A:A,0)-AssetData_Developments!$C$4</f>
        <v>16</v>
      </c>
      <c r="AO65" s="80" t="str">
        <f ca="1">OFFSET(AssetData_Developments!$B$12, $AN65,AO$59)</f>
        <v>White Collar Factory</v>
      </c>
      <c r="AP65" s="81" t="str">
        <f ca="1">IF(OFFSET(AssetData_Developments!$B$12, $AN65,AP$59)="", "", OFFSET(AssetData_Developments!$B$12, $AN65,AP$59))</f>
        <v>City fringe</v>
      </c>
      <c r="AQ65" s="82">
        <f ca="1">OFFSET(AssetData_Developments!$B$12, $AN65,AQ$59)</f>
        <v>209.7</v>
      </c>
      <c r="AR65" s="83">
        <f ca="1">AQ65/$AQ$69</f>
        <v>0.18719871451526515</v>
      </c>
      <c r="AS65" s="84">
        <f ca="1">OFFSET(AssetData_Developments!$B$12, $AN65,AS$59)</f>
        <v>293</v>
      </c>
      <c r="AT65" s="85">
        <f ca="1">MROUND(AQ65*1000/AS65,5)</f>
        <v>715</v>
      </c>
      <c r="AU65" s="85">
        <f ca="1">OFFSET(AssetData_Developments!$B$12, $AN65,AU$59)*1000/AS65</f>
        <v>56.996587030716725</v>
      </c>
      <c r="AV65" s="86">
        <f ca="1">OFFSET(AssetData_Developments!$B$12, $AN65,AV$59)</f>
        <v>0.56000000000000005</v>
      </c>
      <c r="AW65" s="87">
        <f ca="1">OFFSET(AssetData_Developments!$B$12, $AN65,AW$59)</f>
        <v>7.9637579999999999E-2</v>
      </c>
      <c r="AX65" s="87">
        <f ca="1">OFFSET(AssetData_Developments!$B$12, $AN65,AX$59)</f>
        <v>4.4999999999999998E-2</v>
      </c>
      <c r="AY65" s="263">
        <f ca="1">OFFSET(AssetData_Developments!$B$12, $AN65,AY$59)</f>
        <v>0.67349782000000002</v>
      </c>
      <c r="AZ65" s="188" t="str">
        <f ca="1">OFFSET(AssetData_Developments!$B$12, $AN65,AZ$59)</f>
        <v>Q4 '16</v>
      </c>
      <c r="BA65" s="378"/>
    </row>
    <row r="66" spans="39:53">
      <c r="AM66" s="164" t="str">
        <f>$A$1 &amp; "2"</f>
        <v>DLN2</v>
      </c>
      <c r="AN66" s="364">
        <f>MATCH($AM66, AssetData_Developments!A:A,0)-AssetData_Developments!$C$4</f>
        <v>17</v>
      </c>
      <c r="AO66" s="68" t="str">
        <f ca="1">OFFSET(AssetData_Developments!$B$12, $AN66,AO$59)</f>
        <v>80 Charlotte St</v>
      </c>
      <c r="AP66" s="69" t="str">
        <f ca="1">IF(OFFSET(AssetData_Developments!$B$12, $AN66,AP$59)="", "", OFFSET(AssetData_Developments!$B$12, $AN66,AP$59))</f>
        <v>NoHo</v>
      </c>
      <c r="AQ66" s="93">
        <f ca="1">OFFSET(AssetData_Developments!$B$12, $AN66,AQ$59)</f>
        <v>509.4</v>
      </c>
      <c r="AR66" s="216">
        <f ca="1">AQ66/$AQ$69</f>
        <v>0.45474022495982863</v>
      </c>
      <c r="AS66" s="217">
        <f ca="1">OFFSET(AssetData_Developments!$B$12, $AN66,AS$59)</f>
        <v>380</v>
      </c>
      <c r="AT66" s="70">
        <f ca="1">MROUND(AQ66*1000/AS66,5)</f>
        <v>1340</v>
      </c>
      <c r="AU66" s="70">
        <f ca="1">OFFSET(AssetData_Developments!$B$12, $AN66,AU$59)*1000/AS66</f>
        <v>69.473684210526315</v>
      </c>
      <c r="AV66" s="218">
        <f ca="1">OFFSET(AssetData_Developments!$B$12, $AN66,AV$59)</f>
        <v>0</v>
      </c>
      <c r="AW66" s="219">
        <f ca="1">OFFSET(AssetData_Developments!$B$12, $AN66,AW$59)</f>
        <v>5.1825679999999999E-2</v>
      </c>
      <c r="AX66" s="219">
        <f ca="1">OFFSET(AssetData_Developments!$B$12, $AN66,AX$59)</f>
        <v>3.7499999999999999E-2</v>
      </c>
      <c r="AY66" s="71">
        <f ca="1">OFFSET(AssetData_Developments!$B$12, $AN66,AY$59)</f>
        <v>0.30687287000000002</v>
      </c>
      <c r="AZ66" s="220" t="str">
        <f ca="1">OFFSET(AssetData_Developments!$B$12, $AN66,AZ$59)</f>
        <v>Q3 '19</v>
      </c>
      <c r="BA66" s="378"/>
    </row>
    <row r="67" spans="39:53">
      <c r="AM67" s="164" t="str">
        <f>$A$1 &amp; "3"</f>
        <v>DLN3</v>
      </c>
      <c r="AN67" s="364">
        <f>MATCH($AM67, AssetData_Developments!A:A,0)-AssetData_Developments!$C$4</f>
        <v>18</v>
      </c>
      <c r="AO67" s="376" t="str">
        <f ca="1">OFFSET(AssetData_Developments!$B$12, $AN67,AO$59)</f>
        <v>Brunel Building</v>
      </c>
      <c r="AP67" s="81" t="str">
        <f ca="1">IF(OFFSET(AssetData_Developments!$B$12, $AN67,AP$59)="", "", OFFSET(AssetData_Developments!$B$12, $AN67,AP$59))</f>
        <v>Paddington</v>
      </c>
      <c r="AQ67" s="82">
        <f ca="1">OFFSET(AssetData_Developments!$B$12, $AN67,AQ$59)</f>
        <v>252.8</v>
      </c>
      <c r="AR67" s="83">
        <f ca="1">AQ67/$AQ$69</f>
        <v>0.2256739867880736</v>
      </c>
      <c r="AS67" s="84">
        <f ca="1">OFFSET(AssetData_Developments!$B$12, $AN67,AS$59)</f>
        <v>240</v>
      </c>
      <c r="AT67" s="85">
        <f ca="1">MROUND(AQ67*1000/AS67,5)</f>
        <v>1055</v>
      </c>
      <c r="AU67" s="85">
        <f ca="1">OFFSET(AssetData_Developments!$B$12, $AN67,AU$59)*1000/AS67</f>
        <v>61.666666666666664</v>
      </c>
      <c r="AV67" s="86">
        <f ca="1">OFFSET(AssetData_Developments!$B$12, $AN67,AV$59)</f>
        <v>0</v>
      </c>
      <c r="AW67" s="87">
        <f ca="1">OFFSET(AssetData_Developments!$B$12, $AN67,AW$59)</f>
        <v>5.8544300000000001E-2</v>
      </c>
      <c r="AX67" s="87">
        <f ca="1">OFFSET(AssetData_Developments!$B$12, $AN67,AX$59)</f>
        <v>4.3999999999999997E-2</v>
      </c>
      <c r="AY67" s="263">
        <f ca="1">OFFSET(AssetData_Developments!$B$12, $AN67,AY$59)</f>
        <v>0.25820554000000001</v>
      </c>
      <c r="AZ67" s="188" t="str">
        <f ca="1">OFFSET(AssetData_Developments!$B$12, $AN67,AZ$59)</f>
        <v>Q1 '19</v>
      </c>
      <c r="BA67" s="378"/>
    </row>
    <row r="68" spans="39:53">
      <c r="AM68" s="166" t="str">
        <f>$A$1 &amp; "Other"</f>
        <v>DLNOther</v>
      </c>
      <c r="AN68" s="179">
        <f>MATCH($AM68, AssetData_Developments!A:A,0)-AssetData_Developments!$C$4</f>
        <v>19</v>
      </c>
      <c r="AO68" s="377" t="str">
        <f ca="1">IF(BA68="No", "", OFFSET(AssetData_Developments!$B$12, $AN68,AO$59))</f>
        <v>Other</v>
      </c>
      <c r="AP68" s="69"/>
      <c r="AQ68" s="93">
        <f ca="1">IF(BA68="No", "", OFFSET(AssetData_Developments!$B$12, $AN68,AQ$59))</f>
        <v>148.30000000000001</v>
      </c>
      <c r="AR68" s="216">
        <f ca="1">IF(BA68="No", "",  AQ68/$AQ$69)</f>
        <v>0.13238707373683273</v>
      </c>
      <c r="AS68" s="217">
        <f ca="1">IF(BA68="No", "", OFFSET(AssetData_Developments!$B$12, $AN68,AS$59))</f>
        <v>107.15</v>
      </c>
      <c r="AT68" s="70">
        <f ca="1">IF(BA68="No", "",  AQ68*1000/AS68)</f>
        <v>1384.0410639290712</v>
      </c>
      <c r="AU68" s="70">
        <f ca="1">IF(BA68="No", "", OFFSET(AssetData_Developments!$B$12, $AN68,AU$59)*1000/AS68)</f>
        <v>77.461502566495568</v>
      </c>
      <c r="AV68" s="218">
        <f ca="1">IF(BA68="No", "", OFFSET(AssetData_Developments!$B$12, $AN68,AV$59))</f>
        <v>0.81</v>
      </c>
      <c r="AW68" s="219">
        <f ca="1">IF(BA68="No", "", OFFSET(AssetData_Developments!$B$12, $AN68,AW$59))</f>
        <v>0</v>
      </c>
      <c r="AX68" s="219">
        <f ca="1">IF(BA68="No", "", OFFSET(AssetData_Developments!$B$12, $AN68,AX$59))</f>
        <v>0</v>
      </c>
      <c r="AY68" s="71">
        <f ca="1">IF(BA68="No", "", OFFSET(AssetData_Developments!$B$12, $AN68,AY$59))</f>
        <v>0</v>
      </c>
      <c r="AZ68" s="220">
        <f ca="1">IF(BA68="No", "", OFFSET(AssetData_Developments!$B$12, $AN68,AZ$59))</f>
        <v>0</v>
      </c>
      <c r="BA68" s="379" t="str">
        <f ca="1">IF(OFFSET(AssetData_Developments!$B$12, $AN68,AO$59)="", "No", "")</f>
        <v/>
      </c>
    </row>
    <row r="69" spans="39:53" ht="14.25" customHeight="1" thickBot="1">
      <c r="AO69" s="48" t="s">
        <v>25</v>
      </c>
      <c r="AP69" s="49"/>
      <c r="AQ69" s="91">
        <f ca="1">SUM(AQ65:AQ68)</f>
        <v>1120.1999999999998</v>
      </c>
      <c r="AR69" s="89">
        <f ca="1">SUM(AR65:AR68)</f>
        <v>1.0000000000000002</v>
      </c>
      <c r="AS69" s="90">
        <f ca="1">SUM(AS65:AS68)</f>
        <v>1020.15</v>
      </c>
      <c r="AT69" s="50">
        <f ca="1">MROUND(SUMPRODUCT(AT65:AT66,AS65:AS66)/AS69,5)</f>
        <v>705</v>
      </c>
      <c r="AU69" s="50">
        <f ca="1">SUMPRODUCT(AU65:AU66,AS65:AS66)/AS69</f>
        <v>42.248688918296331</v>
      </c>
      <c r="AV69" s="51">
        <f ca="1">SUMPRODUCT(AV65:AV68,$AS$65:$AS$68)/$AS$69</f>
        <v>0.24591628682056563</v>
      </c>
      <c r="AW69" s="52">
        <f ca="1">SUMPRODUCT(AW65:AW68,$AS$65:$AS$68)/$AS$69</f>
        <v>5.5950792863794542E-2</v>
      </c>
      <c r="AX69" s="52">
        <f ca="1">SUMPRODUCT(AX65:AX68,$AS$65:$AS$68)/$AS$69</f>
        <v>3.724452286428466E-2</v>
      </c>
      <c r="AY69" s="51">
        <f ca="1">SUMPRODUCT(AY65:AY68,$AS$65:$AS$68)/$AS$69</f>
        <v>0.36849079200117629</v>
      </c>
      <c r="AZ69" s="48"/>
      <c r="BA69" s="380"/>
    </row>
    <row r="71" spans="39:53">
      <c r="AO71" t="s">
        <v>227</v>
      </c>
      <c r="AQ71">
        <v>10</v>
      </c>
      <c r="AT71">
        <v>5</v>
      </c>
      <c r="AU71">
        <v>1</v>
      </c>
    </row>
  </sheetData>
  <mergeCells count="21">
    <mergeCell ref="AZ63:AZ64"/>
    <mergeCell ref="AT63:AT64"/>
    <mergeCell ref="AC52:AJ52"/>
    <mergeCell ref="AG53:AG54"/>
    <mergeCell ref="AF53:AF54"/>
    <mergeCell ref="AX63:AX64"/>
    <mergeCell ref="AY63:AY64"/>
    <mergeCell ref="J10:M10"/>
    <mergeCell ref="AS63:AS64"/>
    <mergeCell ref="D5:D6"/>
    <mergeCell ref="K5:N5"/>
    <mergeCell ref="AO62:AW62"/>
    <mergeCell ref="AU63:AU64"/>
    <mergeCell ref="AR63:AR64"/>
    <mergeCell ref="G10:H10"/>
    <mergeCell ref="AW63:AW64"/>
    <mergeCell ref="AH53:AH54"/>
    <mergeCell ref="H25:M26"/>
    <mergeCell ref="AI53:AI54"/>
    <mergeCell ref="AE53:AE54"/>
    <mergeCell ref="AQ63:AQ64"/>
  </mergeCells>
  <phoneticPr fontId="0" type="noConversion"/>
  <pageMargins left="0.47244094488188981" right="0.47244094488188981" top="0.27559055118110237" bottom="7.874015748031496E-2" header="0.51181102362204722" footer="0.51181102362204722"/>
  <pageSetup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55"/>
  </sheetPr>
  <dimension ref="A1:BB69"/>
  <sheetViews>
    <sheetView showGridLines="0" tabSelected="1" zoomScaleNormal="100" zoomScaleSheetLayoutView="100" workbookViewId="0">
      <selection activeCell="AX79" sqref="AX79"/>
    </sheetView>
  </sheetViews>
  <sheetFormatPr defaultRowHeight="12.75"/>
  <cols>
    <col min="2" max="2" width="0.42578125" customWidth="1"/>
    <col min="3" max="3" width="1.28515625" customWidth="1"/>
    <col min="4" max="4" width="63.7109375" customWidth="1"/>
    <col min="5" max="5" width="5.28515625" customWidth="1"/>
    <col min="6" max="6" width="1.42578125" customWidth="1"/>
    <col min="7" max="7" width="2.5703125" customWidth="1"/>
    <col min="8" max="8" width="24.85546875" customWidth="1"/>
    <col min="9" max="9" width="2.42578125" customWidth="1"/>
    <col min="10" max="10" width="24.7109375" customWidth="1"/>
    <col min="11" max="11" width="2.5703125" customWidth="1"/>
    <col min="12" max="12" width="1.140625" customWidth="1"/>
    <col min="13" max="14" width="0.5703125" customWidth="1"/>
    <col min="18" max="18" width="16.42578125" customWidth="1"/>
    <col min="19" max="19" width="14.7109375" bestFit="1" customWidth="1"/>
    <col min="20" max="20" width="20.28515625" bestFit="1" customWidth="1"/>
    <col min="21" max="21" width="18.140625" customWidth="1"/>
    <col min="22" max="22" width="20.28515625" bestFit="1" customWidth="1"/>
    <col min="23" max="23" width="14.5703125" customWidth="1"/>
    <col min="25" max="25" width="9.140625" style="2"/>
    <col min="27" max="27" width="10.42578125" bestFit="1" customWidth="1"/>
    <col min="28" max="28" width="11.140625" bestFit="1" customWidth="1"/>
    <col min="29" max="29" width="19.7109375" customWidth="1"/>
    <col min="30" max="30" width="9.28515625" customWidth="1"/>
    <col min="31" max="31" width="10" customWidth="1"/>
    <col min="32" max="32" width="9.28515625" customWidth="1"/>
    <col min="33" max="33" width="9.42578125" customWidth="1"/>
    <col min="34" max="35" width="8.5703125" customWidth="1"/>
    <col min="36" max="36" width="9.7109375" customWidth="1"/>
    <col min="37" max="37" width="46.42578125" customWidth="1"/>
    <col min="41" max="41" width="19.7109375" customWidth="1"/>
    <col min="42" max="42" width="9.28515625" customWidth="1"/>
    <col min="43" max="43" width="10" customWidth="1"/>
    <col min="44" max="45" width="9.28515625" customWidth="1"/>
    <col min="46" max="47" width="8.5703125" customWidth="1"/>
    <col min="48" max="48" width="9.7109375" customWidth="1"/>
    <col min="49" max="52" width="11.7109375" customWidth="1"/>
    <col min="54" max="54" width="9.140625" style="2"/>
  </cols>
  <sheetData>
    <row r="1" spans="1:53" ht="16.5" thickBot="1">
      <c r="A1" s="22" t="s">
        <v>46</v>
      </c>
      <c r="N1" t="s">
        <v>0</v>
      </c>
      <c r="Z1" s="110" t="s">
        <v>91</v>
      </c>
      <c r="AA1" s="110"/>
      <c r="AB1" s="110"/>
    </row>
    <row r="2" spans="1:5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53">
      <c r="A3" s="2"/>
      <c r="B3" s="3">
        <v>0.25</v>
      </c>
      <c r="C3" s="3">
        <v>0.75</v>
      </c>
      <c r="D3" s="99">
        <v>63</v>
      </c>
      <c r="E3" s="99">
        <v>4.57</v>
      </c>
      <c r="F3" s="99">
        <v>0.83</v>
      </c>
      <c r="G3" s="99"/>
      <c r="H3" s="99">
        <v>26.71</v>
      </c>
      <c r="I3" s="99">
        <v>1.57</v>
      </c>
      <c r="J3" s="99">
        <v>24</v>
      </c>
      <c r="K3" s="4">
        <v>1.86</v>
      </c>
      <c r="L3" s="3">
        <v>0.67</v>
      </c>
      <c r="M3" s="3">
        <v>0.33</v>
      </c>
      <c r="N3" s="3">
        <v>0.33</v>
      </c>
      <c r="O3" s="5">
        <f>SUM(B3:M3)</f>
        <v>124.53999999999998</v>
      </c>
      <c r="Z3" s="15" t="s">
        <v>19</v>
      </c>
      <c r="AA3" s="15"/>
      <c r="AB3" s="15"/>
      <c r="AC3" s="15">
        <v>138</v>
      </c>
      <c r="AD3" s="15">
        <v>65</v>
      </c>
      <c r="AE3" s="15">
        <v>70</v>
      </c>
      <c r="AF3" s="15">
        <v>65</v>
      </c>
      <c r="AG3" s="15">
        <v>66</v>
      </c>
      <c r="AH3" s="15">
        <v>60</v>
      </c>
      <c r="AI3" s="15">
        <v>60</v>
      </c>
      <c r="AJ3" s="15">
        <v>68</v>
      </c>
      <c r="AK3" s="15">
        <v>325</v>
      </c>
      <c r="AL3" s="15" t="s">
        <v>19</v>
      </c>
      <c r="AM3" s="15"/>
      <c r="AN3" s="15"/>
      <c r="AO3" s="15">
        <v>138</v>
      </c>
      <c r="AP3" s="15">
        <v>65</v>
      </c>
      <c r="AQ3" s="15">
        <v>70</v>
      </c>
      <c r="AR3" s="15">
        <v>65</v>
      </c>
      <c r="AS3" s="15">
        <v>66</v>
      </c>
      <c r="AT3" s="15">
        <v>60</v>
      </c>
      <c r="AU3" s="15">
        <v>60</v>
      </c>
      <c r="AV3" s="15">
        <v>68</v>
      </c>
      <c r="AW3" s="15">
        <v>82</v>
      </c>
      <c r="AX3" s="15">
        <v>81</v>
      </c>
      <c r="AY3" s="15">
        <v>81</v>
      </c>
      <c r="AZ3" s="15">
        <v>81</v>
      </c>
      <c r="BA3" s="15" t="s">
        <v>19</v>
      </c>
    </row>
    <row r="4" spans="1:53" ht="1.5" customHeight="1">
      <c r="A4" s="3">
        <v>1.5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O4" s="7"/>
    </row>
    <row r="5" spans="1:53" ht="21.75" customHeight="1">
      <c r="A5" s="3">
        <v>21.75</v>
      </c>
      <c r="D5" s="406" t="str">
        <f>[1]Contents!$Q$7</f>
        <v>London Office Update  – 23 August 2016</v>
      </c>
      <c r="E5" s="30"/>
      <c r="F5" s="30"/>
      <c r="G5" s="30"/>
      <c r="K5" s="407">
        <f>R5</f>
        <v>39</v>
      </c>
      <c r="L5" s="408"/>
      <c r="M5" s="408"/>
      <c r="N5" s="408"/>
      <c r="O5" s="7"/>
      <c r="Q5" s="8" t="s">
        <v>1</v>
      </c>
      <c r="R5" s="362">
        <f>DLN!R5+1</f>
        <v>39</v>
      </c>
    </row>
    <row r="6" spans="1:53" ht="1.5" customHeight="1">
      <c r="A6" s="3">
        <v>1.5</v>
      </c>
      <c r="D6" s="406"/>
      <c r="E6" s="30"/>
      <c r="F6" s="30"/>
      <c r="G6" s="30"/>
      <c r="O6" s="7"/>
    </row>
    <row r="7" spans="1:53" ht="12" customHeight="1">
      <c r="A7" s="3">
        <v>12</v>
      </c>
      <c r="O7" s="7"/>
    </row>
    <row r="8" spans="1:53" ht="35.25" customHeight="1" thickBot="1">
      <c r="A8" s="3">
        <v>35.25</v>
      </c>
      <c r="B8" s="10" t="str">
        <f ca="1">U13 &amp; " – Central London Office Portfolio"</f>
        <v>Great Portland – Central London Office Portfolio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O8" s="7"/>
    </row>
    <row r="9" spans="1:53" ht="13.5" customHeight="1" thickTop="1">
      <c r="A9" s="4">
        <v>13.5</v>
      </c>
      <c r="O9" s="7"/>
      <c r="R9" s="24" t="s">
        <v>40</v>
      </c>
      <c r="S9" s="25"/>
      <c r="T9" s="25"/>
      <c r="U9" s="25"/>
      <c r="V9" s="25"/>
      <c r="W9" s="25"/>
    </row>
    <row r="10" spans="1:53" ht="16.5" customHeight="1" thickBot="1">
      <c r="A10" s="47"/>
      <c r="G10" s="405" t="s">
        <v>29</v>
      </c>
      <c r="H10" s="405"/>
      <c r="I10" s="26"/>
      <c r="J10" s="405" t="s">
        <v>200</v>
      </c>
      <c r="K10" s="405"/>
      <c r="L10" s="405"/>
      <c r="M10" s="405"/>
      <c r="O10" s="7"/>
      <c r="R10" s="111" t="s">
        <v>64</v>
      </c>
      <c r="S10" s="112">
        <f>HLOOKUP($A$1, PortfolioData!$B$10:$L$11, 2, FALSE)</f>
        <v>7</v>
      </c>
      <c r="T10" s="129"/>
    </row>
    <row r="11" spans="1:53" ht="15">
      <c r="A11" s="21"/>
      <c r="F11" s="42"/>
      <c r="G11" s="42"/>
      <c r="I11" s="42"/>
      <c r="J11" s="42"/>
      <c r="K11" s="26"/>
      <c r="L11" s="26"/>
      <c r="O11" s="2"/>
      <c r="R11" s="111" t="s">
        <v>63</v>
      </c>
      <c r="S11" s="112">
        <f>HLOOKUP("Average", PortfolioData!$B$10:$L$11, 2, FALSE)</f>
        <v>10</v>
      </c>
      <c r="T11" s="130"/>
    </row>
    <row r="12" spans="1:53" ht="12.75" customHeight="1">
      <c r="A12" s="21"/>
      <c r="O12" s="2"/>
      <c r="S12" s="117" t="s">
        <v>71</v>
      </c>
      <c r="T12" s="122" t="s">
        <v>70</v>
      </c>
    </row>
    <row r="13" spans="1:53" ht="12.75" customHeight="1">
      <c r="A13" s="21"/>
      <c r="D13" s="14"/>
      <c r="E13" s="14"/>
      <c r="O13" s="2"/>
      <c r="R13" s="111" t="s">
        <v>28</v>
      </c>
      <c r="S13" s="117" t="s">
        <v>5</v>
      </c>
      <c r="T13" s="118">
        <f>MATCH(S13, PortfolioData!B:B,0)-PortfolioData!$F$5</f>
        <v>2</v>
      </c>
      <c r="U13" s="119" t="str">
        <f ca="1">OFFSET(PortfolioData!$B$10, T13, $S$10)</f>
        <v>Great Portland</v>
      </c>
    </row>
    <row r="14" spans="1:53" ht="12.75" customHeight="1">
      <c r="A14" s="21"/>
      <c r="O14" s="2"/>
      <c r="R14" s="137" t="s">
        <v>68</v>
      </c>
      <c r="S14" s="117" t="s">
        <v>5</v>
      </c>
      <c r="T14" s="118">
        <f>MATCH(S14, PortfolioData!B:B,0)-PortfolioData!$F$5</f>
        <v>2</v>
      </c>
      <c r="U14" s="119" t="str">
        <f ca="1">OFFSET(PortfolioData!$B$10, T14, $S$11)&amp;"(3)"</f>
        <v>Selected REITs' Avg.(3)</v>
      </c>
    </row>
    <row r="15" spans="1:53" ht="12.75" customHeight="1">
      <c r="A15" s="21"/>
      <c r="D15" s="14"/>
      <c r="E15" s="14"/>
      <c r="O15" s="2"/>
    </row>
    <row r="16" spans="1:53" ht="12.75" customHeight="1">
      <c r="A16" s="21"/>
      <c r="O16" s="2"/>
      <c r="R16" s="24" t="s">
        <v>4</v>
      </c>
      <c r="S16" s="24"/>
      <c r="T16" s="24"/>
      <c r="U16" s="24"/>
      <c r="V16" s="24"/>
      <c r="W16" s="24"/>
    </row>
    <row r="17" spans="1:28" ht="12.75" customHeight="1">
      <c r="A17" s="21"/>
      <c r="C17" s="13"/>
      <c r="O17" s="2"/>
      <c r="R17" t="s">
        <v>7</v>
      </c>
      <c r="X17" s="18"/>
      <c r="Z17" s="18"/>
      <c r="AA17" s="18"/>
      <c r="AB17" s="18"/>
    </row>
    <row r="18" spans="1:28" ht="12.75" customHeight="1">
      <c r="A18" s="21"/>
      <c r="O18" s="2"/>
    </row>
    <row r="19" spans="1:28" ht="12.75" customHeight="1">
      <c r="A19" s="21"/>
      <c r="C19" s="13"/>
      <c r="H19" s="42"/>
      <c r="I19" s="42"/>
      <c r="J19" s="42"/>
      <c r="K19" s="42"/>
      <c r="L19" s="42"/>
      <c r="M19" s="26"/>
      <c r="N19" s="26"/>
      <c r="O19" s="2"/>
      <c r="R19" s="24" t="s">
        <v>13</v>
      </c>
      <c r="S19" s="25"/>
      <c r="T19" s="25"/>
      <c r="U19" s="25"/>
      <c r="V19" s="25"/>
      <c r="W19" s="25"/>
    </row>
    <row r="20" spans="1:28" ht="12.75" customHeight="1">
      <c r="A20" s="21"/>
      <c r="O20" s="2"/>
      <c r="R20" s="117" t="s">
        <v>59</v>
      </c>
      <c r="S20" s="122" t="s">
        <v>62</v>
      </c>
      <c r="T20" s="131" t="s">
        <v>60</v>
      </c>
      <c r="U20" s="122" t="s">
        <v>61</v>
      </c>
      <c r="V20" s="108" t="s">
        <v>8</v>
      </c>
      <c r="W20" s="108" t="s">
        <v>192</v>
      </c>
    </row>
    <row r="21" spans="1:28" ht="12.75" customHeight="1">
      <c r="A21" s="21"/>
      <c r="O21" s="2"/>
      <c r="R21" s="123" t="s">
        <v>187</v>
      </c>
      <c r="S21" s="125">
        <f>MATCH(R21, PortfolioData!B:B,0)-PortfolioData!$F$5</f>
        <v>6</v>
      </c>
      <c r="T21" s="124" t="s">
        <v>193</v>
      </c>
      <c r="U21" s="133">
        <f>MATCH(T21, PortfolioData!B:B,0)-PortfolioData!$F$5</f>
        <v>7</v>
      </c>
      <c r="V21" s="88" t="str">
        <f ca="1">OFFSET(PortfolioData!$B$10, S21, $S$10)</f>
        <v>London Office</v>
      </c>
      <c r="W21" s="245">
        <f ca="1">OFFSET(PortfolioData!$B$10, U21, $S$10)</f>
        <v>0.68</v>
      </c>
    </row>
    <row r="22" spans="1:28" ht="12.75" customHeight="1">
      <c r="A22" s="21"/>
      <c r="O22" s="2"/>
      <c r="R22" s="123" t="s">
        <v>188</v>
      </c>
      <c r="S22" s="125">
        <f>MATCH(R22, PortfolioData!B:B,0)-PortfolioData!$F$5</f>
        <v>10</v>
      </c>
      <c r="T22" s="124" t="s">
        <v>194</v>
      </c>
      <c r="U22" s="125">
        <f>MATCH(T22, PortfolioData!B:B,0)-PortfolioData!$F$5</f>
        <v>11</v>
      </c>
      <c r="V22" s="88" t="str">
        <f ca="1">OFFSET(PortfolioData!$B$10, S22, $S$10)</f>
        <v>Retail</v>
      </c>
      <c r="W22" s="245">
        <f ca="1">OFFSET(PortfolioData!$B$10, U22, $S$10)</f>
        <v>0.25</v>
      </c>
    </row>
    <row r="23" spans="1:28" ht="12.75" customHeight="1">
      <c r="A23" s="21"/>
      <c r="O23" s="2"/>
      <c r="R23" s="123" t="s">
        <v>189</v>
      </c>
      <c r="S23" s="125">
        <f>MATCH(R23, PortfolioData!B:B,0)-PortfolioData!$F$5</f>
        <v>14</v>
      </c>
      <c r="T23" s="124" t="s">
        <v>195</v>
      </c>
      <c r="U23" s="125">
        <f>MATCH(T23, PortfolioData!B:B,0)-PortfolioData!$F$5</f>
        <v>15</v>
      </c>
      <c r="V23" s="88" t="str">
        <f ca="1">OFFSET(PortfolioData!$B$10, S23, $S$10)</f>
        <v>Other</v>
      </c>
      <c r="W23" s="245">
        <f ca="1">OFFSET(PortfolioData!$B$10, U23, $S$10)</f>
        <v>7.0000000000000007E-2</v>
      </c>
    </row>
    <row r="24" spans="1:28" ht="12.75" customHeight="1">
      <c r="A24" s="21"/>
      <c r="G24" s="41" t="s">
        <v>41</v>
      </c>
      <c r="H24" s="16" t="s">
        <v>202</v>
      </c>
      <c r="I24" s="100"/>
      <c r="J24" s="100"/>
      <c r="K24" s="100"/>
      <c r="L24" s="100"/>
      <c r="M24" s="100"/>
      <c r="O24" s="2"/>
      <c r="R24" s="123" t="s">
        <v>190</v>
      </c>
      <c r="S24" s="125">
        <f>MATCH(R24, PortfolioData!B:B,0)-PortfolioData!$F$5</f>
        <v>18</v>
      </c>
      <c r="T24" s="124" t="s">
        <v>196</v>
      </c>
      <c r="U24" s="125">
        <f>MATCH(T24, PortfolioData!B:B,0)-PortfolioData!$F$5</f>
        <v>19</v>
      </c>
      <c r="V24" s="88">
        <f ca="1">OFFSET(PortfolioData!$B$10, S24, $S$10)</f>
        <v>0</v>
      </c>
      <c r="W24" s="245">
        <f ca="1">OFFSET(PortfolioData!$B$10, U24, $S$10)</f>
        <v>0</v>
      </c>
    </row>
    <row r="25" spans="1:28" ht="12.75" customHeight="1">
      <c r="A25" s="2"/>
      <c r="G25" s="41" t="s">
        <v>201</v>
      </c>
      <c r="H25" s="414" t="s">
        <v>313</v>
      </c>
      <c r="I25" s="415"/>
      <c r="J25" s="415"/>
      <c r="K25" s="415"/>
      <c r="L25" s="415"/>
      <c r="M25" s="415"/>
      <c r="O25" s="2"/>
      <c r="R25" s="123" t="s">
        <v>191</v>
      </c>
      <c r="S25" s="125">
        <f>MATCH(R25, PortfolioData!B:B,0)-PortfolioData!$F$5</f>
        <v>22</v>
      </c>
      <c r="T25" s="124" t="s">
        <v>197</v>
      </c>
      <c r="U25" s="125">
        <f>MATCH(T25, PortfolioData!B:B,0)-PortfolioData!$F$5</f>
        <v>23</v>
      </c>
      <c r="V25" s="88">
        <f ca="1">OFFSET(PortfolioData!$B$10, S25, $S$10)</f>
        <v>0</v>
      </c>
      <c r="W25" s="245">
        <f ca="1">OFFSET(PortfolioData!$B$10, U25, $S$10)</f>
        <v>0</v>
      </c>
    </row>
    <row r="26" spans="1:28">
      <c r="A26" s="2"/>
      <c r="H26" s="415"/>
      <c r="I26" s="415"/>
      <c r="J26" s="415"/>
      <c r="K26" s="415"/>
      <c r="L26" s="415"/>
      <c r="M26" s="415"/>
      <c r="O26" s="2"/>
      <c r="R26" s="126" t="s">
        <v>181</v>
      </c>
      <c r="S26" s="128" t="s">
        <v>19</v>
      </c>
      <c r="T26" s="127" t="s">
        <v>181</v>
      </c>
      <c r="U26" s="128" t="s">
        <v>19</v>
      </c>
      <c r="V26" s="211"/>
      <c r="W26" s="212"/>
    </row>
    <row r="27" spans="1:28" ht="15" customHeight="1">
      <c r="A27" s="2"/>
      <c r="H27" s="45"/>
      <c r="I27" s="45"/>
      <c r="J27" s="45"/>
      <c r="K27" s="45"/>
      <c r="O27" s="2"/>
      <c r="T27" s="127" t="s">
        <v>199</v>
      </c>
      <c r="U27" s="246">
        <f>MATCH(T27, PortfolioData!B:B,0)-PortfolioData!$F$5</f>
        <v>25</v>
      </c>
      <c r="V27" s="109" t="s">
        <v>185</v>
      </c>
      <c r="W27" s="269">
        <f>PortfolioData!I40/1000</f>
        <v>2.5539751649209483</v>
      </c>
    </row>
    <row r="28" spans="1:28" ht="15">
      <c r="A28" s="2"/>
      <c r="H28" s="45"/>
      <c r="I28" s="45"/>
      <c r="J28" s="45"/>
      <c r="K28" s="45"/>
      <c r="L28" s="40"/>
      <c r="M28" s="40"/>
      <c r="O28" s="2"/>
    </row>
    <row r="29" spans="1:28" ht="12.75" customHeight="1">
      <c r="A29" s="2"/>
      <c r="H29" s="33"/>
      <c r="I29" s="36"/>
      <c r="J29" s="36"/>
      <c r="O29" s="2"/>
      <c r="R29" s="15" t="s">
        <v>39</v>
      </c>
      <c r="S29" s="112" t="str">
        <f>"Total Value: " &amp; TEXT( W27, "£#,###.0") &amp; "bn"</f>
        <v>Total Value: £2.6bn</v>
      </c>
    </row>
    <row r="30" spans="1:28" ht="12.75" customHeight="1">
      <c r="A30" s="2"/>
      <c r="H30" s="33"/>
      <c r="I30" s="36"/>
      <c r="J30" s="36"/>
      <c r="O30" s="2"/>
    </row>
    <row r="31" spans="1:28" ht="12.75" customHeight="1">
      <c r="A31" s="2"/>
      <c r="H31" s="28"/>
      <c r="I31" s="37"/>
      <c r="J31" s="37"/>
      <c r="O31" s="2" t="s">
        <v>17</v>
      </c>
    </row>
    <row r="32" spans="1:28">
      <c r="A32" s="2"/>
      <c r="H32" s="28"/>
      <c r="I32" s="37"/>
      <c r="J32" s="37"/>
      <c r="O32" s="2"/>
      <c r="R32" s="24" t="s">
        <v>37</v>
      </c>
      <c r="S32" s="25"/>
      <c r="T32" s="25"/>
      <c r="U32" s="25"/>
      <c r="V32" s="25"/>
      <c r="W32" s="25"/>
    </row>
    <row r="33" spans="1:51">
      <c r="A33" s="2"/>
      <c r="H33" s="28"/>
      <c r="I33" s="37"/>
      <c r="J33" s="37"/>
      <c r="O33" s="2"/>
    </row>
    <row r="34" spans="1:51">
      <c r="A34" s="2"/>
      <c r="H34" s="34"/>
      <c r="I34" s="38"/>
      <c r="J34" s="38"/>
      <c r="O34" s="2"/>
      <c r="R34" s="101" t="s">
        <v>38</v>
      </c>
      <c r="S34" s="131" t="s">
        <v>71</v>
      </c>
      <c r="T34" s="122" t="s">
        <v>70</v>
      </c>
      <c r="U34" s="102" t="str">
        <f ca="1">U13</f>
        <v>Great Portland</v>
      </c>
      <c r="V34" s="101" t="str">
        <f ca="1">U14</f>
        <v>Selected REITs' Avg.(3)</v>
      </c>
    </row>
    <row r="35" spans="1:51">
      <c r="A35" s="2"/>
      <c r="H35" s="34"/>
      <c r="I35" s="38"/>
      <c r="J35" s="38"/>
      <c r="O35" s="2"/>
      <c r="R35" s="103" t="s">
        <v>26</v>
      </c>
      <c r="S35" s="132" t="s">
        <v>26</v>
      </c>
      <c r="T35" s="133">
        <f>MATCH(S35, PortfolioData!B:B,0)-PortfolioData!$F$5</f>
        <v>34</v>
      </c>
      <c r="U35" s="104">
        <f ca="1">OFFSET(PortfolioData!$B$10, T35, $S$10)</f>
        <v>2.9251107830985532E-2</v>
      </c>
      <c r="V35" s="104">
        <f ca="1">OFFSET(PortfolioData!$B$10, T35, $S$11)</f>
        <v>3.3626769078890555E-2</v>
      </c>
    </row>
    <row r="36" spans="1:51">
      <c r="A36" s="2"/>
      <c r="D36" s="26"/>
      <c r="E36" s="26"/>
      <c r="F36" s="26"/>
      <c r="G36" s="26"/>
      <c r="I36" s="18"/>
      <c r="J36" s="18"/>
      <c r="O36" s="2"/>
      <c r="R36" s="103"/>
      <c r="S36" s="134"/>
      <c r="T36" s="135"/>
      <c r="U36" s="105"/>
      <c r="V36" s="105"/>
    </row>
    <row r="37" spans="1:51" ht="15">
      <c r="A37" s="2"/>
      <c r="H37" s="40"/>
      <c r="I37" s="40"/>
      <c r="J37" s="40"/>
      <c r="K37" s="40"/>
      <c r="L37" s="40"/>
      <c r="M37" s="40"/>
      <c r="O37" s="2"/>
      <c r="R37" s="106" t="s">
        <v>27</v>
      </c>
      <c r="S37" s="126" t="s">
        <v>67</v>
      </c>
      <c r="T37" s="128">
        <f>MATCH(S37, PortfolioData!B:B,0)-PortfolioData!$F$5</f>
        <v>31</v>
      </c>
      <c r="U37" s="107">
        <f ca="1">OFFSET(PortfolioData!$B$10, T37, $S$10)</f>
        <v>943.81935141202825</v>
      </c>
      <c r="V37" s="107">
        <f ca="1">OFFSET(PortfolioData!$B$10, T37, $S$11)</f>
        <v>344440.32841654215</v>
      </c>
    </row>
    <row r="38" spans="1:51" ht="12.75" customHeight="1">
      <c r="A38" s="2"/>
      <c r="H38" s="29"/>
      <c r="I38" s="29"/>
      <c r="J38" s="29"/>
      <c r="O38" s="2"/>
    </row>
    <row r="39" spans="1:51">
      <c r="A39" s="2"/>
      <c r="H39" s="35"/>
      <c r="I39" s="35"/>
      <c r="J39" s="35"/>
      <c r="O39" s="2"/>
    </row>
    <row r="40" spans="1:51">
      <c r="A40" s="2"/>
      <c r="H40" s="32"/>
      <c r="I40" s="32"/>
      <c r="J40" s="32"/>
      <c r="O40" s="2"/>
      <c r="Q40" s="286"/>
      <c r="R40" s="258" t="s">
        <v>995</v>
      </c>
    </row>
    <row r="41" spans="1:51">
      <c r="A41" s="2"/>
      <c r="H41" s="32"/>
      <c r="O41" s="2"/>
      <c r="Q41" s="286"/>
    </row>
    <row r="42" spans="1:51">
      <c r="A42" s="2"/>
      <c r="O42" s="2"/>
      <c r="Q42" s="286"/>
    </row>
    <row r="43" spans="1:51" ht="12.75" customHeight="1">
      <c r="A43" s="15"/>
      <c r="H43" s="26"/>
      <c r="I43" s="26"/>
      <c r="J43" s="26"/>
      <c r="O43" s="2"/>
      <c r="Q43" s="286"/>
    </row>
    <row r="44" spans="1:51" ht="8.25" customHeight="1">
      <c r="A44" s="15"/>
      <c r="O44" s="2"/>
    </row>
    <row r="45" spans="1:51" ht="12.75" customHeight="1">
      <c r="A45" s="3">
        <v>12.75</v>
      </c>
      <c r="O45" s="2"/>
    </row>
    <row r="46" spans="1:51" ht="13.5" thickBot="1">
      <c r="A46" s="3">
        <v>12.75</v>
      </c>
      <c r="B46" s="260" t="s">
        <v>340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259" t="s">
        <v>210</v>
      </c>
      <c r="N46" s="18"/>
      <c r="O46" s="7"/>
    </row>
    <row r="47" spans="1:51" ht="14.25">
      <c r="A47" s="3">
        <v>23.25</v>
      </c>
      <c r="N47" s="19" t="s">
        <v>1125</v>
      </c>
      <c r="O47" s="7"/>
      <c r="AO47" s="386" t="s">
        <v>367</v>
      </c>
      <c r="AP47" s="386" t="s">
        <v>368</v>
      </c>
      <c r="AQ47" s="386" t="s">
        <v>378</v>
      </c>
      <c r="AR47" s="386" t="s">
        <v>404</v>
      </c>
      <c r="AS47" s="386" t="s">
        <v>391</v>
      </c>
      <c r="AT47" s="386" t="s">
        <v>410</v>
      </c>
      <c r="AU47" s="386" t="s">
        <v>385</v>
      </c>
      <c r="AV47" s="386" t="s">
        <v>414</v>
      </c>
      <c r="AW47" s="386" t="s">
        <v>416</v>
      </c>
      <c r="AX47" s="386" t="s">
        <v>427</v>
      </c>
      <c r="AY47" s="386" t="s">
        <v>382</v>
      </c>
    </row>
    <row r="48" spans="1:51">
      <c r="A48" s="4">
        <v>15</v>
      </c>
      <c r="M48" s="20" t="s">
        <v>242</v>
      </c>
      <c r="O48" s="7"/>
      <c r="AO48" s="386" t="s">
        <v>46</v>
      </c>
      <c r="AP48" s="386" t="s">
        <v>631</v>
      </c>
      <c r="AQ48" s="386" t="s">
        <v>322</v>
      </c>
      <c r="AR48" s="386">
        <v>20.3</v>
      </c>
      <c r="AS48" s="386">
        <v>18300</v>
      </c>
      <c r="AT48" s="386">
        <v>0.3</v>
      </c>
      <c r="AU48" s="386">
        <v>0</v>
      </c>
      <c r="AV48" s="386">
        <v>0.06</v>
      </c>
      <c r="AW48" s="386">
        <v>4.4999999999999998E-2</v>
      </c>
      <c r="AX48" s="386">
        <v>-0.69235857000000001</v>
      </c>
      <c r="AY48" s="389" t="s">
        <v>740</v>
      </c>
    </row>
    <row r="49" spans="1:53">
      <c r="A49" s="2"/>
      <c r="B49" s="3">
        <v>0.25</v>
      </c>
      <c r="C49" s="3">
        <v>0.75</v>
      </c>
      <c r="D49" s="3">
        <v>37.29</v>
      </c>
      <c r="E49" s="3"/>
      <c r="F49" s="2"/>
      <c r="G49" s="2"/>
      <c r="H49" s="2"/>
      <c r="I49" s="2"/>
      <c r="J49" s="2"/>
      <c r="K49" s="2"/>
      <c r="L49" s="3">
        <v>0.67</v>
      </c>
      <c r="M49" s="3">
        <v>0.33</v>
      </c>
      <c r="N49" s="3">
        <v>0.33</v>
      </c>
      <c r="O49" s="7"/>
      <c r="AB49" s="170" t="s">
        <v>85</v>
      </c>
      <c r="AC49" s="168">
        <v>138</v>
      </c>
      <c r="AD49" s="168">
        <v>65</v>
      </c>
      <c r="AE49" s="168">
        <v>70</v>
      </c>
      <c r="AF49" s="168">
        <v>65</v>
      </c>
      <c r="AG49" s="168">
        <v>66</v>
      </c>
      <c r="AH49" s="168">
        <v>60</v>
      </c>
      <c r="AI49" s="168">
        <v>60</v>
      </c>
      <c r="AJ49" s="168">
        <v>68</v>
      </c>
      <c r="AK49" s="169">
        <v>325</v>
      </c>
      <c r="AO49" s="386" t="s">
        <v>46</v>
      </c>
      <c r="AP49" s="386" t="s">
        <v>1057</v>
      </c>
      <c r="AQ49" s="386" t="s">
        <v>533</v>
      </c>
      <c r="AR49" s="386">
        <v>49.405000000000001</v>
      </c>
      <c r="AS49" s="386">
        <v>160600</v>
      </c>
      <c r="AT49" s="386">
        <v>4.3</v>
      </c>
      <c r="AU49" s="386">
        <v>0</v>
      </c>
      <c r="AV49" s="386">
        <v>6.3E-2</v>
      </c>
      <c r="AW49" s="386">
        <v>4.7500000000000001E-2</v>
      </c>
      <c r="AX49" s="386">
        <v>0.71646936999999999</v>
      </c>
      <c r="AY49" s="389" t="s">
        <v>897</v>
      </c>
    </row>
    <row r="50" spans="1:5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AB50" s="117" t="s">
        <v>84</v>
      </c>
      <c r="AC50" s="131">
        <f>MATCH(AC53, AssetData_Investment!$B$12:$O$12,0)-1</f>
        <v>4</v>
      </c>
      <c r="AD50" s="131">
        <f>MATCH(AD53, AssetData_Investment!$B$12:$O$12,0)-1</f>
        <v>5</v>
      </c>
      <c r="AE50" s="131">
        <f>MATCH(AE53, AssetData_Investment!$B$12:$O$12,0)-1</f>
        <v>6</v>
      </c>
      <c r="AF50" s="172" t="s">
        <v>50</v>
      </c>
      <c r="AG50" s="131">
        <f>MATCH(AG53, AssetData_Investment!$B$12:$O$12,0)-1</f>
        <v>7</v>
      </c>
      <c r="AH50" s="172" t="s">
        <v>50</v>
      </c>
      <c r="AI50" s="131">
        <f>MATCH("Rent (£m)", AssetData_Investment!$B$12:$O$12,0)-1</f>
        <v>8</v>
      </c>
      <c r="AJ50" s="131">
        <f>MATCH(AJ53, AssetData_Investment!$B$12:$O$12,0)-1</f>
        <v>9</v>
      </c>
      <c r="AK50" s="131">
        <f>MATCH(AK53, AssetData_Investment!$B$12:$O$12,0)-1</f>
        <v>10</v>
      </c>
      <c r="AO50" s="386" t="s">
        <v>46</v>
      </c>
      <c r="AP50" s="386" t="s">
        <v>1031</v>
      </c>
      <c r="AQ50" s="386" t="s">
        <v>322</v>
      </c>
      <c r="AR50" s="386">
        <v>447.27175904000001</v>
      </c>
      <c r="AS50" s="386">
        <v>419700</v>
      </c>
      <c r="AT50" s="386">
        <v>19.7</v>
      </c>
      <c r="AU50" s="386">
        <v>0.92</v>
      </c>
      <c r="AV50" s="386">
        <v>6.4000000000000001E-2</v>
      </c>
      <c r="AW50" s="386">
        <v>0.04</v>
      </c>
      <c r="AX50" s="386">
        <v>0.62141648000000005</v>
      </c>
      <c r="AY50" s="389" t="s">
        <v>549</v>
      </c>
    </row>
    <row r="51" spans="1:53">
      <c r="AO51" s="386" t="s">
        <v>46</v>
      </c>
      <c r="AP51" s="386" t="s">
        <v>637</v>
      </c>
      <c r="AQ51" s="386" t="s">
        <v>204</v>
      </c>
      <c r="AR51" s="386">
        <v>50.6</v>
      </c>
      <c r="AS51" s="386">
        <v>37300</v>
      </c>
      <c r="AT51" s="386">
        <v>2.8</v>
      </c>
      <c r="AU51" s="386">
        <v>0</v>
      </c>
      <c r="AV51" s="386">
        <v>6.3E-2</v>
      </c>
      <c r="AW51" s="386">
        <v>4.2500000000000003E-2</v>
      </c>
      <c r="AX51" s="386">
        <v>0.21969348</v>
      </c>
      <c r="AY51" s="389" t="s">
        <v>885</v>
      </c>
    </row>
    <row r="52" spans="1:53" ht="14.25">
      <c r="AC52" s="402" t="s">
        <v>247</v>
      </c>
      <c r="AD52" s="402"/>
      <c r="AE52" s="402"/>
      <c r="AF52" s="402"/>
      <c r="AG52" s="402"/>
      <c r="AH52" s="402"/>
      <c r="AI52" s="402"/>
      <c r="AJ52" s="402"/>
      <c r="AK52" s="27"/>
      <c r="AO52" s="386" t="s">
        <v>46</v>
      </c>
      <c r="AP52" s="386" t="s">
        <v>934</v>
      </c>
      <c r="AQ52" s="386" t="s">
        <v>322</v>
      </c>
      <c r="AR52" s="386">
        <v>23.809523810000002</v>
      </c>
      <c r="AS52" s="386">
        <v>23200</v>
      </c>
      <c r="AT52" s="386">
        <v>1</v>
      </c>
      <c r="AU52" s="386">
        <v>0</v>
      </c>
      <c r="AV52" s="386">
        <v>4.2000000000000003E-2</v>
      </c>
      <c r="AW52" s="386">
        <v>3.7499999999999999E-2</v>
      </c>
      <c r="AX52" s="386">
        <v>4.9180330000000001E-2</v>
      </c>
      <c r="AY52" s="389" t="s">
        <v>1085</v>
      </c>
    </row>
    <row r="53" spans="1:53" ht="12.75" customHeight="1">
      <c r="AA53" s="162" t="s">
        <v>82</v>
      </c>
      <c r="AB53" s="363" t="s">
        <v>83</v>
      </c>
      <c r="AC53" s="58" t="s">
        <v>9</v>
      </c>
      <c r="AD53" s="59" t="s">
        <v>10</v>
      </c>
      <c r="AE53" s="412" t="s">
        <v>88</v>
      </c>
      <c r="AF53" s="403" t="s">
        <v>30</v>
      </c>
      <c r="AG53" s="403" t="s">
        <v>22</v>
      </c>
      <c r="AH53" s="403" t="s">
        <v>32</v>
      </c>
      <c r="AI53" s="403" t="s">
        <v>23</v>
      </c>
      <c r="AJ53" s="58" t="s">
        <v>11</v>
      </c>
      <c r="AK53" s="58" t="s">
        <v>12</v>
      </c>
      <c r="AO53" s="386"/>
      <c r="AP53" s="386"/>
      <c r="AQ53" s="386"/>
      <c r="AR53" s="386"/>
      <c r="AS53" s="386"/>
      <c r="AT53" s="386"/>
      <c r="AU53" s="386"/>
      <c r="AV53" s="386"/>
      <c r="AW53" s="386"/>
      <c r="AX53" s="386"/>
      <c r="AY53" s="386"/>
    </row>
    <row r="54" spans="1:53">
      <c r="AA54" s="164"/>
      <c r="AB54" s="364"/>
      <c r="AC54" s="60"/>
      <c r="AD54" s="61"/>
      <c r="AE54" s="413" t="s">
        <v>31</v>
      </c>
      <c r="AF54" s="404"/>
      <c r="AG54" s="404"/>
      <c r="AH54" s="404"/>
      <c r="AI54" s="404"/>
      <c r="AJ54" s="61"/>
      <c r="AK54" s="60"/>
      <c r="AO54" s="386"/>
      <c r="AP54" s="386"/>
      <c r="AQ54" s="386"/>
      <c r="AR54" s="386"/>
      <c r="AS54" s="386"/>
      <c r="AT54" s="386"/>
      <c r="AU54" s="386"/>
      <c r="AV54" s="386"/>
      <c r="AW54" s="386"/>
      <c r="AX54" s="386"/>
      <c r="AY54" s="386"/>
    </row>
    <row r="55" spans="1:53" ht="12.75" customHeight="1">
      <c r="AA55" s="164" t="str">
        <f>$A$1 &amp; "1"</f>
        <v>GPOR1</v>
      </c>
      <c r="AB55" s="364">
        <f>MATCH($AA55, AssetData_Investment!A:A,0)-AssetData_Investment!$C$4</f>
        <v>21</v>
      </c>
      <c r="AC55" s="62" t="str">
        <f ca="1">OFFSET(AssetData_Investment!$B$12,$AB55, AC$50)</f>
        <v>City Tower &amp; City Place</v>
      </c>
      <c r="AD55" s="63" t="str">
        <f ca="1">IF(OFFSET(AssetData_Investment!$B$12,$AB55, AD$50)="", "", OFFSET(AssetData_Investment!$B$12,$AB55, AD$50))</f>
        <v>City</v>
      </c>
      <c r="AE55" s="92">
        <f ca="1">MROUND(OFFSET(AssetData_Investment!$B$12,$AB55, AE$50),10)</f>
        <v>140</v>
      </c>
      <c r="AF55" s="65">
        <f ca="1">AE55/$AE$59</f>
        <v>5.46875E-2</v>
      </c>
      <c r="AG55" s="96">
        <f ca="1">OFFSET(AssetData_Investment!$B$12,$AB55, AG$50)</f>
        <v>179</v>
      </c>
      <c r="AH55" s="64">
        <f ca="1">MROUND(AE55*1000/AG55,5)</f>
        <v>780</v>
      </c>
      <c r="AI55" s="270">
        <f ca="1">OFFSET(AssetData_Investment!$B$12,$AB55, AI$50)*1000/AG55</f>
        <v>25.139664804469273</v>
      </c>
      <c r="AJ55" s="272">
        <f ca="1">OFFSET(AssetData_Investment!$B$12,$AB55, AJ$50)</f>
        <v>1</v>
      </c>
      <c r="AK55" s="67" t="str">
        <f ca="1">OFFSET(AssetData_Investment!$B$12,$AB55, AK$50)</f>
        <v>Prominent office buildings in the core of the City</v>
      </c>
      <c r="AO55" s="386"/>
      <c r="AP55" s="386"/>
      <c r="AQ55" s="386"/>
      <c r="AR55" s="386"/>
      <c r="AS55" s="386"/>
      <c r="AT55" s="386"/>
      <c r="AU55" s="386"/>
      <c r="AV55" s="386"/>
      <c r="AW55" s="386"/>
      <c r="AX55" s="386"/>
      <c r="AY55" s="386"/>
    </row>
    <row r="56" spans="1:53">
      <c r="AA56" s="164" t="str">
        <f>$A$1 &amp; "2"</f>
        <v>GPOR2</v>
      </c>
      <c r="AB56" s="364">
        <f>MATCH($AA56, AssetData_Investment!A:A,0)-AssetData_Investment!$C$4</f>
        <v>23</v>
      </c>
      <c r="AC56" s="68" t="str">
        <f ca="1">OFFSET(AssetData_Investment!$B$12,$AB56, AC$50)</f>
        <v>Wells &amp; More</v>
      </c>
      <c r="AD56" s="69" t="str">
        <f ca="1">IF(OFFSET(AssetData_Investment!$B$12,$AB56, AD$50)="", "", OFFSET(AssetData_Investment!$B$12,$AB56, AD$50))</f>
        <v>West End</v>
      </c>
      <c r="AE56" s="93">
        <f ca="1">MROUND(OFFSET(AssetData_Investment!$B$12,$AB56, AE$50),10)</f>
        <v>150</v>
      </c>
      <c r="AF56" s="71">
        <f ca="1">AE56/$AE$59</f>
        <v>5.859375E-2</v>
      </c>
      <c r="AG56" s="97">
        <f ca="1">OFFSET(AssetData_Investment!$B$12,$AB56, AG$50)</f>
        <v>123.2</v>
      </c>
      <c r="AH56" s="72">
        <f ca="1">MROUND(AE56*1000/AG56,5)</f>
        <v>1220</v>
      </c>
      <c r="AI56" s="271">
        <f ca="1">OFFSET(AssetData_Investment!$B$12,$AB56, AI$50)*1000/AG56</f>
        <v>50.324675324675326</v>
      </c>
      <c r="AJ56" s="273">
        <f ca="1">OFFSET(AssetData_Investment!$B$12,$AB56, AJ$50)</f>
        <v>1</v>
      </c>
      <c r="AK56" s="73" t="str">
        <f ca="1">OFFSET(AssetData_Investment!$B$12,$AB56, AK$50)</f>
        <v>Prime located mixed use development</v>
      </c>
    </row>
    <row r="57" spans="1:53" ht="12.75" customHeight="1">
      <c r="AA57" s="164" t="str">
        <f>$A$1 &amp; "3"</f>
        <v>GPOR3</v>
      </c>
      <c r="AB57" s="364">
        <f>MATCH($AA57, AssetData_Investment!A:A,0)-AssetData_Investment!$C$4</f>
        <v>22</v>
      </c>
      <c r="AC57" s="62" t="str">
        <f ca="1">OFFSET(AssetData_Investment!$B$12,$AB57, AC$50)</f>
        <v>The Picadilly Buildings</v>
      </c>
      <c r="AD57" s="63" t="str">
        <f ca="1">IF(OFFSET(AssetData_Investment!$B$12,$AB57, AD$50)="", "", OFFSET(AssetData_Investment!$B$12,$AB57, AD$50))</f>
        <v>West End</v>
      </c>
      <c r="AE57" s="94">
        <f ca="1">MROUND(OFFSET(AssetData_Investment!$B$12,$AB57, AE$50),10)</f>
        <v>210</v>
      </c>
      <c r="AF57" s="65">
        <f ca="1">AE57/$AE$59</f>
        <v>8.203125E-2</v>
      </c>
      <c r="AG57" s="96">
        <f ca="1">OFFSET(AssetData_Investment!$B$12,$AB57, AG$50)</f>
        <v>187.1</v>
      </c>
      <c r="AH57" s="64">
        <f ca="1">MROUND(AE57*1000/AG57,5)</f>
        <v>1120</v>
      </c>
      <c r="AI57" s="270">
        <f ca="1">OFFSET(AssetData_Investment!$B$12,$AB57, AI$50)*1000/AG57</f>
        <v>40</v>
      </c>
      <c r="AJ57" s="274">
        <f ca="1">OFFSET(AssetData_Investment!$B$12,$AB57, AJ$50)</f>
        <v>1</v>
      </c>
      <c r="AK57" s="75" t="str">
        <f ca="1">OFFSET(AssetData_Investment!$B$12,$AB57, AK$50)</f>
        <v>Series of 6 buildings on Piccadilly and Jermyn Streets</v>
      </c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/>
      <c r="AZ57" s="299"/>
      <c r="BA57" s="299"/>
    </row>
    <row r="58" spans="1:53">
      <c r="AA58" s="166" t="str">
        <f>$A$1 &amp; "Other"</f>
        <v>GPOROther</v>
      </c>
      <c r="AB58" s="364">
        <f>MATCH($AA58, AssetData_Investment!A:A,0)-AssetData_Investment!$C$4</f>
        <v>24</v>
      </c>
      <c r="AC58" s="68" t="str">
        <f ca="1">OFFSET(AssetData_Investment!$B$12,$AB58, AC$50)</f>
        <v>Other London Offices</v>
      </c>
      <c r="AD58" s="171" t="str">
        <f ca="1">IF(OFFSET(AssetData_Investment!$B$12,$AB58, AD$50)="", "", OFFSET(AssetData_Investment!$B$12,$AB58, AD$50))</f>
        <v/>
      </c>
      <c r="AE58" s="93">
        <f ca="1">MROUND(OFFSET(AssetData_Investment!$B$12,$AB58, AE$50),10)</f>
        <v>2060</v>
      </c>
      <c r="AF58" s="71">
        <f ca="1">AE58/$AE$59</f>
        <v>0.8046875</v>
      </c>
      <c r="AG58" s="97">
        <f ca="1">OFFSET(AssetData_Investment!$B$12,$AB58, AG$50)</f>
        <v>2216.6999999999998</v>
      </c>
      <c r="AH58" s="72">
        <f ca="1">MROUND(AE58*1000/AG58,5)</f>
        <v>930</v>
      </c>
      <c r="AI58" s="271">
        <f ca="1">OFFSET(AssetData_Investment!$B$12,$AB58, AI$50)*1000/AG58</f>
        <v>37.089367077186822</v>
      </c>
      <c r="AJ58" s="273">
        <f ca="1">OFFSET(AssetData_Investment!$B$12,$AB58, AJ$50)</f>
        <v>0.9623562526332341</v>
      </c>
      <c r="AK58" s="73" t="str">
        <f ca="1">IF(OFFSET(AssetData_Investment!$B$12,$AB58, AK$50)="", "", OFFSET(AssetData_Investment!$B$12,$AB58, AK$50))</f>
        <v/>
      </c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5"/>
    </row>
    <row r="59" spans="1:53" ht="14.25" customHeight="1" thickBot="1">
      <c r="AA59" s="166" t="str">
        <f>$A$1 &amp; "Total"</f>
        <v>GPORTotal</v>
      </c>
      <c r="AB59" s="165">
        <f>MATCH($AA59, AssetData_Investment!A:A,0)-AssetData_Investment!$C$4</f>
        <v>25</v>
      </c>
      <c r="AC59" s="53" t="s">
        <v>25</v>
      </c>
      <c r="AD59" s="54"/>
      <c r="AE59" s="95">
        <f ca="1">SUM(AE55:AE58)</f>
        <v>2560</v>
      </c>
      <c r="AF59" s="55">
        <f ca="1">SUM(AF55:AF58)</f>
        <v>1</v>
      </c>
      <c r="AG59" s="98">
        <f ca="1">SUM(AG55:AG58)</f>
        <v>2706</v>
      </c>
      <c r="AH59" s="56">
        <f ca="1">MROUND(SUMPRODUCT(AH55:AH58,$AG$55:$AG$58)/SUMPRODUCT($AG$55:$AG$58),5)</f>
        <v>945</v>
      </c>
      <c r="AI59" s="56">
        <f ca="1">OFFSET(AssetData_Investment!$B$12,$AB59, AI$50)*1000/AG59</f>
        <v>37.102734663710272</v>
      </c>
      <c r="AJ59" s="55">
        <f ca="1">OFFSET(AssetData_Investment!$B$12,$AB59, AJ$50)</f>
        <v>0.96916301005620475</v>
      </c>
      <c r="AK59" s="57"/>
      <c r="AN59" s="39"/>
      <c r="AO59" s="39"/>
      <c r="AP59" s="39"/>
      <c r="AQ59" s="39"/>
      <c r="AR59" s="396"/>
      <c r="AS59" s="39"/>
      <c r="AT59" s="396"/>
      <c r="AU59" s="39"/>
      <c r="AV59" s="39"/>
      <c r="AW59" s="39"/>
      <c r="AX59" s="39"/>
      <c r="AY59" s="39"/>
      <c r="AZ59" s="39"/>
      <c r="BA59" s="299"/>
    </row>
    <row r="61" spans="1:53" ht="14.25">
      <c r="AO61" s="409" t="s">
        <v>248</v>
      </c>
      <c r="AP61" s="409"/>
      <c r="AQ61" s="409"/>
      <c r="AR61" s="409"/>
      <c r="AS61" s="409"/>
      <c r="AT61" s="409"/>
      <c r="AU61" s="409"/>
      <c r="AV61" s="409"/>
      <c r="AW61" s="409"/>
      <c r="AX61" s="383"/>
      <c r="AY61" s="383"/>
      <c r="AZ61" s="44"/>
    </row>
    <row r="62" spans="1:53" ht="12.75" customHeight="1">
      <c r="AO62" s="58" t="s">
        <v>9</v>
      </c>
      <c r="AP62" s="76" t="s">
        <v>10</v>
      </c>
      <c r="AQ62" s="400" t="s">
        <v>16</v>
      </c>
      <c r="AR62" s="400" t="s">
        <v>33</v>
      </c>
      <c r="AS62" s="400" t="s">
        <v>22</v>
      </c>
      <c r="AT62" s="400" t="s">
        <v>24</v>
      </c>
      <c r="AU62" s="400" t="s">
        <v>23</v>
      </c>
      <c r="AV62" s="382" t="s">
        <v>20</v>
      </c>
      <c r="AW62" s="400" t="s">
        <v>34</v>
      </c>
      <c r="AX62" s="400" t="s">
        <v>36</v>
      </c>
      <c r="AY62" s="400" t="s">
        <v>35</v>
      </c>
      <c r="AZ62" s="400" t="s">
        <v>15</v>
      </c>
    </row>
    <row r="63" spans="1:53">
      <c r="AO63" s="77"/>
      <c r="AP63" s="78"/>
      <c r="AQ63" s="401"/>
      <c r="AR63" s="401"/>
      <c r="AS63" s="401"/>
      <c r="AT63" s="401"/>
      <c r="AU63" s="401"/>
      <c r="AV63" s="79"/>
      <c r="AW63" s="401"/>
      <c r="AX63" s="401"/>
      <c r="AY63" s="401"/>
      <c r="AZ63" s="401"/>
    </row>
    <row r="64" spans="1:53">
      <c r="AO64" s="80" t="str">
        <f t="shared" ref="AO64:AQ68" si="0">AP48</f>
        <v>78/82 Great Portland St</v>
      </c>
      <c r="AP64" s="81" t="str">
        <f t="shared" si="0"/>
        <v>Noho</v>
      </c>
      <c r="AQ64" s="85">
        <f t="shared" si="0"/>
        <v>20.3</v>
      </c>
      <c r="AR64" s="387"/>
      <c r="AS64" s="384">
        <f>AS48/1000</f>
        <v>18.3</v>
      </c>
      <c r="AT64" s="85">
        <f>(AQ64*1000)/AS64</f>
        <v>1109.2896174863388</v>
      </c>
      <c r="AU64" s="85">
        <f>(AT48*1000)/AS64</f>
        <v>16.393442622950818</v>
      </c>
      <c r="AV64" s="86">
        <f t="shared" ref="AV64:AY68" si="1">AU48</f>
        <v>0</v>
      </c>
      <c r="AW64" s="87">
        <f t="shared" si="1"/>
        <v>0.06</v>
      </c>
      <c r="AX64" s="87">
        <f t="shared" si="1"/>
        <v>4.4999999999999998E-2</v>
      </c>
      <c r="AY64" s="263">
        <f t="shared" si="1"/>
        <v>-0.69235857000000001</v>
      </c>
      <c r="AZ64" s="388" t="str">
        <f>BA64</f>
        <v>Q1 2017</v>
      </c>
      <c r="BA64" s="390" t="s">
        <v>1121</v>
      </c>
    </row>
    <row r="65" spans="41:53">
      <c r="AO65" s="68" t="str">
        <f t="shared" si="0"/>
        <v xml:space="preserve">160 Old Street </v>
      </c>
      <c r="AP65" s="69" t="str">
        <f t="shared" si="0"/>
        <v>City Fringe</v>
      </c>
      <c r="AQ65" s="70">
        <f t="shared" si="0"/>
        <v>49.405000000000001</v>
      </c>
      <c r="AR65" s="391"/>
      <c r="AS65" s="392">
        <f>AS49/1000</f>
        <v>160.6</v>
      </c>
      <c r="AT65" s="70">
        <f t="shared" ref="AT65:AT68" si="2">(AQ65*1000)/AS65</f>
        <v>307.62764632627648</v>
      </c>
      <c r="AU65" s="70">
        <f>(AT49*1000)/AS65</f>
        <v>26.774595267745955</v>
      </c>
      <c r="AV65" s="218">
        <f t="shared" si="1"/>
        <v>0</v>
      </c>
      <c r="AW65" s="219">
        <f t="shared" si="1"/>
        <v>6.3E-2</v>
      </c>
      <c r="AX65" s="219">
        <f t="shared" si="1"/>
        <v>4.7500000000000001E-2</v>
      </c>
      <c r="AY65" s="71">
        <f t="shared" si="1"/>
        <v>0.71646936999999999</v>
      </c>
      <c r="AZ65" s="393" t="str">
        <f t="shared" ref="AZ65:AZ68" si="3">BA65</f>
        <v>Q1 2018</v>
      </c>
      <c r="BA65" s="390" t="s">
        <v>1122</v>
      </c>
    </row>
    <row r="66" spans="41:53">
      <c r="AO66" s="80" t="str">
        <f t="shared" si="0"/>
        <v>Rathbone Square</v>
      </c>
      <c r="AP66" s="81" t="str">
        <f t="shared" si="0"/>
        <v>Noho</v>
      </c>
      <c r="AQ66" s="85">
        <f t="shared" si="0"/>
        <v>447.27175904000001</v>
      </c>
      <c r="AR66" s="387"/>
      <c r="AS66" s="384">
        <f>AS50/1000</f>
        <v>419.7</v>
      </c>
      <c r="AT66" s="85">
        <f t="shared" si="2"/>
        <v>1065.6939695973315</v>
      </c>
      <c r="AU66" s="85">
        <f>(AT50*1000)/AS66</f>
        <v>46.938289254229211</v>
      </c>
      <c r="AV66" s="86">
        <f t="shared" si="1"/>
        <v>0.92</v>
      </c>
      <c r="AW66" s="87">
        <f t="shared" si="1"/>
        <v>6.4000000000000001E-2</v>
      </c>
      <c r="AX66" s="87">
        <f t="shared" si="1"/>
        <v>0.04</v>
      </c>
      <c r="AY66" s="263">
        <f t="shared" si="1"/>
        <v>0.62141648000000005</v>
      </c>
      <c r="AZ66" s="388" t="str">
        <f t="shared" si="3"/>
        <v>Q2 2017</v>
      </c>
      <c r="BA66" s="390" t="s">
        <v>1123</v>
      </c>
    </row>
    <row r="67" spans="41:53">
      <c r="AO67" s="68" t="str">
        <f t="shared" si="0"/>
        <v>Tasman Hse, Wells St</v>
      </c>
      <c r="AP67" s="69" t="str">
        <f t="shared" si="0"/>
        <v>NoHo</v>
      </c>
      <c r="AQ67" s="70">
        <f t="shared" si="0"/>
        <v>50.6</v>
      </c>
      <c r="AR67" s="391"/>
      <c r="AS67" s="392">
        <f>AS51/1000</f>
        <v>37.299999999999997</v>
      </c>
      <c r="AT67" s="70">
        <f t="shared" si="2"/>
        <v>1356.5683646112602</v>
      </c>
      <c r="AU67" s="70">
        <f>(AT51*1000)/AS67</f>
        <v>75.067024128686327</v>
      </c>
      <c r="AV67" s="218">
        <f t="shared" si="1"/>
        <v>0</v>
      </c>
      <c r="AW67" s="219">
        <f t="shared" si="1"/>
        <v>6.3E-2</v>
      </c>
      <c r="AX67" s="219">
        <f t="shared" si="1"/>
        <v>4.2500000000000003E-2</v>
      </c>
      <c r="AY67" s="71">
        <f t="shared" si="1"/>
        <v>0.21969348</v>
      </c>
      <c r="AZ67" s="393" t="str">
        <f t="shared" si="3"/>
        <v>Q4 2017</v>
      </c>
      <c r="BA67" s="390" t="s">
        <v>1124</v>
      </c>
    </row>
    <row r="68" spans="41:53">
      <c r="AO68" s="80" t="str">
        <f t="shared" si="0"/>
        <v>84/86 Great Portland St</v>
      </c>
      <c r="AP68" s="81" t="str">
        <f t="shared" si="0"/>
        <v>Noho</v>
      </c>
      <c r="AQ68" s="85">
        <f t="shared" si="0"/>
        <v>23.809523810000002</v>
      </c>
      <c r="AR68" s="387"/>
      <c r="AS68" s="384">
        <f>AS52/1000</f>
        <v>23.2</v>
      </c>
      <c r="AT68" s="85">
        <f t="shared" si="2"/>
        <v>1026.2725780172416</v>
      </c>
      <c r="AU68" s="85">
        <f>(AT52*1000)/AS68</f>
        <v>43.103448275862071</v>
      </c>
      <c r="AV68" s="86">
        <f t="shared" si="1"/>
        <v>0</v>
      </c>
      <c r="AW68" s="87">
        <f t="shared" si="1"/>
        <v>4.2000000000000003E-2</v>
      </c>
      <c r="AX68" s="87">
        <f t="shared" si="1"/>
        <v>3.7499999999999999E-2</v>
      </c>
      <c r="AY68" s="263">
        <f t="shared" si="1"/>
        <v>4.9180330000000001E-2</v>
      </c>
      <c r="AZ68" s="388" t="str">
        <f t="shared" si="3"/>
        <v>Q2 2017</v>
      </c>
      <c r="BA68" s="390" t="s">
        <v>1123</v>
      </c>
    </row>
    <row r="69" spans="41:53" ht="13.5" thickBot="1">
      <c r="AO69" s="394" t="s">
        <v>25</v>
      </c>
      <c r="AP69" s="49"/>
      <c r="AQ69" s="50">
        <f>SUM(AQ64:AQ68)</f>
        <v>591.38628285000004</v>
      </c>
      <c r="AR69" s="50">
        <f t="shared" ref="AR69:AS69" si="4">SUM(AR64:AR68)</f>
        <v>0</v>
      </c>
      <c r="AS69" s="50">
        <f t="shared" si="4"/>
        <v>659.1</v>
      </c>
      <c r="AT69" s="50">
        <f>MROUND(SUMPRODUCT(AT64:AT68,$AS$64:$AS$68)/$AS$69,5)</f>
        <v>895</v>
      </c>
      <c r="AU69" s="50">
        <f>SUMPRODUCT(AU64:AU68,$AS$64:$AS$68)/$AS$69</f>
        <v>42.633894704900619</v>
      </c>
      <c r="AV69" s="52">
        <f t="shared" ref="AV69:AY69" si="5">SUMPRODUCT(AV64:AV68,$AS$64:$AS$68)/$AS$69</f>
        <v>0.58583522985889847</v>
      </c>
      <c r="AW69" s="52">
        <f t="shared" si="5"/>
        <v>6.2814292216659073E-2</v>
      </c>
      <c r="AX69" s="52">
        <f t="shared" si="5"/>
        <v>4.2019799726900321E-2</v>
      </c>
      <c r="AY69" s="52">
        <f t="shared" si="5"/>
        <v>0.56522358687149132</v>
      </c>
      <c r="AZ69" s="49"/>
    </row>
  </sheetData>
  <mergeCells count="21">
    <mergeCell ref="AC52:AJ52"/>
    <mergeCell ref="AG53:AG54"/>
    <mergeCell ref="AF53:AF54"/>
    <mergeCell ref="J10:M10"/>
    <mergeCell ref="D5:D6"/>
    <mergeCell ref="K5:N5"/>
    <mergeCell ref="G10:H10"/>
    <mergeCell ref="AH53:AH54"/>
    <mergeCell ref="H25:M26"/>
    <mergeCell ref="AI53:AI54"/>
    <mergeCell ref="AE53:AE54"/>
    <mergeCell ref="AX62:AX63"/>
    <mergeCell ref="AY62:AY63"/>
    <mergeCell ref="AZ62:AZ63"/>
    <mergeCell ref="AO61:AW61"/>
    <mergeCell ref="AQ62:AQ63"/>
    <mergeCell ref="AR62:AR63"/>
    <mergeCell ref="AS62:AS63"/>
    <mergeCell ref="AT62:AT63"/>
    <mergeCell ref="AU62:AU63"/>
    <mergeCell ref="AW62:AW63"/>
  </mergeCells>
  <phoneticPr fontId="0" type="noConversion"/>
  <pageMargins left="0.47244094488188981" right="0.47244094488188981" top="0.27559055118110237" bottom="7.874015748031496E-2" header="0.51181102362204722" footer="0.51181102362204722"/>
  <pageSetup orientation="landscape" r:id="rId1"/>
  <headerFooter alignWithMargins="0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55"/>
  </sheetPr>
  <dimension ref="A1:BB71"/>
  <sheetViews>
    <sheetView topLeftCell="A4" zoomScaleNormal="100" zoomScaleSheetLayoutView="100" workbookViewId="0">
      <selection activeCell="G25" sqref="G25"/>
    </sheetView>
  </sheetViews>
  <sheetFormatPr defaultRowHeight="12.75"/>
  <cols>
    <col min="2" max="2" width="0.42578125" customWidth="1"/>
    <col min="3" max="3" width="1.28515625" customWidth="1"/>
    <col min="4" max="4" width="63.7109375" customWidth="1"/>
    <col min="5" max="5" width="5.28515625" customWidth="1"/>
    <col min="6" max="6" width="1.42578125" customWidth="1"/>
    <col min="7" max="7" width="2.5703125" customWidth="1"/>
    <col min="8" max="8" width="24.85546875" customWidth="1"/>
    <col min="9" max="9" width="2.42578125" customWidth="1"/>
    <col min="10" max="10" width="24.7109375" customWidth="1"/>
    <col min="11" max="11" width="2.5703125" customWidth="1"/>
    <col min="12" max="12" width="1.140625" customWidth="1"/>
    <col min="13" max="14" width="0.5703125" customWidth="1"/>
    <col min="18" max="18" width="16.42578125" customWidth="1"/>
    <col min="19" max="19" width="14.7109375" bestFit="1" customWidth="1"/>
    <col min="20" max="20" width="20.28515625" bestFit="1" customWidth="1"/>
    <col min="21" max="21" width="18.140625" customWidth="1"/>
    <col min="22" max="22" width="20.28515625" bestFit="1" customWidth="1"/>
    <col min="23" max="23" width="14.5703125" customWidth="1"/>
    <col min="25" max="25" width="9.140625" style="2"/>
    <col min="27" max="27" width="10.42578125" bestFit="1" customWidth="1"/>
    <col min="28" max="28" width="11.140625" bestFit="1" customWidth="1"/>
    <col min="29" max="29" width="19.7109375" customWidth="1"/>
    <col min="30" max="30" width="9.28515625" customWidth="1"/>
    <col min="31" max="31" width="10" customWidth="1"/>
    <col min="32" max="32" width="9.28515625" customWidth="1"/>
    <col min="33" max="33" width="9.42578125" customWidth="1"/>
    <col min="34" max="35" width="8.5703125" customWidth="1"/>
    <col min="36" max="36" width="9.7109375" customWidth="1"/>
    <col min="37" max="37" width="46.42578125" customWidth="1"/>
    <col min="41" max="41" width="19.7109375" customWidth="1"/>
    <col min="42" max="42" width="9.28515625" customWidth="1"/>
    <col min="43" max="43" width="10" customWidth="1"/>
    <col min="44" max="44" width="9.28515625" customWidth="1"/>
    <col min="45" max="45" width="9.42578125" customWidth="1"/>
    <col min="46" max="47" width="8.5703125" customWidth="1"/>
    <col min="48" max="48" width="9.7109375" customWidth="1"/>
    <col min="49" max="49" width="11.7109375" customWidth="1"/>
    <col min="50" max="52" width="11.5703125" customWidth="1"/>
    <col min="54" max="54" width="9.140625" style="2"/>
  </cols>
  <sheetData>
    <row r="1" spans="1:53" ht="16.5" thickBot="1">
      <c r="A1" s="22" t="s">
        <v>136</v>
      </c>
      <c r="N1" t="s">
        <v>0</v>
      </c>
      <c r="Z1" s="110" t="s">
        <v>91</v>
      </c>
      <c r="AA1" s="110"/>
      <c r="AB1" s="110"/>
    </row>
    <row r="2" spans="1:5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53">
      <c r="A3" s="2"/>
      <c r="B3" s="3">
        <v>0.25</v>
      </c>
      <c r="C3" s="3">
        <v>0.75</v>
      </c>
      <c r="D3" s="99">
        <v>63</v>
      </c>
      <c r="E3" s="99">
        <v>4.57</v>
      </c>
      <c r="F3" s="99">
        <v>0.83</v>
      </c>
      <c r="G3" s="99"/>
      <c r="H3" s="99">
        <v>26.71</v>
      </c>
      <c r="I3" s="99">
        <v>1.57</v>
      </c>
      <c r="J3" s="99">
        <v>24</v>
      </c>
      <c r="K3" s="4">
        <v>1.86</v>
      </c>
      <c r="L3" s="3">
        <v>0.67</v>
      </c>
      <c r="M3" s="3">
        <v>0.33</v>
      </c>
      <c r="N3" s="3">
        <v>0.33</v>
      </c>
      <c r="O3" s="5">
        <f>SUM(B3:M3)</f>
        <v>124.53999999999998</v>
      </c>
      <c r="Z3" s="15" t="s">
        <v>19</v>
      </c>
      <c r="AA3" s="15"/>
      <c r="AB3" s="15"/>
      <c r="AC3" s="15">
        <v>138</v>
      </c>
      <c r="AD3" s="15">
        <v>65</v>
      </c>
      <c r="AE3" s="15">
        <v>70</v>
      </c>
      <c r="AF3" s="15">
        <v>65</v>
      </c>
      <c r="AG3" s="15">
        <v>66</v>
      </c>
      <c r="AH3" s="15">
        <v>60</v>
      </c>
      <c r="AI3" s="15">
        <v>60</v>
      </c>
      <c r="AJ3" s="15">
        <v>68</v>
      </c>
      <c r="AK3" s="15">
        <v>325</v>
      </c>
      <c r="AL3" s="15" t="s">
        <v>19</v>
      </c>
      <c r="AM3" s="15"/>
      <c r="AN3" s="15"/>
      <c r="AO3" s="15">
        <v>138</v>
      </c>
      <c r="AP3" s="15">
        <v>65</v>
      </c>
      <c r="AQ3" s="15">
        <v>70</v>
      </c>
      <c r="AR3" s="15">
        <v>65</v>
      </c>
      <c r="AS3" s="15">
        <v>66</v>
      </c>
      <c r="AT3" s="15">
        <v>60</v>
      </c>
      <c r="AU3" s="15">
        <v>60</v>
      </c>
      <c r="AV3" s="15">
        <v>68</v>
      </c>
      <c r="AW3" s="15">
        <v>82</v>
      </c>
      <c r="AX3" s="15">
        <v>81</v>
      </c>
      <c r="AY3" s="15">
        <v>81</v>
      </c>
      <c r="AZ3" s="15">
        <v>81</v>
      </c>
      <c r="BA3" s="15" t="s">
        <v>19</v>
      </c>
    </row>
    <row r="4" spans="1:53" ht="1.5" customHeight="1">
      <c r="A4" s="3">
        <v>1.5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O4" s="7"/>
    </row>
    <row r="5" spans="1:53" ht="21.75" customHeight="1">
      <c r="A5" s="3">
        <v>21.75</v>
      </c>
      <c r="D5" s="406" t="str">
        <f>BLND!D5</f>
        <v>London Office Update  – 23 August 2016</v>
      </c>
      <c r="E5" s="30"/>
      <c r="F5" s="30"/>
      <c r="G5" s="30"/>
      <c r="K5" s="408">
        <f>R5</f>
        <v>40</v>
      </c>
      <c r="L5" s="408"/>
      <c r="M5" s="408"/>
      <c r="N5" s="408"/>
      <c r="O5" s="7"/>
      <c r="Q5" s="8" t="s">
        <v>1</v>
      </c>
      <c r="R5" s="9">
        <f>GPOR!R5+1</f>
        <v>40</v>
      </c>
    </row>
    <row r="6" spans="1:53" ht="1.5" customHeight="1">
      <c r="A6" s="3">
        <v>1.5</v>
      </c>
      <c r="D6" s="406"/>
      <c r="E6" s="30"/>
      <c r="F6" s="30"/>
      <c r="G6" s="30"/>
      <c r="O6" s="7"/>
    </row>
    <row r="7" spans="1:53" ht="12" customHeight="1">
      <c r="A7" s="3">
        <v>12</v>
      </c>
      <c r="O7" s="7"/>
    </row>
    <row r="8" spans="1:53" ht="35.25" customHeight="1" thickBot="1">
      <c r="A8" s="3">
        <v>35.25</v>
      </c>
      <c r="B8" s="10" t="e">
        <f ca="1">U13 &amp; " – Central London Office Portfolio"</f>
        <v>#N/A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O8" s="7"/>
    </row>
    <row r="9" spans="1:53" ht="13.5" customHeight="1" thickTop="1">
      <c r="A9" s="4">
        <v>13.5</v>
      </c>
      <c r="O9" s="7"/>
      <c r="R9" s="24" t="s">
        <v>40</v>
      </c>
      <c r="S9" s="25"/>
      <c r="T9" s="25"/>
      <c r="U9" s="25"/>
      <c r="V9" s="25"/>
      <c r="W9" s="25"/>
    </row>
    <row r="10" spans="1:53" ht="16.5" customHeight="1" thickBot="1">
      <c r="A10" s="47"/>
      <c r="G10" s="405" t="s">
        <v>29</v>
      </c>
      <c r="H10" s="405"/>
      <c r="I10" s="26"/>
      <c r="J10" s="405" t="s">
        <v>200</v>
      </c>
      <c r="K10" s="405"/>
      <c r="L10" s="405"/>
      <c r="M10" s="405"/>
      <c r="O10" s="7"/>
      <c r="R10" s="111" t="s">
        <v>64</v>
      </c>
      <c r="S10" s="112" t="e">
        <f>HLOOKUP($A$1, PortfolioData!$B$10:$L$11, 2, FALSE)</f>
        <v>#N/A</v>
      </c>
      <c r="T10" s="129"/>
    </row>
    <row r="11" spans="1:53" ht="15">
      <c r="A11" s="21"/>
      <c r="F11" s="42"/>
      <c r="G11" s="42"/>
      <c r="I11" s="42"/>
      <c r="J11" s="42"/>
      <c r="K11" s="26"/>
      <c r="L11" s="26"/>
      <c r="O11" s="2"/>
      <c r="R11" s="111" t="s">
        <v>63</v>
      </c>
      <c r="S11" s="112">
        <f>HLOOKUP("Average", PortfolioData!$B$10:$L$11, 2, FALSE)</f>
        <v>10</v>
      </c>
      <c r="T11" s="130"/>
    </row>
    <row r="12" spans="1:53" ht="12.75" customHeight="1">
      <c r="A12" s="21"/>
      <c r="O12" s="2"/>
      <c r="S12" s="117" t="s">
        <v>71</v>
      </c>
      <c r="T12" s="122" t="s">
        <v>70</v>
      </c>
    </row>
    <row r="13" spans="1:53" ht="12.75" customHeight="1">
      <c r="A13" s="21"/>
      <c r="D13" s="14"/>
      <c r="E13" s="14"/>
      <c r="O13" s="2"/>
      <c r="R13" s="111" t="s">
        <v>28</v>
      </c>
      <c r="S13" s="117" t="s">
        <v>5</v>
      </c>
      <c r="T13" s="118">
        <f>MATCH(S13, PortfolioData!B:B,0)-PortfolioData!$F$5</f>
        <v>2</v>
      </c>
      <c r="U13" s="119" t="e">
        <f ca="1">OFFSET(PortfolioData!$B$10, T13, $S$10)</f>
        <v>#N/A</v>
      </c>
    </row>
    <row r="14" spans="1:53" ht="12.75" customHeight="1">
      <c r="A14" s="21"/>
      <c r="O14" s="2"/>
      <c r="R14" s="137" t="s">
        <v>68</v>
      </c>
      <c r="S14" s="117" t="s">
        <v>5</v>
      </c>
      <c r="T14" s="118">
        <f>MATCH(S14, PortfolioData!B:B,0)-PortfolioData!$F$5</f>
        <v>2</v>
      </c>
      <c r="U14" s="119" t="str">
        <f ca="1">OFFSET(PortfolioData!$B$10, T14, $S$11)&amp;"(2)"</f>
        <v>Selected REITs' Avg.(2)</v>
      </c>
    </row>
    <row r="15" spans="1:53" ht="12.75" customHeight="1">
      <c r="A15" s="21"/>
      <c r="D15" s="14"/>
      <c r="E15" s="14"/>
      <c r="O15" s="2"/>
    </row>
    <row r="16" spans="1:53" ht="12.75" customHeight="1">
      <c r="A16" s="21"/>
      <c r="O16" s="2"/>
      <c r="R16" s="24" t="s">
        <v>4</v>
      </c>
      <c r="S16" s="24"/>
      <c r="T16" s="24"/>
      <c r="U16" s="24"/>
      <c r="V16" s="24"/>
      <c r="W16" s="24"/>
    </row>
    <row r="17" spans="1:28" ht="12.75" customHeight="1">
      <c r="A17" s="21"/>
      <c r="C17" s="13"/>
      <c r="O17" s="2"/>
      <c r="R17" t="s">
        <v>7</v>
      </c>
      <c r="X17" s="18"/>
      <c r="Z17" s="18"/>
      <c r="AA17" s="18"/>
      <c r="AB17" s="18"/>
    </row>
    <row r="18" spans="1:28" ht="12.75" customHeight="1">
      <c r="A18" s="21"/>
      <c r="O18" s="2"/>
    </row>
    <row r="19" spans="1:28" ht="12.75" customHeight="1">
      <c r="A19" s="21"/>
      <c r="C19" s="13"/>
      <c r="H19" s="42"/>
      <c r="I19" s="42"/>
      <c r="J19" s="42"/>
      <c r="K19" s="42"/>
      <c r="L19" s="42"/>
      <c r="M19" s="26"/>
      <c r="N19" s="26"/>
      <c r="O19" s="2"/>
      <c r="R19" s="24" t="s">
        <v>13</v>
      </c>
      <c r="S19" s="25"/>
      <c r="T19" s="25"/>
      <c r="U19" s="25"/>
      <c r="V19" s="25"/>
      <c r="W19" s="25"/>
    </row>
    <row r="20" spans="1:28" ht="12.75" customHeight="1">
      <c r="A20" s="21"/>
      <c r="O20" s="2"/>
      <c r="R20" s="117" t="s">
        <v>59</v>
      </c>
      <c r="S20" s="122" t="s">
        <v>62</v>
      </c>
      <c r="T20" s="131" t="s">
        <v>60</v>
      </c>
      <c r="U20" s="122" t="s">
        <v>61</v>
      </c>
      <c r="V20" s="108" t="s">
        <v>8</v>
      </c>
      <c r="W20" s="108" t="s">
        <v>192</v>
      </c>
    </row>
    <row r="21" spans="1:28" ht="12.75" customHeight="1">
      <c r="A21" s="21"/>
      <c r="O21" s="2"/>
      <c r="R21" s="123" t="s">
        <v>187</v>
      </c>
      <c r="S21" s="125">
        <f>MATCH(R21, PortfolioData!B:B,0)-PortfolioData!$F$5</f>
        <v>6</v>
      </c>
      <c r="T21" s="124" t="s">
        <v>193</v>
      </c>
      <c r="U21" s="133">
        <f>MATCH(T21, PortfolioData!B:B,0)-PortfolioData!$F$5</f>
        <v>7</v>
      </c>
      <c r="V21" s="211" t="s">
        <v>131</v>
      </c>
      <c r="W21" s="245" t="e">
        <f ca="1">OFFSET(PortfolioData!$B$10, U21, $S$10)</f>
        <v>#N/A</v>
      </c>
    </row>
    <row r="22" spans="1:28" ht="12.75" customHeight="1">
      <c r="A22" s="21"/>
      <c r="O22" s="2"/>
      <c r="R22" s="123" t="s">
        <v>188</v>
      </c>
      <c r="S22" s="125">
        <f>MATCH(R22, PortfolioData!B:B,0)-PortfolioData!$F$5</f>
        <v>10</v>
      </c>
      <c r="T22" s="124" t="s">
        <v>194</v>
      </c>
      <c r="U22" s="125">
        <f>MATCH(T22, PortfolioData!B:B,0)-PortfolioData!$F$5</f>
        <v>11</v>
      </c>
      <c r="V22" s="211" t="s">
        <v>130</v>
      </c>
      <c r="W22" s="245" t="e">
        <f ca="1">OFFSET(PortfolioData!$B$10, U22, $S$10)</f>
        <v>#N/A</v>
      </c>
    </row>
    <row r="23" spans="1:28" ht="12.75" customHeight="1">
      <c r="A23" s="21"/>
      <c r="O23" s="2"/>
      <c r="R23" s="123" t="s">
        <v>189</v>
      </c>
      <c r="S23" s="125">
        <f>MATCH(R23, PortfolioData!B:B,0)-PortfolioData!$F$5</f>
        <v>14</v>
      </c>
      <c r="T23" s="124" t="s">
        <v>195</v>
      </c>
      <c r="U23" s="125">
        <f>MATCH(T23, PortfolioData!B:B,0)-PortfolioData!$F$5</f>
        <v>15</v>
      </c>
      <c r="V23" s="88" t="e">
        <f ca="1">OFFSET(PortfolioData!$B$10, S23, $S$10)</f>
        <v>#N/A</v>
      </c>
      <c r="W23" s="245" t="e">
        <f ca="1">OFFSET(PortfolioData!$B$10, U23, $S$10)</f>
        <v>#N/A</v>
      </c>
    </row>
    <row r="24" spans="1:28" ht="12.75" customHeight="1">
      <c r="A24" s="21"/>
      <c r="G24" s="41" t="s">
        <v>41</v>
      </c>
      <c r="H24" s="16" t="s">
        <v>202</v>
      </c>
      <c r="I24" s="100"/>
      <c r="J24" s="100"/>
      <c r="K24" s="100"/>
      <c r="L24" s="100"/>
      <c r="M24" s="100"/>
      <c r="O24" s="2"/>
      <c r="R24" s="123" t="s">
        <v>190</v>
      </c>
      <c r="S24" s="125">
        <f>MATCH(R24, PortfolioData!B:B,0)-PortfolioData!$F$5</f>
        <v>18</v>
      </c>
      <c r="T24" s="124" t="s">
        <v>196</v>
      </c>
      <c r="U24" s="125">
        <f>MATCH(T24, PortfolioData!B:B,0)-PortfolioData!$F$5</f>
        <v>19</v>
      </c>
      <c r="V24" s="88" t="e">
        <f ca="1">OFFSET(PortfolioData!$B$10, S24, $S$10)</f>
        <v>#N/A</v>
      </c>
      <c r="W24" s="245" t="e">
        <f ca="1">OFFSET(PortfolioData!$B$10, U24, $S$10)</f>
        <v>#N/A</v>
      </c>
    </row>
    <row r="25" spans="1:28" ht="12.75" customHeight="1">
      <c r="A25" s="2"/>
      <c r="G25" s="41" t="s">
        <v>201</v>
      </c>
      <c r="H25" s="414" t="s">
        <v>243</v>
      </c>
      <c r="I25" s="415"/>
      <c r="J25" s="415"/>
      <c r="K25" s="415"/>
      <c r="L25" s="415"/>
      <c r="M25" s="415"/>
      <c r="O25" s="2"/>
      <c r="R25" s="123" t="s">
        <v>191</v>
      </c>
      <c r="S25" s="125">
        <f>MATCH(R25, PortfolioData!B:B,0)-PortfolioData!$F$5</f>
        <v>22</v>
      </c>
      <c r="T25" s="124" t="s">
        <v>197</v>
      </c>
      <c r="U25" s="125">
        <f>MATCH(T25, PortfolioData!B:B,0)-PortfolioData!$F$5</f>
        <v>23</v>
      </c>
      <c r="V25" s="88" t="e">
        <f ca="1">OFFSET(PortfolioData!$B$10, S25, $S$10)</f>
        <v>#N/A</v>
      </c>
      <c r="W25" s="245" t="e">
        <f ca="1">OFFSET(PortfolioData!$B$10, U25, $S$10)</f>
        <v>#N/A</v>
      </c>
    </row>
    <row r="26" spans="1:28">
      <c r="A26" s="2"/>
      <c r="H26" s="415"/>
      <c r="I26" s="415"/>
      <c r="J26" s="415"/>
      <c r="K26" s="415"/>
      <c r="L26" s="415"/>
      <c r="M26" s="415"/>
      <c r="O26" s="2"/>
      <c r="R26" s="126" t="s">
        <v>181</v>
      </c>
      <c r="S26" s="128" t="s">
        <v>19</v>
      </c>
      <c r="T26" s="127" t="s">
        <v>181</v>
      </c>
      <c r="U26" s="128" t="s">
        <v>19</v>
      </c>
      <c r="V26" s="211"/>
      <c r="W26" s="212"/>
    </row>
    <row r="27" spans="1:28" ht="15" customHeight="1">
      <c r="A27" s="2"/>
      <c r="H27" s="45"/>
      <c r="I27" s="45"/>
      <c r="J27" s="45"/>
      <c r="K27" s="45"/>
      <c r="O27" s="2"/>
      <c r="T27" s="127" t="s">
        <v>199</v>
      </c>
      <c r="U27" s="246">
        <f>MATCH(T27, PortfolioData!B:B,0)-PortfolioData!$F$5</f>
        <v>25</v>
      </c>
      <c r="V27" s="109" t="s">
        <v>185</v>
      </c>
      <c r="W27" s="244" t="e">
        <f ca="1">OFFSET(PortfolioData!$B$10, U27, $S$10)/1000</f>
        <v>#N/A</v>
      </c>
    </row>
    <row r="28" spans="1:28" ht="15">
      <c r="A28" s="2"/>
      <c r="H28" s="45"/>
      <c r="I28" s="45"/>
      <c r="J28" s="45"/>
      <c r="K28" s="45"/>
      <c r="L28" s="40"/>
      <c r="M28" s="40"/>
      <c r="O28" s="2"/>
    </row>
    <row r="29" spans="1:28" ht="12.75" customHeight="1">
      <c r="A29" s="2"/>
      <c r="H29" s="33"/>
      <c r="I29" s="36"/>
      <c r="J29" s="36"/>
      <c r="O29" s="2"/>
      <c r="R29" s="15" t="s">
        <v>39</v>
      </c>
      <c r="S29" s="112" t="e">
        <f ca="1">"Total Value: " &amp; TEXT( W27, "£#,###.0") &amp; "bn"</f>
        <v>#N/A</v>
      </c>
    </row>
    <row r="30" spans="1:28" ht="12.75" customHeight="1">
      <c r="A30" s="2"/>
      <c r="H30" s="33"/>
      <c r="I30" s="36"/>
      <c r="J30" s="36"/>
      <c r="O30" s="2"/>
    </row>
    <row r="31" spans="1:28" ht="12.75" customHeight="1">
      <c r="A31" s="2"/>
      <c r="H31" s="28"/>
      <c r="I31" s="37"/>
      <c r="J31" s="37"/>
      <c r="O31" s="2" t="s">
        <v>17</v>
      </c>
    </row>
    <row r="32" spans="1:28">
      <c r="A32" s="2"/>
      <c r="H32" s="28"/>
      <c r="I32" s="37"/>
      <c r="J32" s="37"/>
      <c r="O32" s="2"/>
      <c r="R32" s="24" t="s">
        <v>37</v>
      </c>
      <c r="S32" s="25"/>
      <c r="T32" s="25"/>
      <c r="U32" s="25"/>
      <c r="V32" s="25"/>
      <c r="W32" s="25"/>
    </row>
    <row r="33" spans="1:22">
      <c r="A33" s="2"/>
      <c r="H33" s="28"/>
      <c r="I33" s="37"/>
      <c r="J33" s="37"/>
      <c r="O33" s="2"/>
    </row>
    <row r="34" spans="1:22">
      <c r="A34" s="2"/>
      <c r="H34" s="34"/>
      <c r="I34" s="38"/>
      <c r="J34" s="38"/>
      <c r="O34" s="2"/>
      <c r="R34" s="101" t="s">
        <v>38</v>
      </c>
      <c r="S34" s="131" t="s">
        <v>71</v>
      </c>
      <c r="T34" s="122" t="s">
        <v>70</v>
      </c>
      <c r="U34" s="102" t="e">
        <f ca="1">U13</f>
        <v>#N/A</v>
      </c>
      <c r="V34" s="101" t="str">
        <f ca="1">U14</f>
        <v>Selected REITs' Avg.(2)</v>
      </c>
    </row>
    <row r="35" spans="1:22">
      <c r="A35" s="2"/>
      <c r="H35" s="34"/>
      <c r="I35" s="38"/>
      <c r="J35" s="38"/>
      <c r="O35" s="2"/>
      <c r="R35" s="103" t="s">
        <v>26</v>
      </c>
      <c r="S35" s="132" t="s">
        <v>26</v>
      </c>
      <c r="T35" s="133">
        <f>MATCH(S35, PortfolioData!B:B,0)-PortfolioData!$F$5</f>
        <v>34</v>
      </c>
      <c r="U35" s="104" t="e">
        <f ca="1">OFFSET(PortfolioData!$B$10, T35, $S$10)</f>
        <v>#N/A</v>
      </c>
      <c r="V35" s="104">
        <f ca="1">OFFSET(PortfolioData!$B$10, T35, $S$11)</f>
        <v>3.3626769078890555E-2</v>
      </c>
    </row>
    <row r="36" spans="1:22">
      <c r="A36" s="2"/>
      <c r="D36" s="26"/>
      <c r="E36" s="26"/>
      <c r="F36" s="26"/>
      <c r="G36" s="26"/>
      <c r="I36" s="18"/>
      <c r="J36" s="18"/>
      <c r="O36" s="2"/>
      <c r="R36" s="103"/>
      <c r="S36" s="134"/>
      <c r="T36" s="135"/>
      <c r="U36" s="105"/>
      <c r="V36" s="105"/>
    </row>
    <row r="37" spans="1:22" ht="15">
      <c r="A37" s="2"/>
      <c r="H37" s="40"/>
      <c r="I37" s="40"/>
      <c r="J37" s="40"/>
      <c r="K37" s="40"/>
      <c r="L37" s="40"/>
      <c r="M37" s="40"/>
      <c r="O37" s="2"/>
      <c r="R37" s="106" t="s">
        <v>27</v>
      </c>
      <c r="S37" s="126" t="s">
        <v>67</v>
      </c>
      <c r="T37" s="128">
        <f>MATCH(S37, PortfolioData!B:B,0)-PortfolioData!$F$5</f>
        <v>31</v>
      </c>
      <c r="U37" s="107" t="e">
        <f ca="1">OFFSET(PortfolioData!$B$10, T37, $S$10)</f>
        <v>#N/A</v>
      </c>
      <c r="V37" s="107">
        <f ca="1">OFFSET(PortfolioData!$B$10, T37, $S$11)</f>
        <v>344440.32841654215</v>
      </c>
    </row>
    <row r="38" spans="1:22" ht="12.75" customHeight="1">
      <c r="A38" s="2"/>
      <c r="H38" s="29"/>
      <c r="I38" s="29"/>
      <c r="J38" s="29"/>
      <c r="O38" s="2"/>
    </row>
    <row r="39" spans="1:22">
      <c r="A39" s="2"/>
      <c r="H39" s="35"/>
      <c r="I39" s="35"/>
      <c r="J39" s="35"/>
      <c r="O39" s="2"/>
    </row>
    <row r="40" spans="1:22">
      <c r="A40" s="2"/>
      <c r="H40" s="32"/>
      <c r="I40" s="32"/>
      <c r="J40" s="32"/>
      <c r="O40" s="2"/>
    </row>
    <row r="41" spans="1:22">
      <c r="A41" s="2"/>
      <c r="H41" s="32"/>
      <c r="O41" s="2"/>
    </row>
    <row r="42" spans="1:22">
      <c r="A42" s="2"/>
      <c r="O42" s="2"/>
    </row>
    <row r="43" spans="1:22" ht="8.25" customHeight="1">
      <c r="A43" s="15"/>
      <c r="H43" s="26"/>
      <c r="I43" s="26"/>
      <c r="J43" s="26"/>
      <c r="O43" s="2"/>
    </row>
    <row r="44" spans="1:22">
      <c r="A44" s="15"/>
      <c r="O44" s="2"/>
    </row>
    <row r="45" spans="1:22" ht="12.75" customHeight="1">
      <c r="A45" s="3">
        <v>12.75</v>
      </c>
      <c r="B45" s="260" t="s">
        <v>207</v>
      </c>
      <c r="M45" s="259" t="s">
        <v>210</v>
      </c>
      <c r="O45" s="2"/>
    </row>
    <row r="46" spans="1:22" ht="13.5" thickBot="1">
      <c r="A46" s="3">
        <v>12.75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8"/>
      <c r="O46" s="7"/>
    </row>
    <row r="47" spans="1:22" ht="23.25" customHeight="1">
      <c r="A47" s="3">
        <v>23.25</v>
      </c>
      <c r="N47" s="19" t="s">
        <v>2</v>
      </c>
      <c r="O47" s="7"/>
    </row>
    <row r="48" spans="1:22" ht="15" customHeight="1">
      <c r="A48" s="4">
        <v>15</v>
      </c>
      <c r="M48" s="20" t="s">
        <v>242</v>
      </c>
      <c r="O48" s="7"/>
    </row>
    <row r="49" spans="1:53">
      <c r="A49" s="2"/>
      <c r="B49" s="3">
        <v>0.25</v>
      </c>
      <c r="C49" s="3">
        <v>0.75</v>
      </c>
      <c r="D49" s="3">
        <v>37.29</v>
      </c>
      <c r="E49" s="3"/>
      <c r="F49" s="2"/>
      <c r="G49" s="2"/>
      <c r="H49" s="2"/>
      <c r="I49" s="2"/>
      <c r="J49" s="2"/>
      <c r="K49" s="2"/>
      <c r="L49" s="3">
        <v>0.67</v>
      </c>
      <c r="M49" s="3">
        <v>0.33</v>
      </c>
      <c r="N49" s="3">
        <v>0.33</v>
      </c>
      <c r="O49" s="7"/>
      <c r="AB49" s="170" t="s">
        <v>85</v>
      </c>
      <c r="AC49" s="168">
        <v>138</v>
      </c>
      <c r="AD49" s="168">
        <v>65</v>
      </c>
      <c r="AE49" s="168">
        <v>70</v>
      </c>
      <c r="AF49" s="168">
        <v>65</v>
      </c>
      <c r="AG49" s="168">
        <v>66</v>
      </c>
      <c r="AH49" s="168">
        <v>60</v>
      </c>
      <c r="AI49" s="168">
        <v>60</v>
      </c>
      <c r="AJ49" s="168">
        <v>68</v>
      </c>
      <c r="AK49" s="169">
        <v>325</v>
      </c>
    </row>
    <row r="50" spans="1:5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AB50" s="117" t="s">
        <v>84</v>
      </c>
      <c r="AC50" s="131">
        <f>MATCH(AC53, AssetData_Investment!$B$12:$O$12,0)-1</f>
        <v>4</v>
      </c>
      <c r="AD50" s="131">
        <f>MATCH(AD53, AssetData_Investment!$B$12:$O$12,0)-1</f>
        <v>5</v>
      </c>
      <c r="AE50" s="131">
        <f>MATCH(AE53, AssetData_Investment!$B$12:$O$12,0)-1</f>
        <v>6</v>
      </c>
      <c r="AF50" s="172" t="s">
        <v>50</v>
      </c>
      <c r="AG50" s="131">
        <f>MATCH(AG53, AssetData_Investment!$B$12:$O$12,0)-1</f>
        <v>7</v>
      </c>
      <c r="AH50" s="172" t="s">
        <v>50</v>
      </c>
      <c r="AI50" s="131">
        <f>MATCH("Rent (£m)", AssetData_Investment!$B$12:$O$12,0)-1</f>
        <v>8</v>
      </c>
      <c r="AJ50" s="131">
        <f>MATCH(AJ53, AssetData_Investment!$B$12:$O$12,0)-1</f>
        <v>9</v>
      </c>
      <c r="AK50" s="131">
        <f>MATCH(AK53, AssetData_Investment!$B$12:$O$12,0)-1</f>
        <v>10</v>
      </c>
    </row>
    <row r="52" spans="1:53" ht="13.5" customHeight="1">
      <c r="AC52" s="402" t="s">
        <v>247</v>
      </c>
      <c r="AD52" s="402"/>
      <c r="AE52" s="402"/>
      <c r="AF52" s="402"/>
      <c r="AG52" s="402"/>
      <c r="AH52" s="402"/>
      <c r="AI52" s="402"/>
      <c r="AJ52" s="402"/>
      <c r="AK52" s="27"/>
    </row>
    <row r="53" spans="1:53" ht="12.75" customHeight="1">
      <c r="AA53" s="162" t="s">
        <v>82</v>
      </c>
      <c r="AB53" s="163" t="s">
        <v>83</v>
      </c>
      <c r="AC53" s="58" t="s">
        <v>9</v>
      </c>
      <c r="AD53" s="59" t="s">
        <v>10</v>
      </c>
      <c r="AE53" s="412" t="s">
        <v>88</v>
      </c>
      <c r="AF53" s="403" t="s">
        <v>30</v>
      </c>
      <c r="AG53" s="403" t="s">
        <v>22</v>
      </c>
      <c r="AH53" s="403" t="s">
        <v>32</v>
      </c>
      <c r="AI53" s="403" t="s">
        <v>23</v>
      </c>
      <c r="AJ53" s="58" t="s">
        <v>11</v>
      </c>
      <c r="AK53" s="58" t="s">
        <v>12</v>
      </c>
    </row>
    <row r="54" spans="1:53">
      <c r="AA54" s="164"/>
      <c r="AB54" s="165"/>
      <c r="AC54" s="60"/>
      <c r="AD54" s="61"/>
      <c r="AE54" s="413" t="s">
        <v>31</v>
      </c>
      <c r="AF54" s="404"/>
      <c r="AG54" s="404"/>
      <c r="AH54" s="404"/>
      <c r="AI54" s="404"/>
      <c r="AJ54" s="61"/>
      <c r="AK54" s="60"/>
    </row>
    <row r="55" spans="1:53" ht="12.75" customHeight="1">
      <c r="AA55" s="164" t="str">
        <f>$A$1 &amp; "1"</f>
        <v>HMSO1</v>
      </c>
      <c r="AB55" s="165">
        <f>MATCH($AA55, AssetData_Investment!A:A,0)-AssetData_Investment!$C$4</f>
        <v>6</v>
      </c>
      <c r="AC55" s="62" t="str">
        <f ca="1">OFFSET(AssetData_Investment!$B$12,$AB55, AC$50)</f>
        <v>99 Bishopsgate</v>
      </c>
      <c r="AD55" s="63" t="str">
        <f ca="1">IF(OFFSET(AssetData_Investment!$B$12,$AB55, AD$50)="", "", OFFSET(AssetData_Investment!$B$12,$AB55, AD$50))</f>
        <v>City</v>
      </c>
      <c r="AE55" s="92">
        <f ca="1">MROUND(OFFSET(AssetData_Investment!$B$12,$AB55, AE$50),10)</f>
        <v>230</v>
      </c>
      <c r="AF55" s="65" t="e">
        <f ca="1">AE55/$AE$59</f>
        <v>#N/A</v>
      </c>
      <c r="AG55" s="96">
        <f ca="1">OFFSET(AssetData_Investment!$B$12,$AB55, AG$50)</f>
        <v>339</v>
      </c>
      <c r="AH55" s="64">
        <f ca="1">MROUND(AE55*1000/AG55,5)</f>
        <v>680</v>
      </c>
      <c r="AI55" s="64">
        <f ca="1">OFFSET(AssetData_Investment!$B$12,$AB55, AI$50)*1000/AG55</f>
        <v>51.91740412979351</v>
      </c>
      <c r="AJ55" s="66">
        <f ca="1">OFFSET(AssetData_Investment!$B$12,$AB55, AJ$50)</f>
        <v>0.97099999999999997</v>
      </c>
      <c r="AK55" s="67" t="str">
        <f ca="1">OFFSET(AssetData_Investment!$B$12,$AB55, AK$50)</f>
        <v>Deutsche Bank lease expires in late 2011</v>
      </c>
    </row>
    <row r="56" spans="1:53">
      <c r="AA56" s="164" t="str">
        <f>$A$1 &amp; "2"</f>
        <v>HMSO2</v>
      </c>
      <c r="AB56" s="165">
        <f>MATCH($AA56, AssetData_Investment!A:A,0)-AssetData_Investment!$C$4</f>
        <v>7</v>
      </c>
      <c r="AC56" s="68" t="str">
        <f ca="1">OFFSET(AssetData_Investment!$B$12,$AB56, AC$50)</f>
        <v>60 Threadneedle Street</v>
      </c>
      <c r="AD56" s="69" t="str">
        <f ca="1">IF(OFFSET(AssetData_Investment!$B$12,$AB56, AD$50)="", "", OFFSET(AssetData_Investment!$B$12,$AB56, AD$50))</f>
        <v>City</v>
      </c>
      <c r="AE56" s="93">
        <f ca="1">MROUND(OFFSET(AssetData_Investment!$B$12,$AB56, AE$50),10)</f>
        <v>150</v>
      </c>
      <c r="AF56" s="71" t="e">
        <f ca="1">AE56/$AE$59</f>
        <v>#N/A</v>
      </c>
      <c r="AG56" s="97">
        <f ca="1">OFFSET(AssetData_Investment!$B$12,$AB56, AG$50)</f>
        <v>217</v>
      </c>
      <c r="AH56" s="72">
        <f ca="1">MROUND(AE56*1000/AG56,5)</f>
        <v>690</v>
      </c>
      <c r="AI56" s="70">
        <f ca="1">OFFSET(AssetData_Investment!$B$12,$AB56, AI$50)*1000/AG56</f>
        <v>39.631336405529957</v>
      </c>
      <c r="AJ56" s="71">
        <f ca="1">OFFSET(AssetData_Investment!$B$12,$AB56, AJ$50)</f>
        <v>0.97499999999999998</v>
      </c>
      <c r="AK56" s="73" t="str">
        <f ca="1">OFFSET(AssetData_Investment!$B$12,$AB56, AK$50)</f>
        <v>Site acquired in 2002 and redeveloped in 2009</v>
      </c>
    </row>
    <row r="57" spans="1:53">
      <c r="AA57" s="164" t="str">
        <f>$A$1 &amp; "3"</f>
        <v>HMSO3</v>
      </c>
      <c r="AB57" s="165">
        <f>MATCH($AA57, AssetData_Investment!A:A,0)-AssetData_Investment!$C$4</f>
        <v>8</v>
      </c>
      <c r="AC57" s="62" t="str">
        <f ca="1">OFFSET(AssetData_Investment!$B$12,$AB57, AC$50)</f>
        <v>125 Old Broad Street</v>
      </c>
      <c r="AD57" s="63" t="str">
        <f ca="1">IF(OFFSET(AssetData_Investment!$B$12,$AB57, AD$50)="", "", OFFSET(AssetData_Investment!$B$12,$AB57, AD$50))</f>
        <v>City</v>
      </c>
      <c r="AE57" s="94">
        <f ca="1">MROUND(OFFSET(AssetData_Investment!$B$12,$AB57, AE$50),10)</f>
        <v>110</v>
      </c>
      <c r="AF57" s="65" t="e">
        <f ca="1">AE57/$AE$59</f>
        <v>#N/A</v>
      </c>
      <c r="AG57" s="96">
        <f ca="1">OFFSET(AssetData_Investment!$B$12,$AB57, AG$50)</f>
        <v>165</v>
      </c>
      <c r="AH57" s="64">
        <f ca="1">MROUND(AE57*1000/AG57,5)</f>
        <v>665</v>
      </c>
      <c r="AI57" s="74">
        <f ca="1">OFFSET(AssetData_Investment!$B$12,$AB57, AI$50)*1000/AG57</f>
        <v>43.030303030303031</v>
      </c>
      <c r="AJ57" s="65">
        <f ca="1">OFFSET(AssetData_Investment!$B$12,$AB57, AJ$50)</f>
        <v>0.92300000000000004</v>
      </c>
      <c r="AK57" s="75" t="str">
        <f ca="1">OFFSET(AssetData_Investment!$B$12,$AB57, AK$50)</f>
        <v>Redeveloped 26 floor tower. Former home to LSE.</v>
      </c>
    </row>
    <row r="58" spans="1:53">
      <c r="AA58" s="166" t="str">
        <f>$A$1 &amp; "Other"</f>
        <v>HMSOOther</v>
      </c>
      <c r="AB58" s="165">
        <f>MATCH($AA58, AssetData_Investment!A:A,0)-AssetData_Investment!$C$4</f>
        <v>9</v>
      </c>
      <c r="AC58" s="68" t="str">
        <f ca="1">OFFSET(AssetData_Investment!$B$12,$AB58, AC$50)</f>
        <v>Other London Offices</v>
      </c>
      <c r="AD58" s="171" t="str">
        <f ca="1">IF(OFFSET(AssetData_Investment!$B$12,$AB58, AD$50)="", "", OFFSET(AssetData_Investment!$B$12,$AB58, AD$50))</f>
        <v/>
      </c>
      <c r="AE58" s="93" t="e">
        <f ca="1">MROUND(OFFSET(AssetData_Investment!$B$12,$AB58, AE$50),10)</f>
        <v>#N/A</v>
      </c>
      <c r="AF58" s="71" t="e">
        <f ca="1">AE58/$AE$59</f>
        <v>#N/A</v>
      </c>
      <c r="AG58" s="97" t="e">
        <f ca="1">OFFSET(AssetData_Investment!$B$12,$AB58, AG$50)</f>
        <v>#N/A</v>
      </c>
      <c r="AH58" s="72" t="e">
        <f ca="1">MROUND(AE58*1000/AG58,5)</f>
        <v>#N/A</v>
      </c>
      <c r="AI58" s="70" t="e">
        <f ca="1">OFFSET(AssetData_Investment!$B$12,$AB58, AI$50)*1000/AG58</f>
        <v>#N/A</v>
      </c>
      <c r="AJ58" s="71" t="e">
        <f ca="1">OFFSET(AssetData_Investment!$B$12,$AB58, AJ$50)</f>
        <v>#N/A</v>
      </c>
      <c r="AK58" s="73" t="str">
        <f ca="1">IF(OFFSET(AssetData_Investment!$B$12,$AB58, AK$50)="", "", OFFSET(AssetData_Investment!$B$12,$AB58, AK$50))</f>
        <v/>
      </c>
      <c r="AN58" s="170" t="s">
        <v>85</v>
      </c>
      <c r="AO58" s="168">
        <v>138</v>
      </c>
      <c r="AP58" s="168">
        <v>65</v>
      </c>
      <c r="AQ58" s="168">
        <v>70</v>
      </c>
      <c r="AR58" s="168">
        <v>65</v>
      </c>
      <c r="AS58" s="168">
        <v>66</v>
      </c>
      <c r="AT58" s="168">
        <v>60</v>
      </c>
      <c r="AU58" s="168">
        <v>60</v>
      </c>
      <c r="AV58" s="168">
        <v>68</v>
      </c>
      <c r="AW58" s="168">
        <v>82</v>
      </c>
      <c r="AX58" s="168">
        <v>81</v>
      </c>
      <c r="AY58" s="168">
        <v>81</v>
      </c>
      <c r="AZ58" s="168">
        <v>81</v>
      </c>
      <c r="BA58" s="181">
        <f>SUM(AO58:AZ58)</f>
        <v>917</v>
      </c>
    </row>
    <row r="59" spans="1:53" ht="14.25" customHeight="1" thickBot="1">
      <c r="AC59" s="53" t="s">
        <v>25</v>
      </c>
      <c r="AD59" s="54"/>
      <c r="AE59" s="95" t="e">
        <f ca="1">SUM(AE55:AE58)</f>
        <v>#N/A</v>
      </c>
      <c r="AF59" s="55" t="e">
        <f ca="1">SUM(AF55:AF58)</f>
        <v>#N/A</v>
      </c>
      <c r="AG59" s="98" t="e">
        <f ca="1">SUM(AG55:AG58)</f>
        <v>#N/A</v>
      </c>
      <c r="AH59" s="56" t="e">
        <f ca="1">SUMPRODUCT(AH55:AH58,$AG$55:$AG$58)/SUMPRODUCT($AG$55:$AG$58)</f>
        <v>#N/A</v>
      </c>
      <c r="AI59" s="56" t="e">
        <f ca="1">SUMPRODUCT(AI55:AI58,$AG$55:$AG$58)/SUM($AG$55:$AG$58)</f>
        <v>#N/A</v>
      </c>
      <c r="AJ59" s="55" t="e">
        <f ca="1">SUMPRODUCT(AJ55:AJ58,$AG$55:$AG$58)/SUM($AG$55:$AG$58)</f>
        <v>#N/A</v>
      </c>
      <c r="AK59" s="57"/>
      <c r="AN59" s="166" t="s">
        <v>84</v>
      </c>
      <c r="AO59" s="179">
        <f>MATCH(AO63, AssetData_Developments!$B$12:$S$12, 0)-1</f>
        <v>4</v>
      </c>
      <c r="AP59" s="179">
        <f>MATCH(AP63, AssetData_Developments!$B$12:$S$12, 0)-1</f>
        <v>6</v>
      </c>
      <c r="AQ59" s="179">
        <f>MATCH(AQ63, AssetData_Developments!$B$12:$S$12, 0)-1</f>
        <v>7</v>
      </c>
      <c r="AR59" s="180" t="s">
        <v>50</v>
      </c>
      <c r="AS59" s="179">
        <f>MATCH(AS63, AssetData_Developments!$B$12:$S$12, 0)-1</f>
        <v>8</v>
      </c>
      <c r="AT59" s="180" t="s">
        <v>50</v>
      </c>
      <c r="AU59" s="179">
        <f>MATCH("Rent (£m)", AssetData_Developments!$B$12:$S$12, 0)-1</f>
        <v>9</v>
      </c>
      <c r="AV59" s="179">
        <f>MATCH(AV63, AssetData_Developments!$B$12:$S$12, 0)-1</f>
        <v>10</v>
      </c>
      <c r="AW59" s="179">
        <f>MATCH(AW63, AssetData_Developments!$B$12:$S$12, 0)-1</f>
        <v>11</v>
      </c>
      <c r="AX59" s="179">
        <f>MATCH(AX63, AssetData_Developments!$B$12:$S$12, 0)-1</f>
        <v>12</v>
      </c>
      <c r="AY59" s="179">
        <f>MATCH(AY63, AssetData_Developments!$B$12:$S$12, 0)-1</f>
        <v>13</v>
      </c>
      <c r="AZ59" s="179">
        <f>MATCH(AZ63, AssetData_Developments!$B$12:$S$12, 0)-1</f>
        <v>14</v>
      </c>
    </row>
    <row r="61" spans="1:53">
      <c r="AC61" t="s">
        <v>227</v>
      </c>
      <c r="AE61">
        <v>10</v>
      </c>
      <c r="AH61">
        <v>5</v>
      </c>
      <c r="AI61">
        <v>1</v>
      </c>
    </row>
    <row r="62" spans="1:53" ht="13.5" customHeight="1">
      <c r="AO62" s="409" t="s">
        <v>248</v>
      </c>
      <c r="AP62" s="409"/>
      <c r="AQ62" s="409"/>
      <c r="AR62" s="409"/>
      <c r="AS62" s="409"/>
      <c r="AT62" s="409"/>
      <c r="AU62" s="409"/>
      <c r="AV62" s="409"/>
      <c r="AW62" s="409"/>
      <c r="AX62" s="43"/>
      <c r="AY62" s="43"/>
      <c r="AZ62" s="44"/>
    </row>
    <row r="63" spans="1:53" ht="12.75" customHeight="1">
      <c r="AM63" s="162" t="s">
        <v>82</v>
      </c>
      <c r="AN63" s="163" t="s">
        <v>83</v>
      </c>
      <c r="AO63" s="58" t="s">
        <v>9</v>
      </c>
      <c r="AP63" s="76" t="s">
        <v>10</v>
      </c>
      <c r="AQ63" s="400" t="s">
        <v>16</v>
      </c>
      <c r="AR63" s="400" t="s">
        <v>33</v>
      </c>
      <c r="AS63" s="400" t="s">
        <v>22</v>
      </c>
      <c r="AT63" s="400" t="s">
        <v>24</v>
      </c>
      <c r="AU63" s="400" t="s">
        <v>23</v>
      </c>
      <c r="AV63" s="1" t="s">
        <v>20</v>
      </c>
      <c r="AW63" s="400" t="s">
        <v>34</v>
      </c>
      <c r="AX63" s="400" t="s">
        <v>36</v>
      </c>
      <c r="AY63" s="400" t="s">
        <v>35</v>
      </c>
      <c r="AZ63" s="400" t="s">
        <v>15</v>
      </c>
    </row>
    <row r="64" spans="1:53">
      <c r="AM64" s="164"/>
      <c r="AN64" s="165"/>
      <c r="AO64" s="77"/>
      <c r="AP64" s="78"/>
      <c r="AQ64" s="401"/>
      <c r="AR64" s="401"/>
      <c r="AS64" s="401"/>
      <c r="AT64" s="401"/>
      <c r="AU64" s="401"/>
      <c r="AV64" s="79"/>
      <c r="AW64" s="401"/>
      <c r="AX64" s="401"/>
      <c r="AY64" s="401"/>
      <c r="AZ64" s="401"/>
    </row>
    <row r="65" spans="39:52">
      <c r="AM65" s="164" t="str">
        <f>$A$1 &amp; "1"</f>
        <v>HMSO1</v>
      </c>
      <c r="AN65" s="165">
        <f>MATCH($AM65, AssetData_Developments!A:A,0)-AssetData_Developments!$C$4</f>
        <v>6</v>
      </c>
      <c r="AO65" s="80" t="str">
        <f ca="1">OFFSET(AssetData_Developments!$B$12, $AN65,AO$59)</f>
        <v>Principal Place</v>
      </c>
      <c r="AP65" s="81" t="str">
        <f ca="1">IF(OFFSET(AssetData_Developments!$B$12, $AN65,AP$59)="", "", OFFSET(AssetData_Developments!$B$12, $AN65,AP$59))</f>
        <v>City</v>
      </c>
      <c r="AQ65" s="82">
        <f ca="1">MROUND(OFFSET(AssetData_Developments!$B$12, $AN65,AQ$59),10)</f>
        <v>370</v>
      </c>
      <c r="AR65" s="83">
        <f ca="1">AQ65/$AQ$69</f>
        <v>1</v>
      </c>
      <c r="AS65" s="264">
        <f ca="1">OFFSET(AssetData_Developments!$B$12, $AN65,AS$59)</f>
        <v>608.16600000000005</v>
      </c>
      <c r="AT65" s="85">
        <f ca="1">MROUND(AQ65*1000/AS65,5)</f>
        <v>610</v>
      </c>
      <c r="AU65" s="85">
        <f ca="1">OFFSET(AssetData_Developments!$B$12, $AN65,AU$59)*1000/AS65</f>
        <v>44.39577352236067</v>
      </c>
      <c r="AV65" s="86">
        <f ca="1">OFFSET(AssetData_Developments!$B$12, $AN65,AV$59)</f>
        <v>0.32</v>
      </c>
      <c r="AW65" s="87">
        <f ca="1">OFFSET(AssetData_Developments!$B$12, $AN65,AW$59)</f>
        <v>7.3999999999999996E-2</v>
      </c>
      <c r="AX65" s="87">
        <f ca="1">OFFSET(AssetData_Developments!$B$12, $AN65,AX$59)</f>
        <v>5.7500000000000002E-2</v>
      </c>
      <c r="AY65" s="263">
        <f ca="1">OFFSET(AssetData_Developments!$B$12, $AN65,AY$59)</f>
        <v>0.21</v>
      </c>
      <c r="AZ65" s="188" t="str">
        <f ca="1">OFFSET(AssetData_Developments!$B$12, $AN65,AZ$59)</f>
        <v>Q1 '15</v>
      </c>
    </row>
    <row r="66" spans="39:52" hidden="1">
      <c r="AM66" s="164" t="str">
        <f>$A$1 &amp; "2"</f>
        <v>HMSO2</v>
      </c>
      <c r="AN66" s="165">
        <f>MATCH($AM66, AssetData_Developments!A:A,0)-AssetData_Developments!$C$4</f>
        <v>7</v>
      </c>
      <c r="AO66" s="68">
        <f ca="1">OFFSET(AssetData_Developments!$B$12, $AN66,AO$59)</f>
        <v>0</v>
      </c>
      <c r="AP66" s="69" t="str">
        <f ca="1">IF(OFFSET(AssetData_Developments!$B$12, $AN66,AP$59)="", "", OFFSET(AssetData_Developments!$B$12, $AN66,AP$59))</f>
        <v/>
      </c>
      <c r="AQ66" s="93">
        <f ca="1">OFFSET(AssetData_Developments!$B$12, $AN66,AQ$59)</f>
        <v>0</v>
      </c>
      <c r="AR66" s="216">
        <f ca="1">AQ66/$AQ$69</f>
        <v>0</v>
      </c>
      <c r="AS66" s="217">
        <f ca="1">OFFSET(AssetData_Developments!$B$12, $AN66,AS$59)</f>
        <v>0</v>
      </c>
      <c r="AT66" s="70" t="e">
        <f ca="1">AQ66*1000/AS66</f>
        <v>#DIV/0!</v>
      </c>
      <c r="AU66" s="70" t="e">
        <f ca="1">OFFSET(AssetData_Developments!$B$12, $AN66,AU$59)*1000/AS66</f>
        <v>#DIV/0!</v>
      </c>
      <c r="AV66" s="218">
        <f ca="1">OFFSET(AssetData_Developments!$B$12, $AN66,AV$59)</f>
        <v>0</v>
      </c>
      <c r="AW66" s="219">
        <f ca="1">OFFSET(AssetData_Developments!$B$12, $AN66,AW$59)</f>
        <v>0</v>
      </c>
      <c r="AX66" s="219">
        <f ca="1">OFFSET(AssetData_Developments!$B$12, $AN66,AX$59)</f>
        <v>0</v>
      </c>
      <c r="AY66" s="219">
        <f ca="1">OFFSET(AssetData_Developments!$B$12, $AN66,AY$59)</f>
        <v>0</v>
      </c>
      <c r="AZ66" s="220">
        <f ca="1">OFFSET(AssetData_Developments!$B$12, $AN66,AZ$59)</f>
        <v>0</v>
      </c>
    </row>
    <row r="67" spans="39:52" hidden="1">
      <c r="AM67" s="164" t="str">
        <f>$A$1 &amp; "3"</f>
        <v>HMSO3</v>
      </c>
      <c r="AN67" s="165">
        <f>MATCH($AM67, AssetData_Developments!A:A,0)-AssetData_Developments!$C$4</f>
        <v>8</v>
      </c>
      <c r="AO67" s="80">
        <f ca="1">OFFSET(AssetData_Developments!$B$12, $AN67,AO$59)</f>
        <v>0</v>
      </c>
      <c r="AP67" s="81" t="str">
        <f ca="1">IF(OFFSET(AssetData_Developments!$B$12, $AN67,AP$59)="", "", OFFSET(AssetData_Developments!$B$12, $AN67,AP$59))</f>
        <v/>
      </c>
      <c r="AQ67" s="82">
        <f ca="1">OFFSET(AssetData_Developments!$B$12, $AN67,AQ$59)</f>
        <v>0</v>
      </c>
      <c r="AR67" s="83">
        <f ca="1">AQ67/$AQ$69</f>
        <v>0</v>
      </c>
      <c r="AS67" s="84">
        <f ca="1">OFFSET(AssetData_Developments!$B$12, $AN67,AS$59)</f>
        <v>0</v>
      </c>
      <c r="AT67" s="85" t="e">
        <f ca="1">AQ67*1000/AS67</f>
        <v>#DIV/0!</v>
      </c>
      <c r="AU67" s="85" t="e">
        <f ca="1">OFFSET(AssetData_Developments!$B$12, $AN67,AU$59)*1000/AS67</f>
        <v>#DIV/0!</v>
      </c>
      <c r="AV67" s="86">
        <f ca="1">OFFSET(AssetData_Developments!$B$12, $AN67,AV$59)</f>
        <v>0</v>
      </c>
      <c r="AW67" s="87">
        <f ca="1">OFFSET(AssetData_Developments!$B$12, $AN67,AW$59)</f>
        <v>0</v>
      </c>
      <c r="AX67" s="87">
        <f ca="1">OFFSET(AssetData_Developments!$B$12, $AN67,AX$59)</f>
        <v>0</v>
      </c>
      <c r="AY67" s="87">
        <f ca="1">OFFSET(AssetData_Developments!$B$12, $AN67,AY$59)</f>
        <v>0</v>
      </c>
      <c r="AZ67" s="188">
        <f ca="1">OFFSET(AssetData_Developments!$B$12, $AN67,AZ$59)</f>
        <v>0</v>
      </c>
    </row>
    <row r="68" spans="39:52" hidden="1">
      <c r="AM68" s="166" t="str">
        <f>$A$1 &amp; "Other"</f>
        <v>HMSOOther</v>
      </c>
      <c r="AN68" s="167">
        <f>MATCH($AM68, AssetData_Developments!A:A,0)-AssetData_Developments!$C$4</f>
        <v>9</v>
      </c>
      <c r="AO68" s="68" t="str">
        <f ca="1">OFFSET(AssetData_Developments!$B$12, $AN68,AO$59)</f>
        <v>Other</v>
      </c>
      <c r="AP68" s="69" t="str">
        <f ca="1">IF(OFFSET(AssetData_Developments!$B$12, $AN68,AP$59)="", "", OFFSET(AssetData_Developments!$B$12, $AN68,AP$59))</f>
        <v/>
      </c>
      <c r="AQ68" s="93">
        <f ca="1">OFFSET(AssetData_Developments!$B$12, $AN68,AQ$59)</f>
        <v>0</v>
      </c>
      <c r="AR68" s="216">
        <f ca="1">AQ68/$AQ$69</f>
        <v>0</v>
      </c>
      <c r="AS68" s="217">
        <f ca="1">OFFSET(AssetData_Developments!$B$12, $AN68,AS$59)</f>
        <v>0</v>
      </c>
      <c r="AT68" s="70" t="e">
        <f ca="1">AQ68*1000/AS68</f>
        <v>#DIV/0!</v>
      </c>
      <c r="AU68" s="70" t="e">
        <f ca="1">OFFSET(AssetData_Developments!$B$12, $AN68,AU$59)*1000/AS68</f>
        <v>#DIV/0!</v>
      </c>
      <c r="AV68" s="218">
        <f ca="1">OFFSET(AssetData_Developments!$B$12, $AN68,AV$59)</f>
        <v>0</v>
      </c>
      <c r="AW68" s="219">
        <f ca="1">OFFSET(AssetData_Developments!$B$12, $AN68,AW$59)</f>
        <v>0</v>
      </c>
      <c r="AX68" s="219">
        <f ca="1">OFFSET(AssetData_Developments!$B$12, $AN68,AX$59)</f>
        <v>0</v>
      </c>
      <c r="AY68" s="219">
        <f ca="1">OFFSET(AssetData_Developments!$B$12, $AN68,AY$59)</f>
        <v>0</v>
      </c>
      <c r="AZ68" s="220">
        <f ca="1">OFFSET(AssetData_Developments!$B$12, $AN68,AZ$59)</f>
        <v>0</v>
      </c>
    </row>
    <row r="69" spans="39:52" ht="14.25" customHeight="1" thickBot="1">
      <c r="AO69" s="48" t="s">
        <v>25</v>
      </c>
      <c r="AP69" s="49"/>
      <c r="AQ69" s="91">
        <f ca="1">SUM(AQ65:AQ68)</f>
        <v>370</v>
      </c>
      <c r="AR69" s="89">
        <f ca="1">SUM(AR65:AR68)</f>
        <v>1</v>
      </c>
      <c r="AS69" s="265">
        <f ca="1">AS65</f>
        <v>608.16600000000005</v>
      </c>
      <c r="AT69" s="50">
        <f t="shared" ref="AT69:AY69" ca="1" si="0">AT65</f>
        <v>610</v>
      </c>
      <c r="AU69" s="50">
        <f t="shared" ca="1" si="0"/>
        <v>44.39577352236067</v>
      </c>
      <c r="AV69" s="51">
        <f t="shared" ca="1" si="0"/>
        <v>0.32</v>
      </c>
      <c r="AW69" s="52">
        <f t="shared" ca="1" si="0"/>
        <v>7.3999999999999996E-2</v>
      </c>
      <c r="AX69" s="52">
        <f t="shared" ca="1" si="0"/>
        <v>5.7500000000000002E-2</v>
      </c>
      <c r="AY69" s="51">
        <f t="shared" ca="1" si="0"/>
        <v>0.21</v>
      </c>
      <c r="AZ69" s="48"/>
    </row>
    <row r="71" spans="39:52">
      <c r="AO71" t="s">
        <v>227</v>
      </c>
      <c r="AQ71">
        <v>10</v>
      </c>
      <c r="AT71">
        <v>5</v>
      </c>
      <c r="AU71">
        <v>1</v>
      </c>
    </row>
  </sheetData>
  <mergeCells count="21">
    <mergeCell ref="AZ63:AZ64"/>
    <mergeCell ref="AT63:AT64"/>
    <mergeCell ref="AC52:AJ52"/>
    <mergeCell ref="AG53:AG54"/>
    <mergeCell ref="AF53:AF54"/>
    <mergeCell ref="AX63:AX64"/>
    <mergeCell ref="AY63:AY64"/>
    <mergeCell ref="J10:M10"/>
    <mergeCell ref="AS63:AS64"/>
    <mergeCell ref="D5:D6"/>
    <mergeCell ref="K5:N5"/>
    <mergeCell ref="AO62:AW62"/>
    <mergeCell ref="AU63:AU64"/>
    <mergeCell ref="AR63:AR64"/>
    <mergeCell ref="G10:H10"/>
    <mergeCell ref="AW63:AW64"/>
    <mergeCell ref="AH53:AH54"/>
    <mergeCell ref="H25:M26"/>
    <mergeCell ref="AI53:AI54"/>
    <mergeCell ref="AE53:AE54"/>
    <mergeCell ref="AQ63:AQ64"/>
  </mergeCells>
  <phoneticPr fontId="0" type="noConversion"/>
  <pageMargins left="0.47244094488188981" right="0.47244094488188981" top="0.27559055118110237" bottom="7.874015748031496E-2" header="0.51181102362204722" footer="0.51181102362204722"/>
  <pageSetup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55"/>
  </sheetPr>
  <dimension ref="A1:BB71"/>
  <sheetViews>
    <sheetView showGridLines="0" topLeftCell="AC49" zoomScale="85" zoomScaleNormal="85" zoomScaleSheetLayoutView="100" workbookViewId="0">
      <selection activeCell="AO87" sqref="AO87"/>
    </sheetView>
  </sheetViews>
  <sheetFormatPr defaultRowHeight="12.75"/>
  <cols>
    <col min="2" max="2" width="0.42578125" customWidth="1"/>
    <col min="3" max="3" width="1.28515625" customWidth="1"/>
    <col min="4" max="4" width="63.7109375" customWidth="1"/>
    <col min="5" max="5" width="5.28515625" customWidth="1"/>
    <col min="6" max="6" width="1.42578125" customWidth="1"/>
    <col min="7" max="7" width="2.5703125" customWidth="1"/>
    <col min="8" max="8" width="24.85546875" customWidth="1"/>
    <col min="9" max="9" width="2.42578125" customWidth="1"/>
    <col min="10" max="10" width="24.7109375" customWidth="1"/>
    <col min="11" max="11" width="2.5703125" customWidth="1"/>
    <col min="12" max="12" width="1.140625" customWidth="1"/>
    <col min="13" max="14" width="0.5703125" customWidth="1"/>
    <col min="18" max="18" width="16.42578125" customWidth="1"/>
    <col min="19" max="19" width="14.7109375" bestFit="1" customWidth="1"/>
    <col min="20" max="20" width="20.28515625" bestFit="1" customWidth="1"/>
    <col min="21" max="21" width="18.140625" customWidth="1"/>
    <col min="22" max="22" width="20.28515625" bestFit="1" customWidth="1"/>
    <col min="23" max="23" width="14.5703125" customWidth="1"/>
    <col min="25" max="25" width="9.140625" style="2"/>
    <col min="27" max="27" width="10.42578125" bestFit="1" customWidth="1"/>
    <col min="28" max="28" width="11.140625" bestFit="1" customWidth="1"/>
    <col min="29" max="29" width="19.7109375" customWidth="1"/>
    <col min="30" max="30" width="9.28515625" customWidth="1"/>
    <col min="31" max="31" width="10" customWidth="1"/>
    <col min="32" max="32" width="9.28515625" customWidth="1"/>
    <col min="33" max="33" width="9.42578125" customWidth="1"/>
    <col min="34" max="35" width="8.5703125" customWidth="1"/>
    <col min="36" max="36" width="9.7109375" customWidth="1"/>
    <col min="37" max="37" width="46.42578125" customWidth="1"/>
    <col min="41" max="41" width="19.7109375" customWidth="1"/>
    <col min="42" max="42" width="9.28515625" customWidth="1"/>
    <col min="43" max="43" width="10" customWidth="1"/>
    <col min="44" max="44" width="9.28515625" customWidth="1"/>
    <col min="45" max="45" width="9.42578125" customWidth="1"/>
    <col min="46" max="47" width="8.5703125" customWidth="1"/>
    <col min="48" max="48" width="9.7109375" customWidth="1"/>
    <col min="49" max="49" width="11.7109375" customWidth="1"/>
    <col min="50" max="52" width="11.5703125" customWidth="1"/>
    <col min="54" max="54" width="9.140625" style="2"/>
  </cols>
  <sheetData>
    <row r="1" spans="1:53" ht="16.5" thickBot="1">
      <c r="A1" s="22" t="s">
        <v>44</v>
      </c>
      <c r="N1" t="s">
        <v>0</v>
      </c>
      <c r="Z1" s="110" t="s">
        <v>91</v>
      </c>
      <c r="AA1" s="110"/>
      <c r="AB1" s="110"/>
    </row>
    <row r="2" spans="1:5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53">
      <c r="A3" s="2"/>
      <c r="B3" s="3">
        <v>0.25</v>
      </c>
      <c r="C3" s="3">
        <v>0.75</v>
      </c>
      <c r="D3" s="99">
        <v>63</v>
      </c>
      <c r="E3" s="99">
        <v>4.57</v>
      </c>
      <c r="F3" s="99">
        <v>0.83</v>
      </c>
      <c r="G3" s="99"/>
      <c r="H3" s="99">
        <v>26.71</v>
      </c>
      <c r="I3" s="99">
        <v>1.57</v>
      </c>
      <c r="J3" s="99">
        <v>24</v>
      </c>
      <c r="K3" s="4">
        <v>1.86</v>
      </c>
      <c r="L3" s="3">
        <v>0.67</v>
      </c>
      <c r="M3" s="3">
        <v>0.33</v>
      </c>
      <c r="N3" s="3">
        <v>0.33</v>
      </c>
      <c r="O3" s="5">
        <f>SUM(B3:M3)</f>
        <v>124.53999999999998</v>
      </c>
      <c r="Z3" s="15" t="s">
        <v>19</v>
      </c>
      <c r="AA3" s="15"/>
      <c r="AB3" s="15"/>
      <c r="AC3" s="15">
        <v>138</v>
      </c>
      <c r="AD3" s="15">
        <v>65</v>
      </c>
      <c r="AE3" s="15">
        <v>70</v>
      </c>
      <c r="AF3" s="15">
        <v>65</v>
      </c>
      <c r="AG3" s="15">
        <v>66</v>
      </c>
      <c r="AH3" s="15">
        <v>60</v>
      </c>
      <c r="AI3" s="15">
        <v>60</v>
      </c>
      <c r="AJ3" s="15">
        <v>68</v>
      </c>
      <c r="AK3" s="15">
        <v>325</v>
      </c>
      <c r="AL3" s="15" t="s">
        <v>19</v>
      </c>
      <c r="AM3" s="15"/>
      <c r="AN3" s="15"/>
      <c r="AO3" s="15">
        <v>138</v>
      </c>
      <c r="AP3" s="15">
        <v>65</v>
      </c>
      <c r="AQ3" s="15">
        <v>70</v>
      </c>
      <c r="AR3" s="15">
        <v>65</v>
      </c>
      <c r="AS3" s="15">
        <v>66</v>
      </c>
      <c r="AT3" s="15">
        <v>60</v>
      </c>
      <c r="AU3" s="15">
        <v>60</v>
      </c>
      <c r="AV3" s="15">
        <v>68</v>
      </c>
      <c r="AW3" s="15">
        <v>82</v>
      </c>
      <c r="AX3" s="15">
        <v>81</v>
      </c>
      <c r="AY3" s="15">
        <v>81</v>
      </c>
      <c r="AZ3" s="15">
        <v>81</v>
      </c>
      <c r="BA3" s="15" t="s">
        <v>19</v>
      </c>
    </row>
    <row r="4" spans="1:53" ht="1.5" customHeight="1">
      <c r="A4" s="3">
        <v>1.5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O4" s="7"/>
    </row>
    <row r="5" spans="1:53" ht="21.75" customHeight="1">
      <c r="A5" s="3">
        <v>21.75</v>
      </c>
      <c r="D5" s="406" t="str">
        <f>[1]Contents!$Q$7</f>
        <v>London Office Update  – 23 August 2016</v>
      </c>
      <c r="E5" s="30"/>
      <c r="F5" s="30"/>
      <c r="G5" s="30"/>
      <c r="K5" s="408">
        <f>R5</f>
        <v>40</v>
      </c>
      <c r="L5" s="408"/>
      <c r="M5" s="408"/>
      <c r="N5" s="408"/>
      <c r="O5" s="7"/>
      <c r="Q5" s="8" t="s">
        <v>1</v>
      </c>
      <c r="R5" s="9">
        <f>GPOR!$R$5+1</f>
        <v>40</v>
      </c>
    </row>
    <row r="6" spans="1:53" ht="1.5" customHeight="1">
      <c r="A6" s="3">
        <v>1.5</v>
      </c>
      <c r="D6" s="406"/>
      <c r="E6" s="30"/>
      <c r="F6" s="30"/>
      <c r="G6" s="30"/>
      <c r="O6" s="7"/>
    </row>
    <row r="7" spans="1:53" ht="12" customHeight="1">
      <c r="A7" s="3">
        <v>12</v>
      </c>
      <c r="O7" s="7"/>
    </row>
    <row r="8" spans="1:53" ht="35.25" customHeight="1" thickBot="1">
      <c r="A8" s="3">
        <v>35.25</v>
      </c>
      <c r="B8" s="10" t="str">
        <f ca="1">U13 &amp; " – Central London Office Portfolio"</f>
        <v>Land Securities – Central London Office Portfolio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O8" s="7"/>
    </row>
    <row r="9" spans="1:53" ht="13.5" customHeight="1" thickTop="1">
      <c r="A9" s="4">
        <v>13.5</v>
      </c>
      <c r="O9" s="7"/>
      <c r="R9" s="24" t="s">
        <v>40</v>
      </c>
      <c r="S9" s="25"/>
      <c r="T9" s="25"/>
      <c r="U9" s="25"/>
      <c r="V9" s="25"/>
      <c r="W9" s="25"/>
    </row>
    <row r="10" spans="1:53" ht="16.5" customHeight="1" thickBot="1">
      <c r="A10" s="47"/>
      <c r="G10" s="405" t="s">
        <v>29</v>
      </c>
      <c r="H10" s="405"/>
      <c r="I10" s="26"/>
      <c r="J10" s="405" t="s">
        <v>200</v>
      </c>
      <c r="K10" s="405"/>
      <c r="L10" s="405"/>
      <c r="M10" s="405"/>
      <c r="O10" s="7"/>
      <c r="R10" s="111" t="s">
        <v>64</v>
      </c>
      <c r="S10" s="112">
        <f>HLOOKUP($A$1, PortfolioData!$B$10:$L$11, 2, FALSE)</f>
        <v>5</v>
      </c>
      <c r="T10" s="129"/>
    </row>
    <row r="11" spans="1:53" ht="15">
      <c r="A11" s="21"/>
      <c r="F11" s="42"/>
      <c r="G11" s="42"/>
      <c r="I11" s="42"/>
      <c r="J11" s="42"/>
      <c r="K11" s="26"/>
      <c r="L11" s="26"/>
      <c r="O11" s="2"/>
      <c r="R11" s="111" t="s">
        <v>63</v>
      </c>
      <c r="S11" s="112">
        <f>HLOOKUP("Average", PortfolioData!$B$10:$L$11, 2, FALSE)</f>
        <v>10</v>
      </c>
      <c r="T11" s="130"/>
    </row>
    <row r="12" spans="1:53" ht="12.75" customHeight="1">
      <c r="A12" s="21"/>
      <c r="O12" s="2"/>
      <c r="S12" s="117" t="s">
        <v>71</v>
      </c>
      <c r="T12" s="122" t="s">
        <v>70</v>
      </c>
    </row>
    <row r="13" spans="1:53" ht="12.75" customHeight="1">
      <c r="A13" s="21"/>
      <c r="D13" s="14"/>
      <c r="E13" s="14"/>
      <c r="O13" s="2"/>
      <c r="R13" s="111" t="s">
        <v>28</v>
      </c>
      <c r="S13" s="117" t="s">
        <v>5</v>
      </c>
      <c r="T13" s="118">
        <f>MATCH(S13, PortfolioData!B:B,0)-PortfolioData!$F$5</f>
        <v>2</v>
      </c>
      <c r="U13" s="119" t="str">
        <f ca="1">OFFSET(PortfolioData!$B$10, T13, $S$10)</f>
        <v>Land Securities</v>
      </c>
    </row>
    <row r="14" spans="1:53" ht="12.75" customHeight="1">
      <c r="A14" s="21"/>
      <c r="O14" s="2"/>
      <c r="R14" s="137" t="s">
        <v>68</v>
      </c>
      <c r="S14" s="117" t="s">
        <v>5</v>
      </c>
      <c r="T14" s="118">
        <f>MATCH(S14, PortfolioData!B:B,0)-PortfolioData!$F$5</f>
        <v>2</v>
      </c>
      <c r="U14" s="119" t="str">
        <f ca="1">OFFSET(PortfolioData!$B$10, T14, $S$11)&amp;"(2)"</f>
        <v>Selected REITs' Avg.(2)</v>
      </c>
    </row>
    <row r="15" spans="1:53" ht="12.75" customHeight="1">
      <c r="A15" s="21"/>
      <c r="D15" s="14"/>
      <c r="E15" s="14"/>
      <c r="O15" s="2"/>
    </row>
    <row r="16" spans="1:53" ht="12.75" customHeight="1">
      <c r="A16" s="21"/>
      <c r="O16" s="2"/>
      <c r="R16" s="24" t="s">
        <v>4</v>
      </c>
      <c r="S16" s="24"/>
      <c r="T16" s="24"/>
      <c r="U16" s="24"/>
      <c r="V16" s="24"/>
      <c r="W16" s="24"/>
    </row>
    <row r="17" spans="1:28" ht="12.75" customHeight="1">
      <c r="A17" s="21"/>
      <c r="C17" s="13"/>
      <c r="O17" s="2"/>
      <c r="R17" t="s">
        <v>7</v>
      </c>
      <c r="X17" s="18"/>
      <c r="Z17" s="18"/>
      <c r="AA17" s="18"/>
      <c r="AB17" s="18"/>
    </row>
    <row r="18" spans="1:28" ht="12.75" customHeight="1">
      <c r="A18" s="21"/>
      <c r="O18" s="2"/>
    </row>
    <row r="19" spans="1:28" ht="12.75" customHeight="1">
      <c r="A19" s="21"/>
      <c r="C19" s="13"/>
      <c r="H19" s="42"/>
      <c r="I19" s="42"/>
      <c r="J19" s="42"/>
      <c r="K19" s="42"/>
      <c r="L19" s="42"/>
      <c r="M19" s="26"/>
      <c r="N19" s="26"/>
      <c r="O19" s="2"/>
      <c r="R19" s="24" t="s">
        <v>13</v>
      </c>
      <c r="S19" s="25"/>
      <c r="T19" s="25"/>
      <c r="U19" s="25"/>
      <c r="V19" s="25"/>
      <c r="W19" s="25"/>
    </row>
    <row r="20" spans="1:28" ht="12.75" customHeight="1">
      <c r="A20" s="21"/>
      <c r="O20" s="2"/>
      <c r="R20" s="117" t="s">
        <v>59</v>
      </c>
      <c r="S20" s="122" t="s">
        <v>62</v>
      </c>
      <c r="T20" s="131" t="s">
        <v>60</v>
      </c>
      <c r="U20" s="122" t="s">
        <v>61</v>
      </c>
      <c r="V20" s="108" t="s">
        <v>8</v>
      </c>
      <c r="W20" s="108" t="s">
        <v>192</v>
      </c>
    </row>
    <row r="21" spans="1:28" ht="12.75" customHeight="1">
      <c r="A21" s="21"/>
      <c r="O21" s="2"/>
      <c r="R21" s="123" t="s">
        <v>187</v>
      </c>
      <c r="S21" s="125">
        <f>MATCH(R21, PortfolioData!B:B,0)-PortfolioData!$F$5</f>
        <v>6</v>
      </c>
      <c r="T21" s="124" t="s">
        <v>193</v>
      </c>
      <c r="U21" s="133">
        <f>MATCH(T21, PortfolioData!B:B,0)-PortfolioData!$F$5</f>
        <v>7</v>
      </c>
      <c r="V21" s="88" t="str">
        <f ca="1">OFFSET(PortfolioData!$B$10, S21, $S$10)</f>
        <v>London Office</v>
      </c>
      <c r="W21" s="245">
        <f ca="1">OFFSET(PortfolioData!$B$10, U21, $S$10)</f>
        <v>0.44567308864336408</v>
      </c>
    </row>
    <row r="22" spans="1:28" ht="12.75" customHeight="1">
      <c r="A22" s="21"/>
      <c r="O22" s="2"/>
      <c r="R22" s="123" t="s">
        <v>188</v>
      </c>
      <c r="S22" s="125">
        <f>MATCH(R22, PortfolioData!B:B,0)-PortfolioData!$F$5</f>
        <v>10</v>
      </c>
      <c r="T22" s="124" t="s">
        <v>194</v>
      </c>
      <c r="U22" s="125">
        <f>MATCH(T22, PortfolioData!B:B,0)-PortfolioData!$F$5</f>
        <v>11</v>
      </c>
      <c r="V22" s="88" t="str">
        <f ca="1">OFFSET(PortfolioData!$B$10, S22, $S$10)</f>
        <v>UK Retail</v>
      </c>
      <c r="W22" s="245">
        <f ca="1">OFFSET(PortfolioData!$B$10, U22, $S$10)</f>
        <v>0.55432691135663592</v>
      </c>
    </row>
    <row r="23" spans="1:28" ht="12.75" customHeight="1">
      <c r="A23" s="21"/>
      <c r="O23" s="2"/>
      <c r="R23" s="123" t="s">
        <v>189</v>
      </c>
      <c r="S23" s="125">
        <f>MATCH(R23, PortfolioData!B:B,0)-PortfolioData!$F$5</f>
        <v>14</v>
      </c>
      <c r="T23" s="124" t="s">
        <v>195</v>
      </c>
      <c r="U23" s="125">
        <f>MATCH(T23, PortfolioData!B:B,0)-PortfolioData!$F$5</f>
        <v>15</v>
      </c>
      <c r="V23" s="88" t="str">
        <f ca="1">OFFSET(PortfolioData!$B$10, S23, $S$10)</f>
        <v>ALL</v>
      </c>
      <c r="W23" s="245">
        <f ca="1">OFFSET(PortfolioData!$B$10, U23, $S$10)</f>
        <v>0</v>
      </c>
    </row>
    <row r="24" spans="1:28" ht="12.75" customHeight="1">
      <c r="A24" s="21"/>
      <c r="G24" s="41" t="s">
        <v>41</v>
      </c>
      <c r="H24" s="16" t="s">
        <v>202</v>
      </c>
      <c r="I24" s="100"/>
      <c r="J24" s="100"/>
      <c r="K24" s="100"/>
      <c r="L24" s="100"/>
      <c r="M24" s="100"/>
      <c r="O24" s="2"/>
      <c r="R24" s="123" t="s">
        <v>190</v>
      </c>
      <c r="S24" s="125">
        <f>MATCH(R24, PortfolioData!B:B,0)-PortfolioData!$F$5</f>
        <v>18</v>
      </c>
      <c r="T24" s="124" t="s">
        <v>196</v>
      </c>
      <c r="U24" s="125">
        <f>MATCH(T24, PortfolioData!B:B,0)-PortfolioData!$F$5</f>
        <v>19</v>
      </c>
      <c r="V24" s="88">
        <f ca="1">OFFSET(PortfolioData!$B$10, S24, $S$10)</f>
        <v>0</v>
      </c>
      <c r="W24" s="245">
        <f ca="1">OFFSET(PortfolioData!$B$10, U24, $S$10)</f>
        <v>0</v>
      </c>
    </row>
    <row r="25" spans="1:28" ht="12.75" customHeight="1">
      <c r="A25" s="2"/>
      <c r="G25" s="41" t="s">
        <v>201</v>
      </c>
      <c r="H25" s="414" t="s">
        <v>313</v>
      </c>
      <c r="I25" s="415"/>
      <c r="J25" s="415"/>
      <c r="K25" s="415"/>
      <c r="L25" s="415"/>
      <c r="M25" s="415"/>
      <c r="O25" s="2"/>
      <c r="R25" s="123" t="s">
        <v>191</v>
      </c>
      <c r="S25" s="125">
        <f>MATCH(R25, PortfolioData!B:B,0)-PortfolioData!$F$5</f>
        <v>22</v>
      </c>
      <c r="T25" s="124" t="s">
        <v>197</v>
      </c>
      <c r="U25" s="125">
        <f>MATCH(T25, PortfolioData!B:B,0)-PortfolioData!$F$5</f>
        <v>23</v>
      </c>
      <c r="V25" s="88">
        <f ca="1">OFFSET(PortfolioData!$B$10, S25, $S$10)</f>
        <v>0</v>
      </c>
      <c r="W25" s="245">
        <f ca="1">OFFSET(PortfolioData!$B$10, U25, $S$10)</f>
        <v>0</v>
      </c>
    </row>
    <row r="26" spans="1:28">
      <c r="A26" s="2"/>
      <c r="H26" s="415"/>
      <c r="I26" s="415"/>
      <c r="J26" s="415"/>
      <c r="K26" s="415"/>
      <c r="L26" s="415"/>
      <c r="M26" s="415"/>
      <c r="O26" s="2"/>
      <c r="R26" s="126" t="s">
        <v>181</v>
      </c>
      <c r="S26" s="128" t="s">
        <v>19</v>
      </c>
      <c r="T26" s="127" t="s">
        <v>181</v>
      </c>
      <c r="U26" s="128" t="s">
        <v>19</v>
      </c>
      <c r="V26" s="211"/>
      <c r="W26" s="212"/>
    </row>
    <row r="27" spans="1:28" ht="15" customHeight="1">
      <c r="A27" s="2"/>
      <c r="H27" s="45"/>
      <c r="I27" s="45"/>
      <c r="J27" s="45"/>
      <c r="K27" s="45"/>
      <c r="O27" s="2"/>
      <c r="T27" s="127" t="s">
        <v>199</v>
      </c>
      <c r="U27" s="246">
        <f>MATCH(T27, PortfolioData!B:B,0)-PortfolioData!$F$5</f>
        <v>25</v>
      </c>
      <c r="V27" s="109" t="s">
        <v>185</v>
      </c>
      <c r="W27" s="269">
        <v>13.1</v>
      </c>
    </row>
    <row r="28" spans="1:28" ht="15">
      <c r="A28" s="2"/>
      <c r="H28" s="45"/>
      <c r="I28" s="45"/>
      <c r="J28" s="45"/>
      <c r="K28" s="45"/>
      <c r="L28" s="40"/>
      <c r="M28" s="40"/>
      <c r="O28" s="2"/>
    </row>
    <row r="29" spans="1:28" ht="12.75" customHeight="1">
      <c r="A29" s="2"/>
      <c r="H29" s="33"/>
      <c r="I29" s="36"/>
      <c r="J29" s="36"/>
      <c r="O29" s="2"/>
      <c r="R29" s="15" t="s">
        <v>39</v>
      </c>
      <c r="S29" s="112" t="str">
        <f>"Total Value: " &amp; TEXT( W27, "£#,###.0") &amp; "bn"</f>
        <v>Total Value: £13.1bn</v>
      </c>
    </row>
    <row r="30" spans="1:28" ht="12.75" customHeight="1">
      <c r="A30" s="2"/>
      <c r="H30" s="33"/>
      <c r="I30" s="36"/>
      <c r="J30" s="36"/>
      <c r="O30" s="2"/>
    </row>
    <row r="31" spans="1:28" ht="12.75" customHeight="1">
      <c r="A31" s="2"/>
      <c r="H31" s="28"/>
      <c r="I31" s="37"/>
      <c r="J31" s="37"/>
      <c r="O31" s="2" t="s">
        <v>17</v>
      </c>
    </row>
    <row r="32" spans="1:28">
      <c r="A32" s="2"/>
      <c r="H32" s="28"/>
      <c r="I32" s="37"/>
      <c r="J32" s="37"/>
      <c r="O32" s="2"/>
      <c r="R32" s="24" t="s">
        <v>37</v>
      </c>
      <c r="S32" s="25"/>
      <c r="T32" s="25"/>
      <c r="U32" s="25"/>
      <c r="V32" s="25"/>
      <c r="W32" s="25"/>
    </row>
    <row r="33" spans="1:22">
      <c r="A33" s="2"/>
      <c r="H33" s="28"/>
      <c r="I33" s="37"/>
      <c r="J33" s="37"/>
      <c r="O33" s="2"/>
    </row>
    <row r="34" spans="1:22">
      <c r="A34" s="2"/>
      <c r="H34" s="34"/>
      <c r="I34" s="38"/>
      <c r="J34" s="38"/>
      <c r="O34" s="2"/>
      <c r="R34" s="101" t="s">
        <v>38</v>
      </c>
      <c r="S34" s="131" t="s">
        <v>71</v>
      </c>
      <c r="T34" s="122" t="s">
        <v>70</v>
      </c>
      <c r="U34" s="102" t="str">
        <f ca="1">U13</f>
        <v>Land Securities</v>
      </c>
      <c r="V34" s="101" t="str">
        <f ca="1">U14</f>
        <v>Selected REITs' Avg.(2)</v>
      </c>
    </row>
    <row r="35" spans="1:22">
      <c r="A35" s="2"/>
      <c r="H35" s="34"/>
      <c r="I35" s="38"/>
      <c r="J35" s="38"/>
      <c r="O35" s="2"/>
      <c r="R35" s="103" t="s">
        <v>26</v>
      </c>
      <c r="S35" s="132" t="s">
        <v>26</v>
      </c>
      <c r="T35" s="133">
        <f>MATCH(S35, PortfolioData!B:B,0)-PortfolioData!$F$5</f>
        <v>34</v>
      </c>
      <c r="U35" s="104">
        <f ca="1">OFFSET(PortfolioData!$B$10, T35, $S$10)</f>
        <v>3.7713555311803593E-2</v>
      </c>
      <c r="V35" s="104">
        <f ca="1">OFFSET(PortfolioData!$B$10, T35, $S$11)</f>
        <v>3.3626769078890555E-2</v>
      </c>
    </row>
    <row r="36" spans="1:22">
      <c r="A36" s="2"/>
      <c r="D36" s="26"/>
      <c r="E36" s="26"/>
      <c r="F36" s="26"/>
      <c r="G36" s="26"/>
      <c r="I36" s="18"/>
      <c r="J36" s="18"/>
      <c r="O36" s="2"/>
      <c r="R36" s="103"/>
      <c r="S36" s="134"/>
      <c r="T36" s="135"/>
      <c r="U36" s="105"/>
      <c r="V36" s="105"/>
    </row>
    <row r="37" spans="1:22" ht="15">
      <c r="A37" s="2"/>
      <c r="H37" s="40"/>
      <c r="I37" s="40"/>
      <c r="J37" s="40"/>
      <c r="K37" s="40"/>
      <c r="L37" s="40"/>
      <c r="M37" s="40"/>
      <c r="O37" s="2"/>
      <c r="R37" s="106" t="s">
        <v>27</v>
      </c>
      <c r="S37" s="126" t="s">
        <v>67</v>
      </c>
      <c r="T37" s="128">
        <f>MATCH(S37, PortfolioData!B:B,0)-PortfolioData!$F$5</f>
        <v>31</v>
      </c>
      <c r="U37" s="107">
        <f ca="1">OFFSET(PortfolioData!$B$10, T37, $S$10)/1000</f>
        <v>1.3012057905351042</v>
      </c>
      <c r="V37" s="107">
        <f ca="1">OFFSET(PortfolioData!$B$10, T37, $S$11)</f>
        <v>344440.32841654215</v>
      </c>
    </row>
    <row r="38" spans="1:22" ht="12.75" customHeight="1">
      <c r="A38" s="2"/>
      <c r="H38" s="29"/>
      <c r="I38" s="29"/>
      <c r="J38" s="29"/>
      <c r="O38" s="2"/>
    </row>
    <row r="39" spans="1:22">
      <c r="A39" s="2"/>
      <c r="H39" s="35"/>
      <c r="I39" s="35"/>
      <c r="J39" s="35"/>
      <c r="O39" s="2"/>
    </row>
    <row r="40" spans="1:22">
      <c r="A40" s="2"/>
      <c r="H40" s="32"/>
      <c r="I40" s="32"/>
      <c r="J40" s="32"/>
      <c r="O40" s="2"/>
      <c r="R40" s="286" t="s">
        <v>338</v>
      </c>
    </row>
    <row r="41" spans="1:22">
      <c r="A41" s="2"/>
      <c r="H41" s="32"/>
      <c r="O41" s="2"/>
    </row>
    <row r="42" spans="1:22">
      <c r="A42" s="2"/>
      <c r="O42" s="2"/>
      <c r="R42" s="361" t="s">
        <v>349</v>
      </c>
      <c r="S42" s="337"/>
      <c r="T42" s="337"/>
      <c r="U42" s="337"/>
      <c r="V42" s="337"/>
    </row>
    <row r="43" spans="1:22" ht="12.75" customHeight="1">
      <c r="A43" s="15"/>
      <c r="H43" s="26"/>
      <c r="I43" s="26"/>
      <c r="J43" s="26"/>
      <c r="O43" s="2"/>
      <c r="R43" s="361" t="s">
        <v>350</v>
      </c>
      <c r="S43" s="337"/>
      <c r="T43" s="337"/>
      <c r="U43" s="337"/>
      <c r="V43" s="337"/>
    </row>
    <row r="44" spans="1:22" ht="8.25" customHeight="1">
      <c r="A44" s="15"/>
      <c r="O44" s="2"/>
    </row>
    <row r="45" spans="1:22" ht="12.75" customHeight="1">
      <c r="A45" s="3">
        <v>12.75</v>
      </c>
      <c r="B45" s="260" t="s">
        <v>340</v>
      </c>
      <c r="M45" s="259" t="s">
        <v>210</v>
      </c>
      <c r="O45" s="2"/>
    </row>
    <row r="46" spans="1:22" ht="13.5" thickBot="1">
      <c r="A46" s="3">
        <v>12.75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8"/>
      <c r="O46" s="7"/>
    </row>
    <row r="47" spans="1:22" ht="23.25" customHeight="1">
      <c r="A47" s="3">
        <v>23.25</v>
      </c>
      <c r="N47" s="19" t="s">
        <v>1006</v>
      </c>
      <c r="O47" s="7"/>
    </row>
    <row r="48" spans="1:22" ht="15" customHeight="1">
      <c r="A48" s="4">
        <v>15</v>
      </c>
      <c r="M48" s="20" t="s">
        <v>242</v>
      </c>
      <c r="O48" s="7"/>
    </row>
    <row r="49" spans="1:53">
      <c r="A49" s="2"/>
      <c r="B49" s="3">
        <v>0.25</v>
      </c>
      <c r="C49" s="3">
        <v>0.75</v>
      </c>
      <c r="D49" s="3">
        <v>37.29</v>
      </c>
      <c r="E49" s="3"/>
      <c r="F49" s="2"/>
      <c r="G49" s="2"/>
      <c r="H49" s="2"/>
      <c r="I49" s="2"/>
      <c r="J49" s="2"/>
      <c r="K49" s="2"/>
      <c r="L49" s="3">
        <v>0.67</v>
      </c>
      <c r="M49" s="3">
        <v>0.33</v>
      </c>
      <c r="N49" s="3">
        <v>0.33</v>
      </c>
      <c r="O49" s="7"/>
      <c r="AB49" s="170" t="s">
        <v>85</v>
      </c>
      <c r="AC49" s="168">
        <v>138</v>
      </c>
      <c r="AD49" s="168">
        <v>65</v>
      </c>
      <c r="AE49" s="168">
        <v>70</v>
      </c>
      <c r="AF49" s="168">
        <v>65</v>
      </c>
      <c r="AG49" s="168">
        <v>66</v>
      </c>
      <c r="AH49" s="168">
        <v>60</v>
      </c>
      <c r="AI49" s="168">
        <v>60</v>
      </c>
      <c r="AJ49" s="168">
        <v>68</v>
      </c>
      <c r="AK49" s="169">
        <v>325</v>
      </c>
    </row>
    <row r="50" spans="1:5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AB50" s="117" t="s">
        <v>84</v>
      </c>
      <c r="AC50" s="131">
        <f>MATCH(AC53, AssetData_Investment!$B$12:$O$12,0)-1</f>
        <v>4</v>
      </c>
      <c r="AD50" s="131">
        <f>MATCH(AD53, AssetData_Investment!$B$12:$O$12,0)-1</f>
        <v>5</v>
      </c>
      <c r="AE50" s="131">
        <f>MATCH(AE53, AssetData_Investment!$B$12:$O$12,0)-1</f>
        <v>6</v>
      </c>
      <c r="AF50" s="172" t="s">
        <v>50</v>
      </c>
      <c r="AG50" s="131">
        <f>MATCH(AG53, AssetData_Investment!$B$12:$O$12,0)-1</f>
        <v>7</v>
      </c>
      <c r="AH50" s="172" t="s">
        <v>50</v>
      </c>
      <c r="AI50" s="131">
        <f>MATCH("Rent (£m)", AssetData_Investment!$B$12:$O$12,0)-1</f>
        <v>8</v>
      </c>
      <c r="AJ50" s="131">
        <f>MATCH(AJ53, AssetData_Investment!$B$12:$O$12,0)-1</f>
        <v>9</v>
      </c>
      <c r="AK50" s="131">
        <f>MATCH(AK53, AssetData_Investment!$B$12:$O$12,0)-1</f>
        <v>10</v>
      </c>
    </row>
    <row r="52" spans="1:53" ht="13.5" customHeight="1">
      <c r="AC52" s="402" t="s">
        <v>247</v>
      </c>
      <c r="AD52" s="402"/>
      <c r="AE52" s="402"/>
      <c r="AF52" s="402"/>
      <c r="AG52" s="402"/>
      <c r="AH52" s="402"/>
      <c r="AI52" s="402"/>
      <c r="AJ52" s="402"/>
      <c r="AK52" s="27"/>
    </row>
    <row r="53" spans="1:53" ht="12.75" customHeight="1">
      <c r="AA53" s="162" t="s">
        <v>82</v>
      </c>
      <c r="AB53" s="363" t="s">
        <v>83</v>
      </c>
      <c r="AC53" s="58" t="s">
        <v>9</v>
      </c>
      <c r="AD53" s="59" t="s">
        <v>10</v>
      </c>
      <c r="AE53" s="412" t="s">
        <v>88</v>
      </c>
      <c r="AF53" s="403" t="s">
        <v>30</v>
      </c>
      <c r="AG53" s="403" t="s">
        <v>22</v>
      </c>
      <c r="AH53" s="403" t="s">
        <v>32</v>
      </c>
      <c r="AI53" s="403" t="s">
        <v>23</v>
      </c>
      <c r="AJ53" s="58" t="s">
        <v>11</v>
      </c>
      <c r="AK53" s="58" t="s">
        <v>12</v>
      </c>
    </row>
    <row r="54" spans="1:53">
      <c r="AA54" s="164"/>
      <c r="AB54" s="364"/>
      <c r="AC54" s="60"/>
      <c r="AD54" s="61"/>
      <c r="AE54" s="413" t="s">
        <v>31</v>
      </c>
      <c r="AF54" s="404"/>
      <c r="AG54" s="404"/>
      <c r="AH54" s="404"/>
      <c r="AI54" s="404"/>
      <c r="AJ54" s="61"/>
      <c r="AK54" s="60"/>
    </row>
    <row r="55" spans="1:53" ht="12.75" customHeight="1">
      <c r="AA55" s="164" t="str">
        <f>$A$1 &amp; "1"</f>
        <v>LAND1</v>
      </c>
      <c r="AB55" s="364">
        <f>MATCH($AA55, AssetData_Investment!A:A,0)-AssetData_Investment!$C$4</f>
        <v>11</v>
      </c>
      <c r="AC55" s="62" t="str">
        <f ca="1">OFFSET(AssetData_Investment!$B$12,$AB55, AC$50)</f>
        <v>20 Fenchurch St</v>
      </c>
      <c r="AD55" s="63" t="str">
        <f ca="1">IF(OFFSET(AssetData_Investment!$B$12,$AB55, AD$50)="", "", OFFSET(AssetData_Investment!$B$12,$AB55, AD$50))</f>
        <v>City</v>
      </c>
      <c r="AE55" s="92">
        <f ca="1">MROUND(OFFSET(AssetData_Investment!$B$12,$AB55, AE$50),10)</f>
        <v>510</v>
      </c>
      <c r="AF55" s="65" t="e">
        <f ca="1">AE55/$AE$59</f>
        <v>#NUM!</v>
      </c>
      <c r="AG55" s="96">
        <f ca="1">OFFSET(AssetData_Investment!$B$12,$AB55, AG$50)</f>
        <v>344</v>
      </c>
      <c r="AH55" s="64">
        <f ca="1">MROUND(AE55*1000/AG55,5)</f>
        <v>1485</v>
      </c>
      <c r="AI55" s="64">
        <f ca="1">OFFSET(AssetData_Investment!$B$12,$AB55, AI$50)*1000/AG55</f>
        <v>63.372093023255815</v>
      </c>
      <c r="AJ55" s="66">
        <f ca="1">OFFSET(AssetData_Investment!$B$12,$AB55, AJ$50)</f>
        <v>1</v>
      </c>
      <c r="AK55" s="67" t="str">
        <f ca="1">OFFSET(AssetData_Investment!$B$12,$AB55, AK$50)</f>
        <v>Walkie-Talkie development, completed in 2014</v>
      </c>
    </row>
    <row r="56" spans="1:53">
      <c r="AA56" s="164" t="str">
        <f>$A$1 &amp; "2"</f>
        <v>LAND2</v>
      </c>
      <c r="AB56" s="364">
        <f>MATCH($AA56, AssetData_Investment!A:A,0)-AssetData_Investment!$C$4</f>
        <v>12</v>
      </c>
      <c r="AC56" s="68" t="str">
        <f ca="1">OFFSET(AssetData_Investment!$B$12,$AB56, AC$50)</f>
        <v>New Street Square</v>
      </c>
      <c r="AD56" s="69" t="str">
        <f ca="1">IF(OFFSET(AssetData_Investment!$B$12,$AB56, AD$50)="", "", OFFSET(AssetData_Investment!$B$12,$AB56, AD$50))</f>
        <v>Midtown</v>
      </c>
      <c r="AE56" s="93">
        <f ca="1">MROUND(OFFSET(AssetData_Investment!$B$12,$AB56, AE$50),10)</f>
        <v>850</v>
      </c>
      <c r="AF56" s="71" t="e">
        <f ca="1">AE56/$AE$59</f>
        <v>#NUM!</v>
      </c>
      <c r="AG56" s="97">
        <f ca="1">OFFSET(AssetData_Investment!$B$12,$AB56, AG$50)</f>
        <v>694</v>
      </c>
      <c r="AH56" s="72">
        <f ca="1">MROUND(AE56*1000/AG56,5)</f>
        <v>1225</v>
      </c>
      <c r="AI56" s="70">
        <f ca="1">OFFSET(AssetData_Investment!$B$12,$AB56, AI$50)*1000/AG56</f>
        <v>46.397694524495684</v>
      </c>
      <c r="AJ56" s="71">
        <f ca="1">OFFSET(AssetData_Investment!$B$12,$AB56, AJ$50)</f>
        <v>0.96</v>
      </c>
      <c r="AK56" s="73" t="str">
        <f ca="1">OFFSET(AssetData_Investment!$B$12,$AB56, AK$50)</f>
        <v>Office campus built in 2008 and let to professional services</v>
      </c>
    </row>
    <row r="57" spans="1:53">
      <c r="AA57" s="164" t="str">
        <f>$A$1 &amp; "3"</f>
        <v>LAND3</v>
      </c>
      <c r="AB57" s="364">
        <f>MATCH($AA57, AssetData_Investment!A:A,0)-AssetData_Investment!$C$4</f>
        <v>13</v>
      </c>
      <c r="AC57" s="62" t="str">
        <f ca="1">OFFSET(AssetData_Investment!$B$12,$AB57, AC$50)</f>
        <v>One New Change</v>
      </c>
      <c r="AD57" s="63" t="str">
        <f ca="1">IF(OFFSET(AssetData_Investment!$B$12,$AB57, AD$50)="", "", OFFSET(AssetData_Investment!$B$12,$AB57, AD$50))</f>
        <v>City</v>
      </c>
      <c r="AE57" s="94">
        <f ca="1">MROUND(OFFSET(AssetData_Investment!$B$12,$AB57, AE$50),10)</f>
        <v>660</v>
      </c>
      <c r="AF57" s="65" t="e">
        <f ca="1">AE57/$AE$59</f>
        <v>#NUM!</v>
      </c>
      <c r="AG57" s="96">
        <f ca="1">OFFSET(AssetData_Investment!$B$12,$AB57, AG$50)</f>
        <v>563</v>
      </c>
      <c r="AH57" s="64">
        <f ca="1">MROUND(AE57*1000/AG57,5)</f>
        <v>1170</v>
      </c>
      <c r="AI57" s="74">
        <f ca="1">OFFSET(AssetData_Investment!$B$12,$AB57, AI$50)*1000/AG57</f>
        <v>51.865008880994672</v>
      </c>
      <c r="AJ57" s="65">
        <f ca="1">OFFSET(AssetData_Investment!$B$12,$AB57, AJ$50)</f>
        <v>1</v>
      </c>
      <c r="AK57" s="75" t="str">
        <f ca="1">OFFSET(AssetData_Investment!$B$12,$AB57, AK$50)</f>
        <v>Iconic mixed use development next to St Pauls</v>
      </c>
    </row>
    <row r="58" spans="1:53">
      <c r="AA58" s="166" t="str">
        <f>$A$1 &amp; "Other"</f>
        <v>LANDOther</v>
      </c>
      <c r="AB58" s="364">
        <f>MATCH($AA58, AssetData_Investment!A:A,0)-AssetData_Investment!$C$4</f>
        <v>14</v>
      </c>
      <c r="AC58" s="68" t="str">
        <f ca="1">OFFSET(AssetData_Investment!$B$12,$AB58, AC$50)</f>
        <v>Other London Offices</v>
      </c>
      <c r="AD58" s="171" t="str">
        <f ca="1">IF(OFFSET(AssetData_Investment!$B$12,$AB58, AD$50)="", "", OFFSET(AssetData_Investment!$B$12,$AB58, AD$50))</f>
        <v/>
      </c>
      <c r="AE58" s="93" t="e">
        <f ca="1">MROUND(OFFSET(AssetData_Investment!$B$12,$AB58, AE$50),10)</f>
        <v>#NUM!</v>
      </c>
      <c r="AF58" s="71" t="e">
        <f ca="1">AE58/$AE$59</f>
        <v>#NUM!</v>
      </c>
      <c r="AG58" s="97">
        <f ca="1">OFFSET(AssetData_Investment!$B$12,$AB58, AG$50)</f>
        <v>3926.3632352206832</v>
      </c>
      <c r="AH58" s="72" t="e">
        <f ca="1">MROUND(AE58*1000/AG58,5)</f>
        <v>#NUM!</v>
      </c>
      <c r="AI58" s="70">
        <f ca="1">OFFSET(AssetData_Investment!$B$12,$AB58, AI$50)*1000/AG58</f>
        <v>37.159068394699759</v>
      </c>
      <c r="AJ58" s="71">
        <f ca="1">OFFSET(AssetData_Investment!$B$12,$AB58, AJ$50)</f>
        <v>0.97467922254055683</v>
      </c>
      <c r="AK58" s="73" t="str">
        <f ca="1">IF(OFFSET(AssetData_Investment!$B$12,$AB58, AK$50)="", "", OFFSET(AssetData_Investment!$B$12,$AB58, AK$50))</f>
        <v/>
      </c>
      <c r="AN58" s="170" t="s">
        <v>85</v>
      </c>
      <c r="AO58" s="168">
        <v>138</v>
      </c>
      <c r="AP58" s="168">
        <v>65</v>
      </c>
      <c r="AQ58" s="168">
        <v>70</v>
      </c>
      <c r="AR58" s="168">
        <v>65</v>
      </c>
      <c r="AS58" s="168">
        <v>66</v>
      </c>
      <c r="AT58" s="168">
        <v>60</v>
      </c>
      <c r="AU58" s="168">
        <v>60</v>
      </c>
      <c r="AV58" s="168">
        <v>68</v>
      </c>
      <c r="AW58" s="168">
        <v>82</v>
      </c>
      <c r="AX58" s="168">
        <v>81</v>
      </c>
      <c r="AY58" s="168">
        <v>81</v>
      </c>
      <c r="AZ58" s="168">
        <v>81</v>
      </c>
      <c r="BA58" s="181">
        <f>SUM(AO58:AZ58)</f>
        <v>917</v>
      </c>
    </row>
    <row r="59" spans="1:53" ht="14.25" customHeight="1" thickBot="1">
      <c r="AC59" s="53" t="s">
        <v>25</v>
      </c>
      <c r="AD59" s="54"/>
      <c r="AE59" s="95" t="e">
        <f ca="1">SUM(AE55:AE58)</f>
        <v>#NUM!</v>
      </c>
      <c r="AF59" s="55" t="e">
        <f ca="1">SUM(AF55:AF58)</f>
        <v>#NUM!</v>
      </c>
      <c r="AG59" s="98">
        <f ca="1">SUM(AG55:AG58)</f>
        <v>5527.3632352206832</v>
      </c>
      <c r="AH59" s="56" t="e">
        <f ca="1">MROUND(SUMPRODUCT(AH55:AH58,$AG$55:$AG$58)/SUMPRODUCT($AG$55:$AG$58),5)</f>
        <v>#NUM!</v>
      </c>
      <c r="AI59" s="56">
        <f ca="1">SUMPRODUCT(AI55:AI58,$AG$55:$AG$58)/SUM($AG$55:$AG$58)</f>
        <v>41.448334449988977</v>
      </c>
      <c r="AJ59" s="55">
        <f ca="1">SUMPRODUCT(AJ55:AJ58,$AG$55:$AG$58)/SUM($AG$55:$AG$58)</f>
        <v>0.97699109606302459</v>
      </c>
      <c r="AK59" s="57"/>
      <c r="AN59" s="166" t="s">
        <v>84</v>
      </c>
      <c r="AO59" s="179">
        <f>MATCH(AO63, AssetData_Developments!$B$12:$S$12, 0)-1</f>
        <v>4</v>
      </c>
      <c r="AP59" s="179">
        <f>MATCH(AP63, AssetData_Developments!$B$12:$S$12, 0)-1</f>
        <v>6</v>
      </c>
      <c r="AQ59" s="179">
        <f>MATCH(AQ63, AssetData_Developments!$B$12:$S$12, 0)-1</f>
        <v>7</v>
      </c>
      <c r="AR59" s="180" t="s">
        <v>50</v>
      </c>
      <c r="AS59" s="179">
        <f>MATCH(AS63, AssetData_Developments!$B$12:$S$12, 0)-1</f>
        <v>8</v>
      </c>
      <c r="AT59" s="180" t="s">
        <v>50</v>
      </c>
      <c r="AU59" s="179">
        <f>MATCH("Rent (£m)", AssetData_Developments!$B$12:$S$12, 0)-1</f>
        <v>9</v>
      </c>
      <c r="AV59" s="179">
        <f>MATCH(AV63, AssetData_Developments!$B$12:$S$12, 0)-1</f>
        <v>10</v>
      </c>
      <c r="AW59" s="179">
        <f>MATCH(AW63, AssetData_Developments!$B$12:$S$12, 0)-1</f>
        <v>11</v>
      </c>
      <c r="AX59" s="179">
        <f>MATCH(AX63, AssetData_Developments!$B$12:$S$12, 0)-1</f>
        <v>12</v>
      </c>
      <c r="AY59" s="179">
        <f>MATCH(AY63, AssetData_Developments!$B$12:$S$12, 0)-1</f>
        <v>13</v>
      </c>
      <c r="AZ59" s="179">
        <f>MATCH(AZ63, AssetData_Developments!$B$12:$S$12, 0)-1</f>
        <v>14</v>
      </c>
    </row>
    <row r="61" spans="1:53">
      <c r="AC61" t="s">
        <v>227</v>
      </c>
      <c r="AE61">
        <v>10</v>
      </c>
      <c r="AH61">
        <v>5</v>
      </c>
      <c r="AI61">
        <v>1</v>
      </c>
    </row>
    <row r="62" spans="1:53" ht="13.5" customHeight="1">
      <c r="AO62" s="409" t="s">
        <v>248</v>
      </c>
      <c r="AP62" s="409"/>
      <c r="AQ62" s="409"/>
      <c r="AR62" s="409"/>
      <c r="AS62" s="409"/>
      <c r="AT62" s="409"/>
      <c r="AU62" s="409"/>
      <c r="AV62" s="409"/>
      <c r="AW62" s="409"/>
      <c r="AX62" s="43"/>
      <c r="AY62" s="43"/>
      <c r="AZ62" s="44"/>
    </row>
    <row r="63" spans="1:53" ht="12.75" customHeight="1">
      <c r="AM63" s="162" t="s">
        <v>82</v>
      </c>
      <c r="AN63" s="363" t="s">
        <v>83</v>
      </c>
      <c r="AO63" s="58" t="s">
        <v>9</v>
      </c>
      <c r="AP63" s="76" t="s">
        <v>10</v>
      </c>
      <c r="AQ63" s="400" t="s">
        <v>16</v>
      </c>
      <c r="AR63" s="400" t="s">
        <v>33</v>
      </c>
      <c r="AS63" s="400" t="s">
        <v>22</v>
      </c>
      <c r="AT63" s="400" t="s">
        <v>24</v>
      </c>
      <c r="AU63" s="400" t="s">
        <v>23</v>
      </c>
      <c r="AV63" s="1" t="s">
        <v>20</v>
      </c>
      <c r="AW63" s="400" t="s">
        <v>34</v>
      </c>
      <c r="AX63" s="400" t="s">
        <v>36</v>
      </c>
      <c r="AY63" s="400" t="s">
        <v>35</v>
      </c>
      <c r="AZ63" s="400" t="s">
        <v>15</v>
      </c>
    </row>
    <row r="64" spans="1:53">
      <c r="AM64" s="164"/>
      <c r="AN64" s="364"/>
      <c r="AO64" s="77"/>
      <c r="AP64" s="78"/>
      <c r="AQ64" s="401"/>
      <c r="AR64" s="401"/>
      <c r="AS64" s="401"/>
      <c r="AT64" s="401"/>
      <c r="AU64" s="401"/>
      <c r="AV64" s="79"/>
      <c r="AW64" s="401"/>
      <c r="AX64" s="401"/>
      <c r="AY64" s="401"/>
      <c r="AZ64" s="401"/>
    </row>
    <row r="65" spans="39:52">
      <c r="AM65" s="164" t="str">
        <f>$A$1 &amp; "1"</f>
        <v>LAND1</v>
      </c>
      <c r="AN65" s="364">
        <f>MATCH($AM65, AssetData_Developments!A:A,0)-AssetData_Developments!$C$4</f>
        <v>11</v>
      </c>
      <c r="AO65" s="80" t="str">
        <f ca="1">OFFSET(AssetData_Developments!$B$12, $AN65,AO$59)</f>
        <v>1 New Street Square</v>
      </c>
      <c r="AP65" s="81" t="str">
        <f ca="1">IF(OFFSET(AssetData_Developments!$B$12, $AN65,AP$59)="", "", OFFSET(AssetData_Developments!$B$12, $AN65,AP$59))</f>
        <v>City</v>
      </c>
      <c r="AQ65" s="82">
        <f ca="1">MROUND(OFFSET(AssetData_Developments!$B$12, $AN65,AQ$59),10)</f>
        <v>180</v>
      </c>
      <c r="AR65" s="83">
        <f ca="1">AQ65/$AQ$69</f>
        <v>0.40909090909090912</v>
      </c>
      <c r="AS65" s="255">
        <f ca="1">OFFSET(AssetData_Developments!$B$12, $AN65,AS$59)</f>
        <v>274.8</v>
      </c>
      <c r="AT65" s="85">
        <f ca="1">MROUND(AQ65*1000/AS65,5)</f>
        <v>655</v>
      </c>
      <c r="AU65" s="85">
        <f ca="1">OFFSET(AssetData_Developments!$B$12, $AN65,AU$59)*1000/AS65</f>
        <v>56.499999999999993</v>
      </c>
      <c r="AV65" s="86">
        <f ca="1">OFFSET(AssetData_Developments!$B$12, $AN65,AV$59)</f>
        <v>1</v>
      </c>
      <c r="AW65" s="87">
        <f ca="1">OFFSET(AssetData_Developments!$B$12, $AN65,AW$59)</f>
        <v>8.6926539999999997E-2</v>
      </c>
      <c r="AX65" s="87">
        <f ca="1">OFFSET(AssetData_Developments!$B$12, $AN65,AX$59)</f>
        <v>4.7500000000000001E-2</v>
      </c>
      <c r="AY65" s="263">
        <f ca="1">OFFSET(AssetData_Developments!$B$12, $AN65,AY$59)</f>
        <v>0.73052718000000005</v>
      </c>
      <c r="AZ65" s="188" t="str">
        <f ca="1">OFFSET(AssetData_Developments!$B$12, $AN65,AZ$59)</f>
        <v>Q3 '16</v>
      </c>
    </row>
    <row r="66" spans="39:52">
      <c r="AM66" s="164" t="str">
        <f>$A$1 &amp; "2"</f>
        <v>LAND2</v>
      </c>
      <c r="AN66" s="364">
        <f>MATCH($AM66, AssetData_Developments!A:A,0)-AssetData_Developments!$C$4</f>
        <v>12</v>
      </c>
      <c r="AO66" s="68" t="str">
        <f ca="1">OFFSET(AssetData_Developments!$B$12, $AN66,AO$59)</f>
        <v>Nova, Victoria</v>
      </c>
      <c r="AP66" s="69" t="str">
        <f ca="1">IF(OFFSET(AssetData_Developments!$B$12, $AN66,AP$59)="", "", OFFSET(AssetData_Developments!$B$12, $AN66,AP$59))</f>
        <v>West End</v>
      </c>
      <c r="AQ66" s="93">
        <f ca="1">MROUND(OFFSET(AssetData_Developments!$B$12, $AN66,AQ$59),10)</f>
        <v>260</v>
      </c>
      <c r="AR66" s="216">
        <f ca="1">AQ66/$AQ$69</f>
        <v>0.59090909090909094</v>
      </c>
      <c r="AS66" s="256">
        <f ca="1">OFFSET(AssetData_Developments!$B$12, $AN66,AS$59)</f>
        <v>560.6</v>
      </c>
      <c r="AT66" s="70">
        <f ca="1">MROUND(AQ66*1000/AS66,5)</f>
        <v>465</v>
      </c>
      <c r="AU66" s="70">
        <f ca="1">OFFSET(AssetData_Developments!$B$12, $AN66,AU$59)*1000/AS66</f>
        <v>37</v>
      </c>
      <c r="AV66" s="218">
        <f ca="1">OFFSET(AssetData_Developments!$B$12, $AN66,AV$59)</f>
        <v>0.35</v>
      </c>
      <c r="AW66" s="219">
        <f ca="1">OFFSET(AssetData_Developments!$B$12, $AN66,AW$59)</f>
        <v>7.9604229999999998E-2</v>
      </c>
      <c r="AX66" s="219">
        <f ca="1">OFFSET(AssetData_Developments!$B$12, $AN66,AX$59)</f>
        <v>4.4999999999999998E-2</v>
      </c>
      <c r="AY66" s="71">
        <f ca="1">OFFSET(AssetData_Developments!$B$12, $AN66,AY$59)</f>
        <v>0.67279714000000002</v>
      </c>
      <c r="AZ66" s="220" t="str">
        <f ca="1">OFFSET(AssetData_Developments!$B$12, $AN66,AZ$59)</f>
        <v>Q4 '16</v>
      </c>
    </row>
    <row r="67" spans="39:52" hidden="1">
      <c r="AM67" s="164" t="str">
        <f>$A$1 &amp; "3"</f>
        <v>LAND3</v>
      </c>
      <c r="AN67" s="364">
        <f>MATCH($AM67, AssetData_Developments!A:A,0)-AssetData_Developments!$C$4</f>
        <v>13</v>
      </c>
      <c r="AO67" s="80"/>
      <c r="AP67" s="81"/>
      <c r="AQ67" s="82"/>
      <c r="AR67" s="83"/>
      <c r="AS67" s="255"/>
      <c r="AT67" s="85"/>
      <c r="AU67" s="85"/>
      <c r="AV67" s="86"/>
      <c r="AW67" s="87"/>
      <c r="AX67" s="87"/>
      <c r="AY67" s="263"/>
      <c r="AZ67" s="188"/>
    </row>
    <row r="68" spans="39:52" hidden="1">
      <c r="AM68" s="166" t="str">
        <f>$A$1 &amp; "Other"</f>
        <v>LANDOther</v>
      </c>
      <c r="AN68" s="167">
        <f>MATCH($AM68, AssetData_Developments!A:A,0)-AssetData_Developments!$C$4</f>
        <v>14</v>
      </c>
      <c r="AO68" s="68" t="str">
        <f ca="1">OFFSET(AssetData_Developments!$B$12, $AN68,AO$59)</f>
        <v>Other</v>
      </c>
      <c r="AP68" s="69" t="str">
        <f ca="1">IF(OFFSET(AssetData_Developments!$B$12, $AN68,AP$59)="", "", OFFSET(AssetData_Developments!$B$12, $AN68,AP$59))</f>
        <v/>
      </c>
      <c r="AQ68" s="93">
        <f ca="1">MROUND(OFFSET(AssetData_Developments!$B$12, $AN68,AQ$59),10)</f>
        <v>0</v>
      </c>
      <c r="AR68" s="216">
        <f ca="1">AQ68/$AQ$69</f>
        <v>0</v>
      </c>
      <c r="AS68" s="256">
        <f ca="1">OFFSET(AssetData_Developments!$B$12, $AN68,AS$59)</f>
        <v>0</v>
      </c>
      <c r="AT68" s="70" t="e">
        <f ca="1">MROUND(AQ68*1000/AS68,5)</f>
        <v>#DIV/0!</v>
      </c>
      <c r="AU68" s="70" t="e">
        <f ca="1">OFFSET(AssetData_Developments!$B$12, $AN68,AU$59)*1000/AS68</f>
        <v>#DIV/0!</v>
      </c>
      <c r="AV68" s="218">
        <f ca="1">OFFSET(AssetData_Developments!$B$12, $AN68,AV$59)</f>
        <v>0</v>
      </c>
      <c r="AW68" s="219">
        <f ca="1">OFFSET(AssetData_Developments!$B$12, $AN68,AW$59)</f>
        <v>0</v>
      </c>
      <c r="AX68" s="219">
        <f ca="1">OFFSET(AssetData_Developments!$B$12, $AN68,AX$59)</f>
        <v>0</v>
      </c>
      <c r="AY68" s="71">
        <f ca="1">OFFSET(AssetData_Developments!$B$12, $AN68,AY$59)</f>
        <v>0</v>
      </c>
      <c r="AZ68" s="220" t="str">
        <f ca="1">IF(OFFSET(AssetData_Developments!$B$12,$AN68,AZ$59)="","",OFFSET(AssetData_Developments!$B$12,$AN68,AZ$59))</f>
        <v/>
      </c>
    </row>
    <row r="69" spans="39:52" ht="14.25" customHeight="1" thickBot="1">
      <c r="AO69" s="48" t="s">
        <v>25</v>
      </c>
      <c r="AP69" s="49"/>
      <c r="AQ69" s="91">
        <f ca="1">SUM(AQ65:AQ68)</f>
        <v>440</v>
      </c>
      <c r="AR69" s="89">
        <f ca="1">SUM(AR65:AR68)</f>
        <v>1</v>
      </c>
      <c r="AS69" s="257">
        <f ca="1">SUM(AS65:AS68)</f>
        <v>835.40000000000009</v>
      </c>
      <c r="AT69" s="50">
        <f ca="1">MROUND(SUMPRODUCT(AT65:AT67,$AS$65:$AS$67)/$AS$69,5)</f>
        <v>525</v>
      </c>
      <c r="AU69" s="50">
        <f ca="1">SUMPRODUCT(AU65:AU67,$AS$65:$AS$67)/$AS$69</f>
        <v>43.414412257601143</v>
      </c>
      <c r="AV69" s="51">
        <f ca="1">SUMPRODUCT(AV65:AV68,$AS$65:$AS$68)/$AS$69</f>
        <v>0.56381374192003819</v>
      </c>
      <c r="AW69" s="52">
        <f ca="1">SUMPRODUCT(AW65:AW68,$AS$65:$AS$68)/$AS$69</f>
        <v>8.2012861539382323E-2</v>
      </c>
      <c r="AX69" s="52">
        <f ca="1">SUMPRODUCT(AX65:AX68,$AS$65:$AS$68)/$AS$69</f>
        <v>4.5822360545846298E-2</v>
      </c>
      <c r="AY69" s="51">
        <f ca="1">SUMPRODUCT(AY65:AY68,$AS$65:$AS$68)/$AS$69</f>
        <v>0.69178710288245149</v>
      </c>
      <c r="AZ69" s="48"/>
    </row>
    <row r="71" spans="39:52">
      <c r="AO71" t="s">
        <v>227</v>
      </c>
      <c r="AQ71">
        <v>10</v>
      </c>
      <c r="AT71">
        <v>5</v>
      </c>
      <c r="AU71">
        <v>1</v>
      </c>
    </row>
  </sheetData>
  <mergeCells count="21">
    <mergeCell ref="J10:M10"/>
    <mergeCell ref="AS63:AS64"/>
    <mergeCell ref="D5:D6"/>
    <mergeCell ref="K5:N5"/>
    <mergeCell ref="AO62:AW62"/>
    <mergeCell ref="AU63:AU64"/>
    <mergeCell ref="AR63:AR64"/>
    <mergeCell ref="G10:H10"/>
    <mergeCell ref="AW63:AW64"/>
    <mergeCell ref="AH53:AH54"/>
    <mergeCell ref="H25:M26"/>
    <mergeCell ref="AI53:AI54"/>
    <mergeCell ref="AE53:AE54"/>
    <mergeCell ref="AQ63:AQ64"/>
    <mergeCell ref="AZ63:AZ64"/>
    <mergeCell ref="AT63:AT64"/>
    <mergeCell ref="AC52:AJ52"/>
    <mergeCell ref="AG53:AG54"/>
    <mergeCell ref="AF53:AF54"/>
    <mergeCell ref="AX63:AX64"/>
    <mergeCell ref="AY63:AY64"/>
  </mergeCells>
  <phoneticPr fontId="0" type="noConversion"/>
  <pageMargins left="0.47244094488188981" right="0.47244094488188981" top="0.27559055118110237" bottom="7.874015748031496E-2" header="0.51181102362204722" footer="0.51181102362204722"/>
  <pageSetup orientation="landscape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55"/>
  </sheetPr>
  <dimension ref="A1:BB73"/>
  <sheetViews>
    <sheetView zoomScaleNormal="100" zoomScaleSheetLayoutView="100" workbookViewId="0">
      <selection activeCell="P40" sqref="P40"/>
    </sheetView>
  </sheetViews>
  <sheetFormatPr defaultRowHeight="12.75"/>
  <cols>
    <col min="2" max="2" width="0.42578125" customWidth="1"/>
    <col min="3" max="3" width="1.28515625" customWidth="1"/>
    <col min="4" max="4" width="63.7109375" customWidth="1"/>
    <col min="5" max="5" width="5.28515625" customWidth="1"/>
    <col min="6" max="6" width="1.42578125" customWidth="1"/>
    <col min="7" max="7" width="2.5703125" customWidth="1"/>
    <col min="8" max="8" width="24.85546875" customWidth="1"/>
    <col min="9" max="9" width="2.42578125" customWidth="1"/>
    <col min="10" max="10" width="24.7109375" customWidth="1"/>
    <col min="11" max="11" width="2.5703125" customWidth="1"/>
    <col min="12" max="12" width="1.140625" customWidth="1"/>
    <col min="13" max="14" width="0.5703125" customWidth="1"/>
    <col min="18" max="18" width="16.42578125" customWidth="1"/>
    <col min="19" max="19" width="14.7109375" bestFit="1" customWidth="1"/>
    <col min="20" max="20" width="20.28515625" bestFit="1" customWidth="1"/>
    <col min="21" max="21" width="18.140625" customWidth="1"/>
    <col min="22" max="22" width="20.28515625" bestFit="1" customWidth="1"/>
    <col min="23" max="23" width="14.5703125" customWidth="1"/>
    <col min="25" max="25" width="9.140625" style="2"/>
    <col min="27" max="27" width="10.42578125" bestFit="1" customWidth="1"/>
    <col min="28" max="28" width="11.140625" bestFit="1" customWidth="1"/>
    <col min="29" max="29" width="19" customWidth="1"/>
    <col min="30" max="30" width="11.42578125" customWidth="1"/>
    <col min="31" max="31" width="10" customWidth="1"/>
    <col min="32" max="32" width="9.28515625" customWidth="1"/>
    <col min="33" max="33" width="9.42578125" customWidth="1"/>
    <col min="34" max="35" width="8.5703125" customWidth="1"/>
    <col min="36" max="36" width="9.7109375" customWidth="1"/>
    <col min="37" max="37" width="45" customWidth="1"/>
    <col min="41" max="41" width="19" customWidth="1"/>
    <col min="42" max="42" width="11.42578125" customWidth="1"/>
    <col min="43" max="43" width="10" customWidth="1"/>
    <col min="44" max="44" width="9.28515625" customWidth="1"/>
    <col min="45" max="45" width="9.42578125" customWidth="1"/>
    <col min="46" max="47" width="8.5703125" customWidth="1"/>
    <col min="48" max="48" width="9.7109375" customWidth="1"/>
    <col min="49" max="49" width="11.7109375" customWidth="1"/>
    <col min="50" max="50" width="10.85546875" customWidth="1"/>
    <col min="51" max="51" width="11.5703125" customWidth="1"/>
    <col min="52" max="52" width="10.85546875" customWidth="1"/>
    <col min="54" max="54" width="9.140625" style="2"/>
  </cols>
  <sheetData>
    <row r="1" spans="1:53" ht="16.5" thickBot="1">
      <c r="A1" s="22" t="s">
        <v>241</v>
      </c>
      <c r="N1" t="s">
        <v>0</v>
      </c>
      <c r="Z1" s="110" t="s">
        <v>91</v>
      </c>
      <c r="AA1" s="110"/>
      <c r="AB1" s="110"/>
    </row>
    <row r="2" spans="1:5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53">
      <c r="A3" s="2"/>
      <c r="B3" s="3">
        <v>0.25</v>
      </c>
      <c r="C3" s="3">
        <v>0.75</v>
      </c>
      <c r="D3" s="99">
        <v>63</v>
      </c>
      <c r="E3" s="99">
        <v>4.57</v>
      </c>
      <c r="F3" s="99">
        <v>0.83</v>
      </c>
      <c r="G3" s="99"/>
      <c r="H3" s="99">
        <v>26.71</v>
      </c>
      <c r="I3" s="99">
        <v>1.57</v>
      </c>
      <c r="J3" s="99">
        <v>24</v>
      </c>
      <c r="K3" s="4">
        <v>1.86</v>
      </c>
      <c r="L3" s="3">
        <v>0.67</v>
      </c>
      <c r="M3" s="3">
        <v>0.33</v>
      </c>
      <c r="N3" s="3">
        <v>0.33</v>
      </c>
      <c r="O3" s="5">
        <f>SUM(B3:M3)</f>
        <v>124.53999999999998</v>
      </c>
      <c r="Z3" s="15" t="s">
        <v>19</v>
      </c>
      <c r="AA3" s="15"/>
      <c r="AB3" s="15"/>
      <c r="AC3" s="15">
        <v>138</v>
      </c>
      <c r="AD3" s="15">
        <v>65</v>
      </c>
      <c r="AE3" s="15">
        <v>70</v>
      </c>
      <c r="AF3" s="15">
        <v>65</v>
      </c>
      <c r="AG3" s="15">
        <v>66</v>
      </c>
      <c r="AH3" s="15">
        <v>60</v>
      </c>
      <c r="AI3" s="15">
        <v>60</v>
      </c>
      <c r="AJ3" s="15">
        <v>68</v>
      </c>
      <c r="AK3" s="15">
        <v>325</v>
      </c>
      <c r="AL3" s="15" t="s">
        <v>19</v>
      </c>
      <c r="AM3" s="15"/>
      <c r="AN3" s="15"/>
      <c r="AO3" s="15">
        <v>138</v>
      </c>
      <c r="AP3" s="15">
        <v>65</v>
      </c>
      <c r="AQ3" s="15">
        <v>70</v>
      </c>
      <c r="AR3" s="15">
        <v>65</v>
      </c>
      <c r="AS3" s="15">
        <v>66</v>
      </c>
      <c r="AT3" s="15">
        <v>60</v>
      </c>
      <c r="AU3" s="15">
        <v>60</v>
      </c>
      <c r="AV3" s="15">
        <v>68</v>
      </c>
      <c r="AW3" s="15">
        <v>82</v>
      </c>
      <c r="AX3" s="15">
        <v>81</v>
      </c>
      <c r="AY3" s="15">
        <v>81</v>
      </c>
      <c r="AZ3" s="15">
        <v>81</v>
      </c>
      <c r="BA3" s="15" t="s">
        <v>19</v>
      </c>
    </row>
    <row r="4" spans="1:53" ht="1.5" customHeight="1">
      <c r="A4" s="3">
        <v>1.5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O4" s="7"/>
    </row>
    <row r="5" spans="1:53" ht="21.75" customHeight="1">
      <c r="A5" s="3">
        <v>21.75</v>
      </c>
      <c r="D5" s="406" t="str">
        <f>HMSO!D5</f>
        <v>London Office Update  – 23 August 2016</v>
      </c>
      <c r="E5" s="30"/>
      <c r="F5" s="30"/>
      <c r="G5" s="30"/>
      <c r="K5" s="408">
        <f>R5</f>
        <v>41</v>
      </c>
      <c r="L5" s="408"/>
      <c r="M5" s="408"/>
      <c r="N5" s="408"/>
      <c r="O5" s="7"/>
      <c r="Q5" s="8" t="s">
        <v>1</v>
      </c>
      <c r="R5" s="9">
        <f>LAND!R5+1</f>
        <v>41</v>
      </c>
    </row>
    <row r="6" spans="1:53" ht="1.5" customHeight="1">
      <c r="A6" s="3">
        <v>1.5</v>
      </c>
      <c r="D6" s="406"/>
      <c r="E6" s="30"/>
      <c r="F6" s="30"/>
      <c r="G6" s="30"/>
      <c r="O6" s="7"/>
    </row>
    <row r="7" spans="1:53" ht="12" customHeight="1">
      <c r="A7" s="3">
        <v>12</v>
      </c>
      <c r="O7" s="7"/>
    </row>
    <row r="8" spans="1:53" ht="35.25" customHeight="1" thickBot="1">
      <c r="A8" s="3">
        <v>35.25</v>
      </c>
      <c r="B8" s="10" t="str">
        <f>U13 &amp; " – Central London Office Portfolio"</f>
        <v>Songbird – Central London Office Portfolio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O8" s="7"/>
    </row>
    <row r="9" spans="1:53" ht="13.5" customHeight="1" thickTop="1">
      <c r="A9" s="4">
        <v>13.5</v>
      </c>
      <c r="O9" s="7"/>
      <c r="R9" s="24" t="s">
        <v>40</v>
      </c>
      <c r="S9" s="25"/>
      <c r="T9" s="25"/>
      <c r="U9" s="25"/>
      <c r="V9" s="25"/>
      <c r="W9" s="25"/>
    </row>
    <row r="10" spans="1:53" ht="16.5" customHeight="1" thickBot="1">
      <c r="A10" s="47"/>
      <c r="G10" s="405" t="s">
        <v>29</v>
      </c>
      <c r="H10" s="405"/>
      <c r="I10" s="26"/>
      <c r="J10" s="405" t="s">
        <v>200</v>
      </c>
      <c r="K10" s="405"/>
      <c r="L10" s="405"/>
      <c r="M10" s="405"/>
      <c r="O10" s="7"/>
      <c r="R10" s="111" t="s">
        <v>64</v>
      </c>
      <c r="S10" s="112" t="e">
        <f>HLOOKUP($A$1, PortfolioData!$B$10:$L$11, 2, FALSE)</f>
        <v>#N/A</v>
      </c>
      <c r="T10" s="129"/>
    </row>
    <row r="11" spans="1:53" ht="15">
      <c r="A11" s="21"/>
      <c r="F11" s="42"/>
      <c r="G11" s="42"/>
      <c r="I11" s="42"/>
      <c r="J11" s="42"/>
      <c r="K11" s="26"/>
      <c r="L11" s="26"/>
      <c r="O11" s="2"/>
      <c r="R11" s="111" t="s">
        <v>63</v>
      </c>
      <c r="S11" s="112">
        <f>HLOOKUP("Average", PortfolioData!$B$10:$L$11, 2, FALSE)</f>
        <v>10</v>
      </c>
      <c r="T11" s="130"/>
    </row>
    <row r="12" spans="1:53" ht="12.75" customHeight="1">
      <c r="A12" s="21"/>
      <c r="O12" s="2"/>
      <c r="S12" s="117" t="s">
        <v>71</v>
      </c>
      <c r="T12" s="122" t="s">
        <v>70</v>
      </c>
    </row>
    <row r="13" spans="1:53" ht="12.75" customHeight="1">
      <c r="A13" s="21"/>
      <c r="D13" s="14"/>
      <c r="E13" s="14"/>
      <c r="O13" s="2"/>
      <c r="R13" s="111" t="s">
        <v>28</v>
      </c>
      <c r="S13" s="117" t="s">
        <v>5</v>
      </c>
      <c r="T13" s="118">
        <f>MATCH(S13, PortfolioData!B:B,0)-PortfolioData!$F$5</f>
        <v>2</v>
      </c>
      <c r="U13" s="119" t="s">
        <v>240</v>
      </c>
    </row>
    <row r="14" spans="1:53" ht="12.75" customHeight="1">
      <c r="A14" s="21"/>
      <c r="O14" s="2"/>
      <c r="R14" s="137" t="s">
        <v>68</v>
      </c>
      <c r="S14" s="117" t="s">
        <v>5</v>
      </c>
      <c r="T14" s="118">
        <f>MATCH(S14, PortfolioData!B:B,0)-PortfolioData!$F$5</f>
        <v>2</v>
      </c>
      <c r="U14" s="119" t="str">
        <f ca="1">OFFSET(PortfolioData!$B$10, T14, $S$11)&amp;"(2)"</f>
        <v>Selected REITs' Avg.(2)</v>
      </c>
    </row>
    <row r="15" spans="1:53" ht="12.75" customHeight="1">
      <c r="A15" s="21"/>
      <c r="D15" s="14"/>
      <c r="E15" s="14"/>
      <c r="O15" s="2"/>
    </row>
    <row r="16" spans="1:53" ht="12.75" customHeight="1">
      <c r="A16" s="21"/>
      <c r="O16" s="2"/>
      <c r="R16" s="24" t="s">
        <v>4</v>
      </c>
      <c r="S16" s="24"/>
      <c r="T16" s="24"/>
      <c r="U16" s="24"/>
      <c r="V16" s="24"/>
      <c r="W16" s="24"/>
    </row>
    <row r="17" spans="1:28" ht="12.75" customHeight="1">
      <c r="A17" s="21"/>
      <c r="C17" s="13"/>
      <c r="O17" s="2"/>
      <c r="R17" t="s">
        <v>7</v>
      </c>
      <c r="X17" s="18"/>
      <c r="Z17" s="18"/>
      <c r="AA17" s="18"/>
      <c r="AB17" s="18"/>
    </row>
    <row r="18" spans="1:28" ht="12.75" customHeight="1">
      <c r="A18" s="21"/>
      <c r="O18" s="2"/>
    </row>
    <row r="19" spans="1:28" ht="12.75" customHeight="1">
      <c r="A19" s="21"/>
      <c r="C19" s="13"/>
      <c r="H19" s="42"/>
      <c r="I19" s="42"/>
      <c r="J19" s="42"/>
      <c r="K19" s="42"/>
      <c r="L19" s="42"/>
      <c r="M19" s="26"/>
      <c r="N19" s="26"/>
      <c r="O19" s="2"/>
      <c r="R19" s="24" t="s">
        <v>13</v>
      </c>
      <c r="S19" s="25"/>
      <c r="T19" s="25"/>
      <c r="U19" s="25"/>
      <c r="V19" s="25"/>
      <c r="W19" s="25"/>
    </row>
    <row r="20" spans="1:28" ht="12.75" customHeight="1">
      <c r="A20" s="21"/>
      <c r="O20" s="2"/>
      <c r="R20" s="117" t="s">
        <v>59</v>
      </c>
      <c r="S20" s="122" t="s">
        <v>62</v>
      </c>
      <c r="T20" s="131" t="s">
        <v>60</v>
      </c>
      <c r="U20" s="122" t="s">
        <v>61</v>
      </c>
      <c r="V20" s="108" t="s">
        <v>8</v>
      </c>
      <c r="W20" s="108" t="s">
        <v>192</v>
      </c>
    </row>
    <row r="21" spans="1:28" ht="12.75" customHeight="1">
      <c r="A21" s="21"/>
      <c r="O21" s="2"/>
      <c r="R21" s="123" t="s">
        <v>187</v>
      </c>
      <c r="S21" s="125">
        <f>MATCH(R21, PortfolioData!B:B,0)-PortfolioData!$F$5</f>
        <v>6</v>
      </c>
      <c r="T21" s="124" t="s">
        <v>193</v>
      </c>
      <c r="U21" s="133">
        <f>MATCH(T21, PortfolioData!B:B,0)-PortfolioData!$F$5</f>
        <v>7</v>
      </c>
      <c r="V21" s="88" t="e">
        <f ca="1">OFFSET(PortfolioData!$B$10, S21, $S$10)</f>
        <v>#N/A</v>
      </c>
      <c r="W21" s="245" t="e">
        <f ca="1">OFFSET(PortfolioData!$B$10, U21, $S$10)</f>
        <v>#N/A</v>
      </c>
    </row>
    <row r="22" spans="1:28" ht="12.75" customHeight="1">
      <c r="A22" s="21"/>
      <c r="O22" s="2"/>
      <c r="R22" s="123" t="s">
        <v>188</v>
      </c>
      <c r="S22" s="125">
        <f>MATCH(R22, PortfolioData!B:B,0)-PortfolioData!$F$5</f>
        <v>10</v>
      </c>
      <c r="T22" s="124" t="s">
        <v>194</v>
      </c>
      <c r="U22" s="125">
        <f>MATCH(T22, PortfolioData!B:B,0)-PortfolioData!$F$5</f>
        <v>11</v>
      </c>
      <c r="V22" s="88" t="e">
        <f ca="1">OFFSET(PortfolioData!$B$10, S22, $S$10)</f>
        <v>#N/A</v>
      </c>
      <c r="W22" s="245" t="e">
        <f ca="1">OFFSET(PortfolioData!$B$10, U22, $S$10)</f>
        <v>#N/A</v>
      </c>
    </row>
    <row r="23" spans="1:28" ht="12.75" customHeight="1">
      <c r="A23" s="21"/>
      <c r="O23" s="2"/>
      <c r="R23" s="123" t="s">
        <v>189</v>
      </c>
      <c r="S23" s="125">
        <f>MATCH(R23, PortfolioData!B:B,0)-PortfolioData!$F$5</f>
        <v>14</v>
      </c>
      <c r="T23" s="124" t="s">
        <v>195</v>
      </c>
      <c r="U23" s="125">
        <f>MATCH(T23, PortfolioData!B:B,0)-PortfolioData!$F$5</f>
        <v>15</v>
      </c>
      <c r="V23" s="88" t="e">
        <f ca="1">OFFSET(PortfolioData!$B$10, S23, $S$10)</f>
        <v>#N/A</v>
      </c>
      <c r="W23" s="245" t="e">
        <f ca="1">OFFSET(PortfolioData!$B$10, U23, $S$10)</f>
        <v>#N/A</v>
      </c>
    </row>
    <row r="24" spans="1:28" ht="12.75" customHeight="1">
      <c r="A24" s="21"/>
      <c r="G24" s="41" t="s">
        <v>41</v>
      </c>
      <c r="H24" s="16" t="s">
        <v>202</v>
      </c>
      <c r="I24" s="100"/>
      <c r="J24" s="100"/>
      <c r="K24" s="100"/>
      <c r="L24" s="100"/>
      <c r="M24" s="100"/>
      <c r="O24" s="2"/>
      <c r="R24" s="123" t="s">
        <v>190</v>
      </c>
      <c r="S24" s="125">
        <f>MATCH(R24, PortfolioData!B:B,0)-PortfolioData!$F$5</f>
        <v>18</v>
      </c>
      <c r="T24" s="124" t="s">
        <v>196</v>
      </c>
      <c r="U24" s="125">
        <f>MATCH(T24, PortfolioData!B:B,0)-PortfolioData!$F$5</f>
        <v>19</v>
      </c>
      <c r="V24" s="88" t="e">
        <f ca="1">OFFSET(PortfolioData!$B$10, S24, $S$10)</f>
        <v>#N/A</v>
      </c>
      <c r="W24" s="245" t="e">
        <f ca="1">OFFSET(PortfolioData!$B$10, U24, $S$10)</f>
        <v>#N/A</v>
      </c>
    </row>
    <row r="25" spans="1:28" ht="12.75" customHeight="1">
      <c r="A25" s="2"/>
      <c r="G25" s="41" t="s">
        <v>201</v>
      </c>
      <c r="H25" s="414" t="s">
        <v>243</v>
      </c>
      <c r="I25" s="415"/>
      <c r="J25" s="415"/>
      <c r="K25" s="415"/>
      <c r="L25" s="415"/>
      <c r="M25" s="415"/>
      <c r="O25" s="2"/>
      <c r="R25" s="123" t="s">
        <v>191</v>
      </c>
      <c r="S25" s="125">
        <f>MATCH(R25, PortfolioData!B:B,0)-PortfolioData!$F$5</f>
        <v>22</v>
      </c>
      <c r="T25" s="124" t="s">
        <v>197</v>
      </c>
      <c r="U25" s="125">
        <f>MATCH(T25, PortfolioData!B:B,0)-PortfolioData!$F$5</f>
        <v>23</v>
      </c>
      <c r="V25" s="88" t="e">
        <f ca="1">OFFSET(PortfolioData!$B$10, S25, $S$10)</f>
        <v>#N/A</v>
      </c>
      <c r="W25" s="245" t="e">
        <f ca="1">OFFSET(PortfolioData!$B$10, U25, $S$10)</f>
        <v>#N/A</v>
      </c>
    </row>
    <row r="26" spans="1:28">
      <c r="A26" s="2"/>
      <c r="H26" s="415"/>
      <c r="I26" s="415"/>
      <c r="J26" s="415"/>
      <c r="K26" s="415"/>
      <c r="L26" s="415"/>
      <c r="M26" s="415"/>
      <c r="O26" s="2"/>
      <c r="R26" s="126" t="s">
        <v>181</v>
      </c>
      <c r="S26" s="128" t="s">
        <v>19</v>
      </c>
      <c r="T26" s="127" t="s">
        <v>181</v>
      </c>
      <c r="U26" s="128" t="s">
        <v>19</v>
      </c>
      <c r="V26" s="211"/>
      <c r="W26" s="212"/>
    </row>
    <row r="27" spans="1:28" ht="15" customHeight="1">
      <c r="A27" s="2"/>
      <c r="H27" s="45"/>
      <c r="I27" s="45"/>
      <c r="J27" s="45"/>
      <c r="K27" s="45"/>
      <c r="O27" s="2"/>
      <c r="T27" s="127" t="s">
        <v>199</v>
      </c>
      <c r="U27" s="246">
        <f>MATCH(T27, PortfolioData!B:B,0)-PortfolioData!$F$5</f>
        <v>25</v>
      </c>
      <c r="V27" s="109" t="s">
        <v>185</v>
      </c>
      <c r="W27" s="278" t="e">
        <f ca="1">OFFSET(PortfolioData!$B$10, U27, $S$10)/1000</f>
        <v>#N/A</v>
      </c>
    </row>
    <row r="28" spans="1:28" ht="15">
      <c r="A28" s="2"/>
      <c r="H28" s="45"/>
      <c r="I28" s="45"/>
      <c r="J28" s="45"/>
      <c r="K28" s="45"/>
      <c r="L28" s="40"/>
      <c r="M28" s="40"/>
      <c r="O28" s="2"/>
    </row>
    <row r="29" spans="1:28" ht="12.75" customHeight="1">
      <c r="A29" s="2"/>
      <c r="H29" s="33"/>
      <c r="I29" s="36"/>
      <c r="J29" s="36"/>
      <c r="O29" s="2"/>
      <c r="R29" s="15" t="s">
        <v>39</v>
      </c>
      <c r="S29" s="112" t="e">
        <f ca="1">"Total Value: " &amp; TEXT( W27, "£#,###.0") &amp; "bn"</f>
        <v>#N/A</v>
      </c>
    </row>
    <row r="30" spans="1:28" ht="12.75" customHeight="1">
      <c r="A30" s="2"/>
      <c r="H30" s="33"/>
      <c r="I30" s="36"/>
      <c r="J30" s="36"/>
      <c r="O30" s="2"/>
    </row>
    <row r="31" spans="1:28" ht="12.75" customHeight="1">
      <c r="A31" s="2"/>
      <c r="H31" s="28"/>
      <c r="I31" s="37"/>
      <c r="J31" s="37"/>
      <c r="O31" s="2" t="s">
        <v>17</v>
      </c>
    </row>
    <row r="32" spans="1:28">
      <c r="A32" s="2"/>
      <c r="H32" s="28"/>
      <c r="I32" s="37"/>
      <c r="J32" s="37"/>
      <c r="O32" s="2"/>
      <c r="R32" s="24" t="s">
        <v>37</v>
      </c>
      <c r="S32" s="25"/>
      <c r="T32" s="25"/>
      <c r="U32" s="25"/>
      <c r="V32" s="25"/>
      <c r="W32" s="25"/>
    </row>
    <row r="33" spans="1:22">
      <c r="A33" s="2"/>
      <c r="H33" s="28"/>
      <c r="I33" s="37"/>
      <c r="J33" s="37"/>
      <c r="O33" s="2"/>
    </row>
    <row r="34" spans="1:22">
      <c r="A34" s="2"/>
      <c r="H34" s="34"/>
      <c r="I34" s="38"/>
      <c r="J34" s="38"/>
      <c r="O34" s="2"/>
      <c r="R34" s="101" t="s">
        <v>38</v>
      </c>
      <c r="S34" s="131" t="s">
        <v>71</v>
      </c>
      <c r="T34" s="122" t="s">
        <v>70</v>
      </c>
      <c r="U34" s="102" t="str">
        <f>U13</f>
        <v>Songbird</v>
      </c>
      <c r="V34" s="101" t="str">
        <f ca="1">U14</f>
        <v>Selected REITs' Avg.(2)</v>
      </c>
    </row>
    <row r="35" spans="1:22">
      <c r="A35" s="2"/>
      <c r="H35" s="34"/>
      <c r="I35" s="38"/>
      <c r="J35" s="38"/>
      <c r="O35" s="2"/>
      <c r="R35" s="103" t="s">
        <v>26</v>
      </c>
      <c r="S35" s="132" t="s">
        <v>26</v>
      </c>
      <c r="T35" s="133">
        <f>MATCH(S35, PortfolioData!B:B,0)-PortfolioData!$F$5</f>
        <v>34</v>
      </c>
      <c r="U35" s="104" t="e">
        <f ca="1">OFFSET(PortfolioData!$B$10, T35, $S$10)</f>
        <v>#N/A</v>
      </c>
      <c r="V35" s="104">
        <f ca="1">OFFSET(PortfolioData!$B$10, T35, $S$11)</f>
        <v>3.3626769078890555E-2</v>
      </c>
    </row>
    <row r="36" spans="1:22">
      <c r="A36" s="2"/>
      <c r="D36" s="26"/>
      <c r="E36" s="26"/>
      <c r="F36" s="26"/>
      <c r="G36" s="26"/>
      <c r="I36" s="18"/>
      <c r="J36" s="18"/>
      <c r="O36" s="2"/>
      <c r="R36" s="103"/>
      <c r="S36" s="134"/>
      <c r="T36" s="135"/>
      <c r="U36" s="105"/>
      <c r="V36" s="105"/>
    </row>
    <row r="37" spans="1:22" ht="15">
      <c r="A37" s="2"/>
      <c r="H37" s="40"/>
      <c r="I37" s="40"/>
      <c r="J37" s="40"/>
      <c r="K37" s="40"/>
      <c r="L37" s="40"/>
      <c r="M37" s="40"/>
      <c r="O37" s="2"/>
      <c r="R37" s="106" t="s">
        <v>27</v>
      </c>
      <c r="S37" s="126" t="s">
        <v>67</v>
      </c>
      <c r="T37" s="128">
        <f>MATCH(S37, PortfolioData!B:B,0)-PortfolioData!$F$5</f>
        <v>31</v>
      </c>
      <c r="U37" s="107" t="e">
        <f ca="1">OFFSET(PortfolioData!$B$10, T37, $S$10)</f>
        <v>#N/A</v>
      </c>
      <c r="V37" s="107">
        <f ca="1">OFFSET(PortfolioData!$B$10, T37, $S$11)</f>
        <v>344440.32841654215</v>
      </c>
    </row>
    <row r="38" spans="1:22" ht="12.75" customHeight="1">
      <c r="A38" s="2"/>
      <c r="H38" s="29"/>
      <c r="I38" s="29"/>
      <c r="J38" s="29"/>
      <c r="O38" s="2"/>
    </row>
    <row r="39" spans="1:22">
      <c r="A39" s="2"/>
      <c r="H39" s="35"/>
      <c r="I39" s="35"/>
      <c r="J39" s="35"/>
      <c r="O39" s="2"/>
    </row>
    <row r="40" spans="1:22">
      <c r="A40" s="2"/>
      <c r="H40" s="32"/>
      <c r="I40" s="32"/>
      <c r="J40" s="32"/>
      <c r="O40" s="2"/>
    </row>
    <row r="41" spans="1:22">
      <c r="A41" s="2"/>
      <c r="H41" s="32"/>
      <c r="O41" s="2"/>
    </row>
    <row r="42" spans="1:22">
      <c r="A42" s="2"/>
      <c r="O42" s="2"/>
    </row>
    <row r="43" spans="1:22" ht="12.75" customHeight="1">
      <c r="A43" s="15"/>
      <c r="H43" s="26"/>
      <c r="I43" s="26"/>
      <c r="J43" s="26"/>
      <c r="O43" s="2"/>
    </row>
    <row r="44" spans="1:22" ht="8.25" customHeight="1">
      <c r="A44" s="15"/>
      <c r="O44" s="2"/>
    </row>
    <row r="45" spans="1:22" ht="12.75" customHeight="1">
      <c r="A45" s="3">
        <v>12.75</v>
      </c>
      <c r="B45" s="260" t="s">
        <v>207</v>
      </c>
      <c r="M45" s="259" t="s">
        <v>210</v>
      </c>
      <c r="O45" s="2"/>
    </row>
    <row r="46" spans="1:22" ht="13.5" thickBot="1">
      <c r="A46" s="3">
        <v>12.75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8"/>
      <c r="O46" s="7"/>
    </row>
    <row r="47" spans="1:22" ht="23.25" customHeight="1">
      <c r="A47" s="3">
        <v>23.25</v>
      </c>
      <c r="N47" s="19" t="s">
        <v>2</v>
      </c>
      <c r="O47" s="7"/>
    </row>
    <row r="48" spans="1:22" ht="15" customHeight="1">
      <c r="A48" s="4">
        <v>15</v>
      </c>
      <c r="M48" s="20" t="s">
        <v>242</v>
      </c>
      <c r="O48" s="7"/>
    </row>
    <row r="49" spans="1:53">
      <c r="A49" s="2"/>
      <c r="B49" s="3">
        <v>0.25</v>
      </c>
      <c r="C49" s="3">
        <v>0.75</v>
      </c>
      <c r="D49" s="3">
        <v>37.29</v>
      </c>
      <c r="E49" s="3"/>
      <c r="F49" s="2"/>
      <c r="G49" s="2"/>
      <c r="H49" s="2"/>
      <c r="I49" s="2"/>
      <c r="J49" s="2"/>
      <c r="K49" s="2"/>
      <c r="L49" s="3">
        <v>0.67</v>
      </c>
      <c r="M49" s="3">
        <v>0.33</v>
      </c>
      <c r="N49" s="3">
        <v>0.33</v>
      </c>
      <c r="O49" s="7"/>
      <c r="AB49" s="170" t="s">
        <v>85</v>
      </c>
      <c r="AC49" s="168">
        <v>133</v>
      </c>
      <c r="AD49" s="168">
        <v>80</v>
      </c>
      <c r="AE49" s="168">
        <v>70</v>
      </c>
      <c r="AF49" s="168">
        <v>65</v>
      </c>
      <c r="AG49" s="168">
        <v>66</v>
      </c>
      <c r="AH49" s="168">
        <v>60</v>
      </c>
      <c r="AI49" s="168">
        <v>60</v>
      </c>
      <c r="AJ49" s="168">
        <v>68</v>
      </c>
      <c r="AK49" s="169">
        <v>315</v>
      </c>
    </row>
    <row r="50" spans="1:5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AB50" s="117" t="s">
        <v>84</v>
      </c>
      <c r="AC50" s="131">
        <f>MATCH(AC53, AssetData_Investment!$B$12:$O$12,0)-1</f>
        <v>4</v>
      </c>
      <c r="AD50" s="131">
        <f>MATCH(AD53, AssetData_Investment!$B$12:$O$12,0)-1</f>
        <v>5</v>
      </c>
      <c r="AE50" s="131">
        <f>MATCH(AE53, AssetData_Investment!$B$12:$O$12,0)-1</f>
        <v>6</v>
      </c>
      <c r="AF50" s="172" t="s">
        <v>50</v>
      </c>
      <c r="AG50" s="131">
        <f>MATCH(AG53, AssetData_Investment!$B$12:$O$12,0)-1</f>
        <v>7</v>
      </c>
      <c r="AH50" s="172" t="s">
        <v>50</v>
      </c>
      <c r="AI50" s="131">
        <f>MATCH("Rent (£m)", AssetData_Investment!$B$12:$O$12,0)-1</f>
        <v>8</v>
      </c>
      <c r="AJ50" s="131">
        <f>MATCH(AJ53, AssetData_Investment!$B$12:$O$12,0)-1</f>
        <v>9</v>
      </c>
      <c r="AK50" s="131">
        <f>MATCH(AK53, AssetData_Investment!$B$12:$O$12,0)-1</f>
        <v>10</v>
      </c>
    </row>
    <row r="52" spans="1:53" ht="13.5" customHeight="1">
      <c r="AC52" s="402" t="s">
        <v>247</v>
      </c>
      <c r="AD52" s="402"/>
      <c r="AE52" s="402"/>
      <c r="AF52" s="402"/>
      <c r="AG52" s="402"/>
      <c r="AH52" s="402"/>
      <c r="AI52" s="402"/>
      <c r="AJ52" s="402"/>
      <c r="AK52" s="27"/>
    </row>
    <row r="53" spans="1:53" ht="12.75" customHeight="1">
      <c r="AA53" s="162" t="s">
        <v>82</v>
      </c>
      <c r="AB53" s="163" t="s">
        <v>83</v>
      </c>
      <c r="AC53" s="58" t="s">
        <v>9</v>
      </c>
      <c r="AD53" s="59" t="s">
        <v>10</v>
      </c>
      <c r="AE53" s="412" t="s">
        <v>88</v>
      </c>
      <c r="AF53" s="403" t="s">
        <v>30</v>
      </c>
      <c r="AG53" s="403" t="s">
        <v>22</v>
      </c>
      <c r="AH53" s="403" t="s">
        <v>32</v>
      </c>
      <c r="AI53" s="403" t="s">
        <v>23</v>
      </c>
      <c r="AJ53" s="58" t="s">
        <v>11</v>
      </c>
      <c r="AK53" s="58" t="s">
        <v>12</v>
      </c>
    </row>
    <row r="54" spans="1:53">
      <c r="AA54" s="164"/>
      <c r="AB54" s="165"/>
      <c r="AC54" s="60"/>
      <c r="AD54" s="61"/>
      <c r="AE54" s="413" t="s">
        <v>31</v>
      </c>
      <c r="AF54" s="404"/>
      <c r="AG54" s="404"/>
      <c r="AH54" s="404"/>
      <c r="AI54" s="404"/>
      <c r="AJ54" s="61"/>
      <c r="AK54" s="60"/>
    </row>
    <row r="55" spans="1:53" ht="12.75" customHeight="1">
      <c r="AA55" s="164" t="str">
        <f>$A$1 &amp; "1"</f>
        <v>sbd1</v>
      </c>
      <c r="AB55" s="165">
        <f>MATCH($AA55, AssetData_Investment!A:A,0)-AssetData_Investment!$C$4</f>
        <v>26</v>
      </c>
      <c r="AC55" s="62" t="str">
        <f ca="1">OFFSET(AssetData_Investment!$B$12,$AB55, AC$50)</f>
        <v>One Churchill Pl</v>
      </c>
      <c r="AD55" s="63" t="str">
        <f ca="1">IF(OFFSET(AssetData_Investment!$B$12,$AB55, AD$50)="", "", OFFSET(AssetData_Investment!$B$12,$AB55, AD$50))</f>
        <v>Canary Wharf</v>
      </c>
      <c r="AE55" s="92">
        <f ca="1">MROUND(OFFSET(AssetData_Investment!$B$12,$AB55, AE$50),10)</f>
        <v>740</v>
      </c>
      <c r="AF55" s="65" t="e">
        <f ca="1">AE55/$AE$59</f>
        <v>#N/A</v>
      </c>
      <c r="AG55" s="96">
        <f ca="1">OFFSET(AssetData_Investment!$B$12,$AB55, AG$50)</f>
        <v>1039</v>
      </c>
      <c r="AH55" s="64">
        <f ca="1">MROUND(AE55*1000/AG55,5)</f>
        <v>710</v>
      </c>
      <c r="AI55" s="64">
        <f ca="1">OFFSET(AssetData_Investment!$B$12,$AB55, AI$50)*1000/AG55</f>
        <v>39.46102021174206</v>
      </c>
      <c r="AJ55" s="66">
        <f ca="1">OFFSET(AssetData_Investment!$B$12,$AB55, AJ$50)</f>
        <v>1</v>
      </c>
      <c r="AK55" s="67" t="str">
        <f ca="1">OFFSET(AssetData_Investment!$B$12,$AB55, AK$50)</f>
        <v xml:space="preserve">Mainly leased to Barclays on 25-year lease in '10 </v>
      </c>
    </row>
    <row r="56" spans="1:53">
      <c r="AA56" s="164" t="str">
        <f>$A$1 &amp; "2"</f>
        <v>sbd2</v>
      </c>
      <c r="AB56" s="165">
        <f>MATCH($AA56, AssetData_Investment!A:A,0)-AssetData_Investment!$C$4</f>
        <v>28</v>
      </c>
      <c r="AC56" s="68" t="str">
        <f ca="1">OFFSET(AssetData_Investment!$B$12,$AB56, AC$50)</f>
        <v>One Canada Sq</v>
      </c>
      <c r="AD56" s="69" t="str">
        <f ca="1">IF(OFFSET(AssetData_Investment!$B$12,$AB56, AD$50)="", "", OFFSET(AssetData_Investment!$B$12,$AB56, AD$50))</f>
        <v>Canary Wharf</v>
      </c>
      <c r="AE56" s="93">
        <f ca="1">MROUND(OFFSET(AssetData_Investment!$B$12,$AB56, AE$50),10)</f>
        <v>670</v>
      </c>
      <c r="AF56" s="71" t="e">
        <f ca="1">AE56/$AE$59</f>
        <v>#N/A</v>
      </c>
      <c r="AG56" s="97">
        <f ca="1">OFFSET(AssetData_Investment!$B$12,$AB56, AG$50)</f>
        <v>1221</v>
      </c>
      <c r="AH56" s="72">
        <f ca="1">MROUND(AE56*1000/AG56,5)</f>
        <v>550</v>
      </c>
      <c r="AI56" s="70">
        <f ca="1">OFFSET(AssetData_Investment!$B$12,$AB56, AI$50)*1000/AG56</f>
        <v>31.941031941031941</v>
      </c>
      <c r="AJ56" s="71">
        <f ca="1">OFFSET(AssetData_Investment!$B$12,$AB56, AJ$50)</f>
        <v>0.92</v>
      </c>
      <c r="AK56" s="73" t="str">
        <f ca="1">OFFSET(AssetData_Investment!$B$12,$AB56, AK$50)</f>
        <v>Iconic multi-let tower.  Built in 1991 &amp; ageing well</v>
      </c>
    </row>
    <row r="57" spans="1:53">
      <c r="AA57" s="164" t="str">
        <f>$A$1 &amp; "3"</f>
        <v>sbd3</v>
      </c>
      <c r="AB57" s="165">
        <f>MATCH($AA57, AssetData_Investment!A:A,0)-AssetData_Investment!$C$4</f>
        <v>27</v>
      </c>
      <c r="AC57" s="62" t="str">
        <f ca="1">OFFSET(AssetData_Investment!$B$12,$AB57, AC$50)</f>
        <v>10 Upper Bank St</v>
      </c>
      <c r="AD57" s="63" t="str">
        <f ca="1">IF(OFFSET(AssetData_Investment!$B$12,$AB57, AD$50)="", "", OFFSET(AssetData_Investment!$B$12,$AB57, AD$50))</f>
        <v>Canary Wharf</v>
      </c>
      <c r="AE57" s="94">
        <f ca="1">MROUND(OFFSET(AssetData_Investment!$B$12,$AB57, AE$50),10)</f>
        <v>730</v>
      </c>
      <c r="AF57" s="65" t="e">
        <f ca="1">AE57/$AE$59</f>
        <v>#N/A</v>
      </c>
      <c r="AG57" s="96">
        <f ca="1">OFFSET(AssetData_Investment!$B$12,$AB57, AG$50)</f>
        <v>1000</v>
      </c>
      <c r="AH57" s="64">
        <f ca="1">MROUND(AE57*1000/AG57,5)</f>
        <v>730</v>
      </c>
      <c r="AI57" s="74">
        <f ca="1">OFFSET(AssetData_Investment!$B$12,$AB57, AI$50)*1000/AG57</f>
        <v>44</v>
      </c>
      <c r="AJ57" s="65">
        <f ca="1">OFFSET(AssetData_Investment!$B$12,$AB57, AJ$50)</f>
        <v>1</v>
      </c>
      <c r="AK57" s="75" t="str">
        <f ca="1">OFFSET(AssetData_Investment!$B$12,$AB57, AK$50)</f>
        <v>Fully let to Clifford Chance for c.17 years</v>
      </c>
    </row>
    <row r="58" spans="1:53">
      <c r="AA58" s="166" t="str">
        <f>$A$1 &amp; "Other"</f>
        <v>sbdOther</v>
      </c>
      <c r="AB58" s="165">
        <f>MATCH($AA58, AssetData_Investment!A:A,0)-AssetData_Investment!$C$4</f>
        <v>29</v>
      </c>
      <c r="AC58" s="68" t="str">
        <f ca="1">OFFSET(AssetData_Investment!$B$12,$AB58, AC$50)</f>
        <v>Other London Offices</v>
      </c>
      <c r="AD58" s="171" t="str">
        <f ca="1">IF(OFFSET(AssetData_Investment!$B$12,$AB58, AD$50)="", "", OFFSET(AssetData_Investment!$B$12,$AB58, AD$50))</f>
        <v/>
      </c>
      <c r="AE58" s="93" t="e">
        <f ca="1">MROUND(OFFSET(AssetData_Investment!$B$12,$AB58, AE$50),10)</f>
        <v>#N/A</v>
      </c>
      <c r="AF58" s="71" t="e">
        <f ca="1">AE58/$AE$59</f>
        <v>#N/A</v>
      </c>
      <c r="AG58" s="97" t="e">
        <f ca="1">OFFSET(AssetData_Investment!$B$12,$AB58, AG$50)</f>
        <v>#N/A</v>
      </c>
      <c r="AH58" s="72" t="e">
        <f ca="1">MROUND(AE58*1000/AG58,5)</f>
        <v>#N/A</v>
      </c>
      <c r="AI58" s="70" t="e">
        <f ca="1">OFFSET(AssetData_Investment!$B$12,$AB58, AI$50)*1000/AG58</f>
        <v>#N/A</v>
      </c>
      <c r="AJ58" s="71" t="e">
        <f ca="1">OFFSET(AssetData_Investment!$B$12,$AB58, AJ$50)</f>
        <v>#N/A</v>
      </c>
      <c r="AK58" s="73" t="str">
        <f ca="1">IF(OFFSET(AssetData_Investment!$B$12,$AB58, AK$50)="", "", OFFSET(AssetData_Investment!$B$12,$AB58, AK$50))</f>
        <v/>
      </c>
      <c r="AN58" s="170" t="s">
        <v>85</v>
      </c>
      <c r="AO58" s="168">
        <v>133</v>
      </c>
      <c r="AP58" s="168">
        <v>80</v>
      </c>
      <c r="AQ58" s="168">
        <v>70</v>
      </c>
      <c r="AR58" s="168">
        <v>65</v>
      </c>
      <c r="AS58" s="168">
        <v>66</v>
      </c>
      <c r="AT58" s="168">
        <v>60</v>
      </c>
      <c r="AU58" s="168">
        <v>60</v>
      </c>
      <c r="AV58" s="168">
        <v>68</v>
      </c>
      <c r="AW58" s="168">
        <v>82</v>
      </c>
      <c r="AX58" s="168">
        <v>76</v>
      </c>
      <c r="AY58" s="168">
        <v>81</v>
      </c>
      <c r="AZ58" s="168">
        <v>76</v>
      </c>
      <c r="BA58" s="181">
        <f>SUM(AO58:AZ58)</f>
        <v>917</v>
      </c>
    </row>
    <row r="59" spans="1:53" ht="14.25" customHeight="1" thickBot="1">
      <c r="AC59" s="53" t="s">
        <v>25</v>
      </c>
      <c r="AD59" s="54"/>
      <c r="AE59" s="95" t="e">
        <f ca="1">SUM(AE55:AE58)</f>
        <v>#N/A</v>
      </c>
      <c r="AF59" s="55" t="e">
        <f ca="1">SUM(AF55:AF58)</f>
        <v>#N/A</v>
      </c>
      <c r="AG59" s="98" t="e">
        <f ca="1">SUM(AG55:AG58)</f>
        <v>#N/A</v>
      </c>
      <c r="AH59" s="56" t="e">
        <f ca="1">MROUND(SUMPRODUCT(AH55:AH58,$AG$55:$AG$58)/SUMPRODUCT($AG$55:$AG$58),5)</f>
        <v>#N/A</v>
      </c>
      <c r="AI59" s="56" t="e">
        <f ca="1">SUMPRODUCT(AI55:AI58,$AG$55:$AG$58)/SUM($AG$55:$AG$58)</f>
        <v>#N/A</v>
      </c>
      <c r="AJ59" s="55" t="e">
        <f ca="1">SUMPRODUCT(AJ55:AJ58,$AG$55:$AG$58)/SUM($AG$55:$AG$58)</f>
        <v>#N/A</v>
      </c>
      <c r="AK59" s="57"/>
      <c r="AN59" s="166" t="s">
        <v>84</v>
      </c>
      <c r="AO59" s="179">
        <f>MATCH(AO63, AssetData_Developments!$B$12:$S$12, 0)-1</f>
        <v>4</v>
      </c>
      <c r="AP59" s="179">
        <f>MATCH(AP63, AssetData_Developments!$B$12:$S$12, 0)-1</f>
        <v>6</v>
      </c>
      <c r="AQ59" s="179">
        <f>MATCH(AQ63, AssetData_Developments!$B$12:$S$12, 0)-1</f>
        <v>7</v>
      </c>
      <c r="AR59" s="180" t="s">
        <v>50</v>
      </c>
      <c r="AS59" s="179">
        <f>MATCH(AS63, AssetData_Developments!$B$12:$S$12, 0)-1</f>
        <v>8</v>
      </c>
      <c r="AT59" s="180" t="s">
        <v>50</v>
      </c>
      <c r="AU59" s="179">
        <f>MATCH("Rent (£m)", AssetData_Developments!$B$12:$S$12, 0)-1</f>
        <v>9</v>
      </c>
      <c r="AV59" s="179">
        <f>MATCH(AV63, AssetData_Developments!$B$12:$S$12, 0)-1</f>
        <v>10</v>
      </c>
      <c r="AW59" s="179">
        <f>MATCH(AW63, AssetData_Developments!$B$12:$S$12, 0)-1</f>
        <v>11</v>
      </c>
      <c r="AX59" s="179">
        <f>MATCH(AX63, AssetData_Developments!$B$12:$S$12, 0)-1</f>
        <v>12</v>
      </c>
      <c r="AY59" s="179">
        <f>MATCH(AY63, AssetData_Developments!$B$12:$S$12, 0)-1</f>
        <v>13</v>
      </c>
      <c r="AZ59" s="179">
        <f>MATCH(AZ63, AssetData_Developments!$B$12:$S$12, 0)-1</f>
        <v>14</v>
      </c>
    </row>
    <row r="61" spans="1:53">
      <c r="AC61" t="s">
        <v>227</v>
      </c>
      <c r="AE61">
        <v>10</v>
      </c>
      <c r="AH61">
        <v>5</v>
      </c>
      <c r="AI61">
        <v>1</v>
      </c>
    </row>
    <row r="62" spans="1:53" ht="13.5" customHeight="1">
      <c r="AO62" s="409" t="s">
        <v>248</v>
      </c>
      <c r="AP62" s="409"/>
      <c r="AQ62" s="409"/>
      <c r="AR62" s="409"/>
      <c r="AS62" s="409"/>
      <c r="AT62" s="409"/>
      <c r="AU62" s="409"/>
      <c r="AV62" s="409"/>
      <c r="AW62" s="409"/>
      <c r="AX62" s="43"/>
      <c r="AY62" s="43"/>
      <c r="AZ62" s="44"/>
    </row>
    <row r="63" spans="1:53" ht="12.75" customHeight="1">
      <c r="AM63" s="162" t="s">
        <v>82</v>
      </c>
      <c r="AN63" s="163" t="s">
        <v>83</v>
      </c>
      <c r="AO63" s="58" t="s">
        <v>9</v>
      </c>
      <c r="AP63" s="76" t="s">
        <v>10</v>
      </c>
      <c r="AQ63" s="400" t="s">
        <v>16</v>
      </c>
      <c r="AR63" s="400" t="s">
        <v>33</v>
      </c>
      <c r="AS63" s="400" t="s">
        <v>22</v>
      </c>
      <c r="AT63" s="400" t="s">
        <v>24</v>
      </c>
      <c r="AU63" s="400" t="s">
        <v>23</v>
      </c>
      <c r="AV63" s="1" t="s">
        <v>20</v>
      </c>
      <c r="AW63" s="400" t="s">
        <v>34</v>
      </c>
      <c r="AX63" s="400" t="s">
        <v>36</v>
      </c>
      <c r="AY63" s="400" t="s">
        <v>35</v>
      </c>
      <c r="AZ63" s="400" t="s">
        <v>15</v>
      </c>
    </row>
    <row r="64" spans="1:53">
      <c r="AM64" s="164"/>
      <c r="AN64" s="165"/>
      <c r="AO64" s="77"/>
      <c r="AP64" s="78"/>
      <c r="AQ64" s="401"/>
      <c r="AR64" s="401"/>
      <c r="AS64" s="401"/>
      <c r="AT64" s="401"/>
      <c r="AU64" s="401"/>
      <c r="AV64" s="79"/>
      <c r="AW64" s="401"/>
      <c r="AX64" s="401"/>
      <c r="AY64" s="401"/>
      <c r="AZ64" s="401"/>
    </row>
    <row r="65" spans="39:52">
      <c r="AM65" s="164" t="str">
        <f>$A$1 &amp; "1"</f>
        <v>sbd1</v>
      </c>
      <c r="AN65" s="165">
        <f>MATCH($AM65, AssetData_Developments!A:A,0)-AssetData_Developments!$C$4</f>
        <v>26</v>
      </c>
      <c r="AO65" s="80" t="str">
        <f ca="1">OFFSET(AssetData_Developments!$B$12, $AN65,AO$59)</f>
        <v>20 Fenchurch St (10%)</v>
      </c>
      <c r="AP65" s="81" t="str">
        <f ca="1">IF(OFFSET(AssetData_Developments!$B$12, $AN65,AP$59)="", "", OFFSET(AssetData_Developments!$B$12, $AN65,AP$59))</f>
        <v>City</v>
      </c>
      <c r="AQ65" s="82">
        <f ca="1">MROUND(OFFSET(AssetData_Developments!$B$12, $AN65,AQ$59),10)</f>
        <v>20</v>
      </c>
      <c r="AR65" s="83">
        <f ca="1">AQ65/$AQ$69</f>
        <v>0.22222222222222221</v>
      </c>
      <c r="AS65" s="255">
        <f ca="1">OFFSET(AssetData_Developments!$B$12, $AN65,AS$59)</f>
        <v>28.441800000000001</v>
      </c>
      <c r="AT65" s="85">
        <f ca="1">MROUND(AQ65*1000/AS65,5)</f>
        <v>705</v>
      </c>
      <c r="AU65" s="85">
        <f ca="1">OFFSET(AssetData_Developments!$B$12, $AN65,AU$59)*1000/AS65</f>
        <v>56.499999999999993</v>
      </c>
      <c r="AV65" s="86">
        <f ca="1">OFFSET(AssetData_Developments!$B$12, $AN65,AV$59)</f>
        <v>1</v>
      </c>
      <c r="AW65" s="87">
        <f ca="1">OFFSET(AssetData_Developments!$B$12, $AN65,AW$59)</f>
        <v>8.6926539999999997E-2</v>
      </c>
      <c r="AX65" s="87">
        <f ca="1">OFFSET(AssetData_Developments!$B$12, $AN65,AX$59)</f>
        <v>4.7500000000000001E-2</v>
      </c>
      <c r="AY65" s="263">
        <f ca="1">OFFSET(AssetData_Developments!$B$12, $AN65,AY$59)</f>
        <v>0.73052718000000005</v>
      </c>
      <c r="AZ65" s="188" t="str">
        <f ca="1">OFFSET(AssetData_Developments!$B$12, $AN65,AZ$59)</f>
        <v>Q3 '16</v>
      </c>
    </row>
    <row r="66" spans="39:52">
      <c r="AM66" s="164" t="str">
        <f>$A$1 &amp; "2"</f>
        <v>sbd2</v>
      </c>
      <c r="AN66" s="165">
        <f>MATCH($AM66, AssetData_Developments!A:A,0)-AssetData_Developments!$C$4</f>
        <v>27</v>
      </c>
      <c r="AO66" s="68" t="str">
        <f ca="1">OFFSET(AssetData_Developments!$B$12, $AN66,AO$59)</f>
        <v>25 Churchill Place</v>
      </c>
      <c r="AP66" s="69" t="str">
        <f ca="1">IF(OFFSET(AssetData_Developments!$B$12, $AN66,AP$59)="", "", OFFSET(AssetData_Developments!$B$12, $AN66,AP$59))</f>
        <v>Canary Wharf</v>
      </c>
      <c r="AQ66" s="93">
        <f ca="1">MROUND(OFFSET(AssetData_Developments!$B$12, $AN66,AQ$59),10)</f>
        <v>70</v>
      </c>
      <c r="AR66" s="216">
        <f ca="1">AQ66/$AQ$69</f>
        <v>0.77777777777777779</v>
      </c>
      <c r="AS66" s="256">
        <f ca="1">OFFSET(AssetData_Developments!$B$12, $AN66,AS$59)</f>
        <v>92.6</v>
      </c>
      <c r="AT66" s="70">
        <f ca="1">MROUND(AQ66*1000/AS66,5)</f>
        <v>755</v>
      </c>
      <c r="AU66" s="70">
        <f ca="1">OFFSET(AssetData_Developments!$B$12, $AN66,AU$59)*1000/AS66</f>
        <v>54.91360691144709</v>
      </c>
      <c r="AV66" s="218">
        <f ca="1">OFFSET(AssetData_Developments!$B$12, $AN66,AV$59)</f>
        <v>0.95</v>
      </c>
      <c r="AW66" s="219">
        <f ca="1">OFFSET(AssetData_Developments!$B$12, $AN66,AW$59)</f>
        <v>6.4000000000000001E-2</v>
      </c>
      <c r="AX66" s="219">
        <f ca="1">OFFSET(AssetData_Developments!$B$12, $AN66,AX$59)</f>
        <v>0.05</v>
      </c>
      <c r="AY66" s="71">
        <f ca="1">OFFSET(AssetData_Developments!$B$12, $AN66,AY$59)</f>
        <v>0.27700000000000002</v>
      </c>
      <c r="AZ66" s="220" t="str">
        <f ca="1">OFFSET(AssetData_Developments!$B$12, $AN66,AZ$59)</f>
        <v>Q1 '14</v>
      </c>
    </row>
    <row r="67" spans="39:52" hidden="1">
      <c r="AM67" s="164" t="str">
        <f>$A$1 &amp; "3"</f>
        <v>sbd3</v>
      </c>
      <c r="AN67" s="165">
        <f>MATCH($AM67, AssetData_Developments!A:A,0)-AssetData_Developments!$C$4</f>
        <v>28</v>
      </c>
      <c r="AO67" s="80"/>
      <c r="AP67" s="81"/>
      <c r="AQ67" s="82"/>
      <c r="AR67" s="83"/>
      <c r="AS67" s="255"/>
      <c r="AT67" s="85"/>
      <c r="AU67" s="85"/>
      <c r="AV67" s="86"/>
      <c r="AW67" s="87"/>
      <c r="AX67" s="87"/>
      <c r="AY67" s="263"/>
      <c r="AZ67" s="188"/>
    </row>
    <row r="68" spans="39:52" hidden="1">
      <c r="AM68" s="166" t="str">
        <f>$A$1 &amp; "Other"</f>
        <v>sbdOther</v>
      </c>
      <c r="AN68" s="167">
        <f>MATCH($AM68, AssetData_Developments!A:A,0)-AssetData_Developments!$C$4</f>
        <v>29</v>
      </c>
      <c r="AO68" s="68"/>
      <c r="AP68" s="69"/>
      <c r="AQ68" s="93"/>
      <c r="AR68" s="216"/>
      <c r="AS68" s="256"/>
      <c r="AT68" s="70"/>
      <c r="AU68" s="70"/>
      <c r="AV68" s="218"/>
      <c r="AW68" s="219"/>
      <c r="AX68" s="219"/>
      <c r="AY68" s="71"/>
      <c r="AZ68" s="220"/>
    </row>
    <row r="69" spans="39:52" ht="14.25" customHeight="1" thickBot="1">
      <c r="AM69" s="166" t="s">
        <v>244</v>
      </c>
      <c r="AN69" s="167">
        <f>MATCH($AM69, AssetData_Developments!A:A,0)-AssetData_Developments!$C$4</f>
        <v>30</v>
      </c>
      <c r="AO69" s="48" t="s">
        <v>25</v>
      </c>
      <c r="AP69" s="49"/>
      <c r="AQ69" s="91">
        <f ca="1">SUM(AQ65:AQ68)</f>
        <v>90</v>
      </c>
      <c r="AR69" s="89">
        <f ca="1">SUM(AR65:AR68)</f>
        <v>1</v>
      </c>
      <c r="AS69" s="257">
        <f ca="1">SUM(AS65:AS68)</f>
        <v>121.04179999999999</v>
      </c>
      <c r="AT69" s="50">
        <f ca="1">MROUND(SUMPRODUCT(AT65:AT68,$AS$65:$AS$68)/$AS$69,5)</f>
        <v>745</v>
      </c>
      <c r="AU69" s="50">
        <f ca="1">SUMPRODUCT(AU65:AU68,$AS$65:$AS$68)/$AS$69</f>
        <v>55.286369667338064</v>
      </c>
      <c r="AV69" s="51">
        <f ca="1">OFFSET(AssetData_Developments!$B$12, $AN69,AV$59)</f>
        <v>0.9600484561630086</v>
      </c>
      <c r="AW69" s="52">
        <f ca="1">OFFSET(AssetData_Developments!$B$12, $AN69,AW$59)</f>
        <v>6.8000000000000005E-2</v>
      </c>
      <c r="AX69" s="52">
        <f ca="1">OFFSET(AssetData_Developments!$B$12, $AN69,AX$59)</f>
        <v>0.05</v>
      </c>
      <c r="AY69" s="51">
        <f ca="1">OFFSET(AssetData_Developments!$B$12, $AN69,AY$59)</f>
        <v>0.36814495973925782</v>
      </c>
      <c r="AZ69" s="48"/>
    </row>
    <row r="71" spans="39:52">
      <c r="AO71" t="s">
        <v>227</v>
      </c>
      <c r="AQ71">
        <v>10</v>
      </c>
      <c r="AT71">
        <v>5</v>
      </c>
      <c r="AU71">
        <v>1</v>
      </c>
    </row>
    <row r="73" spans="39:52">
      <c r="AO73" s="279" t="s">
        <v>245</v>
      </c>
      <c r="AP73" s="279"/>
      <c r="AQ73" s="279"/>
      <c r="AR73" s="279"/>
      <c r="AS73" s="279"/>
      <c r="AT73" s="279"/>
      <c r="AU73" s="279"/>
      <c r="AV73" s="280">
        <f ca="1">SUMPRODUCT(AV65:AV68,$AS$65:$AS$68)/$AS$69</f>
        <v>0.96174875125782988</v>
      </c>
      <c r="AW73" s="281">
        <f ca="1">SUMPRODUCT(AW65:AW68,$AS$65:$AS$68)/$AS$69</f>
        <v>6.9387164313253771E-2</v>
      </c>
      <c r="AX73" s="281">
        <f ca="1">SUMPRODUCT(AX65:AX68,$AS$65:$AS$68)/$AS$69</f>
        <v>4.9412562437108502E-2</v>
      </c>
      <c r="AY73" s="282">
        <f ca="1">SUMPRODUCT(AY65:AY68,$AS$65:$AS$68)/$AS$69</f>
        <v>0.38356756052970137</v>
      </c>
      <c r="AZ73" s="279"/>
    </row>
  </sheetData>
  <mergeCells count="21">
    <mergeCell ref="AZ63:AZ64"/>
    <mergeCell ref="AT63:AT64"/>
    <mergeCell ref="AC52:AJ52"/>
    <mergeCell ref="AG53:AG54"/>
    <mergeCell ref="AF53:AF54"/>
    <mergeCell ref="AX63:AX64"/>
    <mergeCell ref="AY63:AY64"/>
    <mergeCell ref="J10:M10"/>
    <mergeCell ref="AS63:AS64"/>
    <mergeCell ref="D5:D6"/>
    <mergeCell ref="K5:N5"/>
    <mergeCell ref="AO62:AW62"/>
    <mergeCell ref="AU63:AU64"/>
    <mergeCell ref="AR63:AR64"/>
    <mergeCell ref="G10:H10"/>
    <mergeCell ref="AW63:AW64"/>
    <mergeCell ref="AH53:AH54"/>
    <mergeCell ref="H25:M26"/>
    <mergeCell ref="AI53:AI54"/>
    <mergeCell ref="AE53:AE54"/>
    <mergeCell ref="AQ63:AQ64"/>
  </mergeCells>
  <phoneticPr fontId="0" type="noConversion"/>
  <pageMargins left="0.47244094488188981" right="0.47244094488188981" top="0.27559055118110237" bottom="7.874015748031496E-2" header="0.51181102362204722" footer="0.51181102362204722"/>
  <pageSetup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14"/>
  </sheetPr>
  <dimension ref="A1"/>
  <sheetViews>
    <sheetView workbookViewId="0"/>
  </sheetViews>
  <sheetFormatPr defaultRowHeight="12.75"/>
  <sheetData/>
  <phoneticPr fontId="10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22"/>
  </sheetPr>
  <dimension ref="A1:R113"/>
  <sheetViews>
    <sheetView workbookViewId="0">
      <pane ySplit="10" topLeftCell="A11" activePane="bottomLeft" state="frozen"/>
      <selection pane="bottomLeft" activeCell="H26" sqref="H23:H26"/>
    </sheetView>
  </sheetViews>
  <sheetFormatPr defaultRowHeight="12.75" outlineLevelCol="1"/>
  <cols>
    <col min="1" max="1" width="9.140625" style="2"/>
    <col min="2" max="2" width="19.85546875" bestFit="1" customWidth="1"/>
    <col min="3" max="4" width="19.85546875" customWidth="1" outlineLevel="1"/>
    <col min="5" max="5" width="18" customWidth="1"/>
    <col min="6" max="6" width="16.5703125" bestFit="1" customWidth="1"/>
    <col min="7" max="7" width="14" bestFit="1" customWidth="1"/>
    <col min="8" max="8" width="14.42578125" bestFit="1" customWidth="1"/>
    <col min="9" max="11" width="13.28515625" customWidth="1"/>
    <col min="12" max="12" width="18.5703125" style="2" bestFit="1" customWidth="1"/>
  </cols>
  <sheetData>
    <row r="1" spans="1:12">
      <c r="E1" s="149" t="s">
        <v>77</v>
      </c>
      <c r="F1" s="416" t="s">
        <v>78</v>
      </c>
      <c r="G1" s="417"/>
    </row>
    <row r="2" spans="1:12">
      <c r="E2" s="150"/>
      <c r="F2" s="418" t="s">
        <v>79</v>
      </c>
      <c r="G2" s="419"/>
    </row>
    <row r="3" spans="1:12">
      <c r="E3" s="150"/>
      <c r="F3" s="422" t="s">
        <v>183</v>
      </c>
      <c r="G3" s="423"/>
    </row>
    <row r="4" spans="1:12" ht="13.5" thickBot="1">
      <c r="E4" s="151"/>
      <c r="F4" s="420" t="s">
        <v>80</v>
      </c>
      <c r="G4" s="421"/>
    </row>
    <row r="5" spans="1:12">
      <c r="C5" s="39"/>
      <c r="E5" s="166" t="s">
        <v>86</v>
      </c>
      <c r="F5" s="167">
        <f>ROW(B10)</f>
        <v>10</v>
      </c>
    </row>
    <row r="7" spans="1:12">
      <c r="A7" s="158"/>
    </row>
    <row r="8" spans="1:12">
      <c r="A8" s="159"/>
      <c r="B8" s="115" t="s">
        <v>52</v>
      </c>
      <c r="C8" s="115"/>
      <c r="D8" s="115"/>
      <c r="E8" s="237">
        <v>42282</v>
      </c>
      <c r="F8" s="237"/>
      <c r="G8" s="237">
        <v>42282</v>
      </c>
      <c r="H8" s="237">
        <v>42282</v>
      </c>
      <c r="I8" s="237">
        <v>42282</v>
      </c>
      <c r="J8" s="277"/>
      <c r="K8" s="187"/>
    </row>
    <row r="9" spans="1:12">
      <c r="A9" s="159"/>
      <c r="B9" s="116" t="s">
        <v>53</v>
      </c>
      <c r="C9" s="116"/>
      <c r="D9" s="116"/>
      <c r="E9" s="114" t="s">
        <v>312</v>
      </c>
      <c r="F9" s="114"/>
      <c r="G9" s="114" t="s">
        <v>312</v>
      </c>
      <c r="H9" s="114" t="s">
        <v>312</v>
      </c>
      <c r="I9" s="114" t="s">
        <v>312</v>
      </c>
      <c r="J9" s="114"/>
      <c r="K9" s="114"/>
    </row>
    <row r="10" spans="1:12">
      <c r="A10" s="158"/>
      <c r="B10" s="154" t="s">
        <v>43</v>
      </c>
      <c r="C10" s="154"/>
      <c r="D10" s="154"/>
      <c r="E10" s="113" t="s">
        <v>3</v>
      </c>
      <c r="F10" s="113"/>
      <c r="G10" s="113" t="s">
        <v>44</v>
      </c>
      <c r="H10" s="113" t="s">
        <v>45</v>
      </c>
      <c r="I10" s="113" t="s">
        <v>46</v>
      </c>
      <c r="J10" s="113"/>
      <c r="K10" s="113"/>
      <c r="L10" s="113" t="s">
        <v>57</v>
      </c>
    </row>
    <row r="11" spans="1:12">
      <c r="A11" s="158"/>
      <c r="B11" s="154" t="s">
        <v>42</v>
      </c>
      <c r="C11" s="154"/>
      <c r="D11" s="154"/>
      <c r="E11" s="144">
        <v>3</v>
      </c>
      <c r="F11" s="144"/>
      <c r="G11" s="144">
        <v>5</v>
      </c>
      <c r="H11" s="144">
        <v>6</v>
      </c>
      <c r="I11" s="144">
        <v>7</v>
      </c>
      <c r="J11" s="144"/>
      <c r="K11" s="144"/>
      <c r="L11" s="144">
        <v>10</v>
      </c>
    </row>
    <row r="12" spans="1:12">
      <c r="A12" s="158"/>
      <c r="B12" s="155" t="s">
        <v>5</v>
      </c>
      <c r="C12" s="155"/>
      <c r="D12" s="155"/>
      <c r="E12" s="46" t="s">
        <v>54</v>
      </c>
      <c r="F12" s="233"/>
      <c r="G12" s="46" t="s">
        <v>55</v>
      </c>
      <c r="H12" s="46" t="s">
        <v>51</v>
      </c>
      <c r="I12" s="46" t="s">
        <v>56</v>
      </c>
      <c r="J12" s="233"/>
      <c r="K12" s="233"/>
      <c r="L12" s="160" t="s">
        <v>69</v>
      </c>
    </row>
    <row r="13" spans="1:12">
      <c r="A13" s="158"/>
      <c r="F13" s="18"/>
      <c r="J13" s="18"/>
      <c r="K13" s="18"/>
    </row>
    <row r="14" spans="1:12">
      <c r="A14" s="158"/>
      <c r="B14" s="121" t="s">
        <v>29</v>
      </c>
      <c r="C14" s="121"/>
      <c r="D14" s="121"/>
      <c r="E14" s="120"/>
      <c r="F14" s="235"/>
      <c r="G14" s="120"/>
      <c r="H14" s="120"/>
      <c r="I14" s="120"/>
      <c r="J14" s="235"/>
      <c r="K14" s="235"/>
      <c r="L14" s="147"/>
    </row>
    <row r="15" spans="1:12">
      <c r="A15" s="158"/>
      <c r="B15" s="156" t="s">
        <v>170</v>
      </c>
      <c r="C15" s="201" t="s">
        <v>100</v>
      </c>
      <c r="D15" s="202">
        <f>MATCH(C15, PET!$D$4:$AI$4, FALSE)</f>
        <v>7</v>
      </c>
      <c r="E15" s="203" t="str">
        <f>VLOOKUP(E$10, PET!$D$5:$AI$75, $D15, FALSE)</f>
        <v>London Office</v>
      </c>
      <c r="F15" s="208"/>
      <c r="G15" s="203" t="str">
        <f>VLOOKUP(G$10, PET!$D$5:$AI$75, $D15, FALSE)</f>
        <v>London Office</v>
      </c>
      <c r="H15" s="283" t="str">
        <f>VLOOKUP(H$10, PET!$D$5:$AI$75, $D15, FALSE)</f>
        <v>London Office</v>
      </c>
      <c r="I15" s="283" t="str">
        <f>VLOOKUP(I$10, PET!$D$5:$AI$75, $D15, FALSE)</f>
        <v>London Office</v>
      </c>
      <c r="J15" s="208"/>
      <c r="K15" s="298"/>
    </row>
    <row r="16" spans="1:12">
      <c r="A16" s="158"/>
      <c r="B16" s="196" t="s">
        <v>187</v>
      </c>
      <c r="C16" s="239"/>
      <c r="D16" s="240"/>
      <c r="E16" s="241" t="str">
        <f>IF(E15="Diversified", "Other", E15)</f>
        <v>London Office</v>
      </c>
      <c r="F16" s="210"/>
      <c r="G16" s="241" t="str">
        <f>IF(G15="Diversified", "Other", G15)</f>
        <v>London Office</v>
      </c>
      <c r="H16" s="284" t="str">
        <f>IF(H15="Diversified", "Other", H15)</f>
        <v>London Office</v>
      </c>
      <c r="I16" s="284" t="str">
        <f>IF(I15="Diversified", "Other", I15)</f>
        <v>London Office</v>
      </c>
      <c r="J16" s="210"/>
      <c r="K16" s="299"/>
    </row>
    <row r="17" spans="1:16">
      <c r="A17" s="158"/>
      <c r="B17" s="242" t="s">
        <v>193</v>
      </c>
      <c r="C17" s="239"/>
      <c r="D17" s="240"/>
      <c r="E17" s="300">
        <f>E18/($E$35*1000)</f>
        <v>0.44842330304649919</v>
      </c>
      <c r="F17" s="300"/>
      <c r="G17" s="243">
        <f>G18/($G$35*1000)</f>
        <v>0.44567308864336408</v>
      </c>
      <c r="H17" s="243">
        <f>4580/4879.9</f>
        <v>0.93854382261931601</v>
      </c>
      <c r="I17" s="243">
        <v>0.68</v>
      </c>
      <c r="J17" s="300"/>
      <c r="K17" s="299"/>
      <c r="M17" s="254"/>
      <c r="P17" s="254"/>
    </row>
    <row r="18" spans="1:16">
      <c r="A18" s="158"/>
      <c r="B18" s="157" t="s">
        <v>171</v>
      </c>
      <c r="C18" s="204" t="s">
        <v>122</v>
      </c>
      <c r="D18" s="205">
        <f>MATCH(C18, PET!$D$4:$AI$4, FALSE)</f>
        <v>29</v>
      </c>
      <c r="E18" s="206">
        <f>VLOOKUP(E$10, PET!$D$5:$AI$75, $D18, FALSE)</f>
        <v>5873000</v>
      </c>
      <c r="F18" s="301"/>
      <c r="G18" s="206">
        <f>VLOOKUP(G$10, PET!$D$5:$AI$75, $D18, FALSE)</f>
        <v>5782.4840068100002</v>
      </c>
      <c r="H18" s="206">
        <f>VLOOKUP(H$10, PET!$D$5:$AI$75, $D18, FALSE)*H17</f>
        <v>3006309.9872795395</v>
      </c>
      <c r="I18" s="206">
        <f>VLOOKUP(I$10, PET!$D$5:$AI$75, $D18, FALSE)*I17</f>
        <v>1184466.4323640722</v>
      </c>
      <c r="J18" s="301"/>
      <c r="K18" s="235"/>
      <c r="P18" s="254"/>
    </row>
    <row r="19" spans="1:16">
      <c r="A19" s="158"/>
      <c r="B19" s="196" t="s">
        <v>172</v>
      </c>
      <c r="C19" s="197" t="s">
        <v>102</v>
      </c>
      <c r="D19" s="198">
        <f>MATCH(C19, PET!$D$4:$AI$4, FALSE)</f>
        <v>9</v>
      </c>
      <c r="E19" s="46" t="str">
        <f>VLOOKUP(E$10, PET!$D$5:$AI$75, $D19, FALSE)</f>
        <v>UK Retail</v>
      </c>
      <c r="F19" s="233"/>
      <c r="G19" s="46" t="str">
        <f>VLOOKUP(G$10, PET!$D$5:$AI$75, $D19, FALSE)</f>
        <v>UK Retail</v>
      </c>
      <c r="H19" s="285" t="s">
        <v>131</v>
      </c>
      <c r="I19" s="285" t="s">
        <v>131</v>
      </c>
      <c r="J19" s="233"/>
      <c r="K19" s="18"/>
      <c r="P19" s="254"/>
    </row>
    <row r="20" spans="1:16">
      <c r="A20" s="158"/>
      <c r="B20" s="196" t="s">
        <v>188</v>
      </c>
      <c r="C20" s="197"/>
      <c r="D20" s="198"/>
      <c r="E20" s="241" t="str">
        <f>IF(E19="Diversified", "Other", E19)</f>
        <v>UK Retail</v>
      </c>
      <c r="F20" s="210"/>
      <c r="G20" s="241" t="str">
        <f>IF(G19="Diversified", "Other", G19)</f>
        <v>UK Retail</v>
      </c>
      <c r="H20" s="284" t="str">
        <f>IF(H19="Diversified", "Other", H19)</f>
        <v>Retail</v>
      </c>
      <c r="I20" s="284" t="str">
        <f>IF(I19="Diversified", "Other", I19)</f>
        <v>Retail</v>
      </c>
      <c r="J20" s="233"/>
      <c r="K20" s="18"/>
    </row>
    <row r="21" spans="1:16">
      <c r="A21" s="158"/>
      <c r="B21" s="242" t="s">
        <v>194</v>
      </c>
      <c r="C21" s="197"/>
      <c r="D21" s="198"/>
      <c r="E21" s="300">
        <f>E22/($E$35*1000)</f>
        <v>0.52004275788348475</v>
      </c>
      <c r="F21" s="300"/>
      <c r="G21" s="243">
        <f>G22/($G$35*1000)</f>
        <v>0.55432691135663592</v>
      </c>
      <c r="H21" s="243">
        <f>1-H17</f>
        <v>6.1456177380683985E-2</v>
      </c>
      <c r="I21" s="243">
        <v>0.25</v>
      </c>
      <c r="J21" s="300"/>
      <c r="K21" s="18"/>
    </row>
    <row r="22" spans="1:16">
      <c r="A22" s="158"/>
      <c r="B22" s="196" t="s">
        <v>173</v>
      </c>
      <c r="C22" s="197" t="s">
        <v>123</v>
      </c>
      <c r="D22" s="198">
        <f>MATCH(C22, PET!$D$4:$AI$4, FALSE)</f>
        <v>30</v>
      </c>
      <c r="E22" s="199">
        <f>VLOOKUP(E$10, PET!$D$5:$AI$75, $D22, FALSE)</f>
        <v>6811000</v>
      </c>
      <c r="F22" s="302"/>
      <c r="G22" s="199">
        <f>VLOOKUP(G$10, PET!$D$5:$AI$75, $D22, FALSE)</f>
        <v>7192.2370480600002</v>
      </c>
      <c r="H22" s="206">
        <f>VLOOKUP(H$10, PET!$D$5:$AI$75, $D18, FALSE)*H21</f>
        <v>196854.22820636095</v>
      </c>
      <c r="I22" s="206">
        <f>VLOOKUP(I$10, PET!$D$5:$AI$75, $D18, FALSE)*I21</f>
        <v>435465.60013385001</v>
      </c>
      <c r="J22" s="302"/>
      <c r="K22" s="18"/>
    </row>
    <row r="23" spans="1:16">
      <c r="A23" s="158"/>
      <c r="B23" s="156" t="s">
        <v>175</v>
      </c>
      <c r="C23" s="201" t="s">
        <v>104</v>
      </c>
      <c r="D23" s="202">
        <f>MATCH(C23, PET!$D$4:$AI$4, FALSE)</f>
        <v>11</v>
      </c>
      <c r="E23" s="203" t="str">
        <f>VLOOKUP(E$10, PET!$D$5:$AI$75, $D23, FALSE)</f>
        <v>Other</v>
      </c>
      <c r="F23" s="208"/>
      <c r="G23" s="203" t="str">
        <f>VLOOKUP(G$10, PET!$D$5:$AI$75, $D23, FALSE)</f>
        <v>ALL</v>
      </c>
      <c r="H23" s="283"/>
      <c r="I23" s="287" t="s">
        <v>14</v>
      </c>
      <c r="J23" s="208"/>
      <c r="K23" s="298"/>
    </row>
    <row r="24" spans="1:16">
      <c r="A24" s="158"/>
      <c r="B24" s="196" t="s">
        <v>189</v>
      </c>
      <c r="C24" s="239"/>
      <c r="D24" s="240"/>
      <c r="E24" s="241" t="str">
        <f>IF(E23="Diversified", "Other", E23)</f>
        <v>Other</v>
      </c>
      <c r="F24" s="210"/>
      <c r="G24" s="241" t="str">
        <f>IF(G23="Diversified", "Other", G23)</f>
        <v>ALL</v>
      </c>
      <c r="H24" s="284"/>
      <c r="I24" s="288" t="s">
        <v>14</v>
      </c>
      <c r="J24" s="210"/>
      <c r="K24" s="299"/>
    </row>
    <row r="25" spans="1:16">
      <c r="A25" s="158"/>
      <c r="B25" s="242" t="s">
        <v>195</v>
      </c>
      <c r="C25" s="239"/>
      <c r="D25" s="240"/>
      <c r="E25" s="300">
        <f>E26/($E$35*1000)</f>
        <v>3.1533939070016032E-2</v>
      </c>
      <c r="F25" s="300"/>
      <c r="G25" s="243">
        <f>G26/($G$35*1000)</f>
        <v>0</v>
      </c>
      <c r="H25" s="243"/>
      <c r="I25" s="243">
        <v>7.0000000000000007E-2</v>
      </c>
      <c r="J25" s="300"/>
      <c r="K25" s="299"/>
      <c r="O25" s="286" t="s">
        <v>310</v>
      </c>
    </row>
    <row r="26" spans="1:16">
      <c r="A26" s="158"/>
      <c r="B26" s="157" t="s">
        <v>176</v>
      </c>
      <c r="C26" s="204" t="s">
        <v>124</v>
      </c>
      <c r="D26" s="205">
        <f>MATCH(C26, PET!$D$4:$AI$4, FALSE)</f>
        <v>31</v>
      </c>
      <c r="E26" s="308">
        <f>VLOOKUP(E$10, PET!$D$5:$AI$75, $D26, FALSE)</f>
        <v>413000</v>
      </c>
      <c r="F26" s="309"/>
      <c r="G26" s="308">
        <f>VLOOKUP(G$10, PET!$D$5:$AI$75, $D26, FALSE)</f>
        <v>0</v>
      </c>
      <c r="H26" s="310"/>
      <c r="I26" s="308">
        <f>VLOOKUP(I$10, PET!$D$5:$AI$75, $D18, FALSE)*I25</f>
        <v>121930.36803747801</v>
      </c>
      <c r="J26" s="309"/>
      <c r="K26" s="299"/>
    </row>
    <row r="27" spans="1:16">
      <c r="A27" s="158"/>
      <c r="B27" s="196" t="s">
        <v>177</v>
      </c>
      <c r="C27" s="197" t="s">
        <v>106</v>
      </c>
      <c r="D27" s="198">
        <f>MATCH(C27, PET!$D$4:$AI$4, FALSE)</f>
        <v>13</v>
      </c>
      <c r="E27" s="311" t="str">
        <f>VLOOKUP(E$10, PET!$D$5:$AI$75, $D27, FALSE)</f>
        <v>ALL</v>
      </c>
      <c r="F27" s="208"/>
      <c r="G27" s="203" t="str">
        <f>VLOOKUP(G$10, PET!$D$5:$AI$75, $D27, FALSE)</f>
        <v>ALL</v>
      </c>
      <c r="H27" s="208"/>
      <c r="I27" s="208"/>
      <c r="J27" s="208"/>
      <c r="K27" s="312"/>
    </row>
    <row r="28" spans="1:16">
      <c r="A28" s="158"/>
      <c r="B28" s="196" t="s">
        <v>190</v>
      </c>
      <c r="C28" s="197"/>
      <c r="D28" s="198"/>
      <c r="E28" s="313"/>
      <c r="F28" s="210"/>
      <c r="G28" s="241"/>
      <c r="H28" s="210"/>
      <c r="I28" s="210"/>
      <c r="J28" s="210"/>
      <c r="K28" s="314"/>
    </row>
    <row r="29" spans="1:16">
      <c r="A29" s="158"/>
      <c r="B29" s="242" t="s">
        <v>196</v>
      </c>
      <c r="C29" s="197"/>
      <c r="D29" s="198"/>
      <c r="E29" s="313"/>
      <c r="F29" s="210"/>
      <c r="G29" s="241"/>
      <c r="H29" s="300"/>
      <c r="I29" s="300"/>
      <c r="J29" s="210"/>
      <c r="K29" s="314"/>
    </row>
    <row r="30" spans="1:16">
      <c r="A30" s="158"/>
      <c r="B30" s="196" t="s">
        <v>178</v>
      </c>
      <c r="C30" s="197" t="s">
        <v>125</v>
      </c>
      <c r="D30" s="198">
        <f>MATCH(C30, PET!$D$4:$AI$4, FALSE)</f>
        <v>32</v>
      </c>
      <c r="E30" s="315">
        <f>VLOOKUP(E$10, PET!$D$5:$AI$75, $D30, FALSE)</f>
        <v>0</v>
      </c>
      <c r="F30" s="309"/>
      <c r="G30" s="308">
        <f>VLOOKUP(G$10, PET!$D$5:$AI$75, $D30, FALSE)</f>
        <v>0</v>
      </c>
      <c r="H30" s="309"/>
      <c r="I30" s="309"/>
      <c r="J30" s="309"/>
      <c r="K30" s="314"/>
    </row>
    <row r="31" spans="1:16">
      <c r="A31" s="158"/>
      <c r="B31" s="156" t="s">
        <v>180</v>
      </c>
      <c r="C31" s="207" t="s">
        <v>181</v>
      </c>
      <c r="D31" s="208" t="s">
        <v>181</v>
      </c>
      <c r="E31" s="397"/>
      <c r="F31" s="208"/>
      <c r="G31" s="208"/>
      <c r="H31" s="208"/>
      <c r="I31" s="208"/>
      <c r="J31" s="208"/>
      <c r="K31" s="316"/>
    </row>
    <row r="32" spans="1:16">
      <c r="A32" s="158"/>
      <c r="B32" s="196" t="s">
        <v>191</v>
      </c>
      <c r="C32" s="209"/>
      <c r="D32" s="210"/>
      <c r="E32" s="398"/>
      <c r="F32" s="210"/>
      <c r="G32" s="210"/>
      <c r="H32" s="210"/>
      <c r="I32" s="210"/>
      <c r="J32" s="210"/>
      <c r="K32" s="317"/>
    </row>
    <row r="33" spans="1:18">
      <c r="A33" s="158"/>
      <c r="B33" s="242" t="s">
        <v>197</v>
      </c>
      <c r="C33" s="209"/>
      <c r="D33" s="210"/>
      <c r="E33" s="398"/>
      <c r="F33" s="210"/>
      <c r="G33" s="210"/>
      <c r="H33" s="300"/>
      <c r="I33" s="300"/>
      <c r="J33" s="210"/>
      <c r="K33" s="317"/>
    </row>
    <row r="34" spans="1:18">
      <c r="A34" s="158"/>
      <c r="B34" s="196" t="s">
        <v>182</v>
      </c>
      <c r="C34" s="209" t="s">
        <v>181</v>
      </c>
      <c r="D34" s="210" t="s">
        <v>181</v>
      </c>
      <c r="E34" s="399"/>
      <c r="F34" s="301"/>
      <c r="G34" s="301"/>
      <c r="H34" s="301"/>
      <c r="I34" s="301"/>
      <c r="J34" s="301"/>
      <c r="K34" s="318"/>
    </row>
    <row r="35" spans="1:18">
      <c r="A35" s="158"/>
      <c r="B35" s="196" t="s">
        <v>199</v>
      </c>
      <c r="E35" s="136">
        <f>SUM(E18,E22,E26,E30,E34)/1000</f>
        <v>13097</v>
      </c>
      <c r="F35" s="303"/>
      <c r="G35" s="136">
        <f>SUM(G18,G22,G26,G30,G34)/1000</f>
        <v>12.974721054870001</v>
      </c>
      <c r="H35" s="136">
        <f>SUM(H18,H22,H26,H30,H34)/1000</f>
        <v>3203.1642154859005</v>
      </c>
      <c r="I35" s="136">
        <f>SUM(I18,I22,I26,I30,I34)/1000</f>
        <v>1741.8624005354002</v>
      </c>
      <c r="J35" s="303"/>
      <c r="K35" s="18"/>
    </row>
    <row r="36" spans="1:18">
      <c r="A36" s="158"/>
      <c r="B36" s="196" t="s">
        <v>184</v>
      </c>
      <c r="C36" s="197" t="s">
        <v>179</v>
      </c>
      <c r="D36" s="198" t="s">
        <v>179</v>
      </c>
      <c r="E36" s="200">
        <f>(IF(UPPER(TRIM(E$15))="OFFICE", E18,0)+IF(UPPER(TRIM(E$19))="OFFICE", E22,0)+IF(UPPER(TRIM(E$23))="OFFICE", E26,0)+IF(UPPER(TRIM(E$27))="OFFICE", E30,0)+IF(UPPER(TRIM(E$31))="OFFICE", E34, 0))/1000</f>
        <v>0</v>
      </c>
      <c r="F36" s="302"/>
      <c r="G36" s="200">
        <f>(IF(UPPER(TRIM(G$15))="OFFICE", G18,0)+IF(UPPER(TRIM(G$19))="OFFICE", G22,0)+IF(UPPER(TRIM(G$23))="OFFICE", G26,0)+IF(UPPER(TRIM(G$27))="OFFICE", G30,0)+IF(UPPER(TRIM(G$31))="OFFICE", G34, 0))/1000</f>
        <v>0</v>
      </c>
      <c r="H36" s="200">
        <f>(IF(UPPER(TRIM(H$15))="OFFICE", H18,0)+IF(UPPER(TRIM(H$19))="OFFICE", H22,0)+IF(UPPER(TRIM(H$23))="OFFICE", H26,0)+IF(UPPER(TRIM(H$27))="OFFICE", H30,0)+IF(UPPER(TRIM(H$31))="OFFICE", H34, 0))/1000</f>
        <v>0</v>
      </c>
      <c r="I36" s="200">
        <f>(IF(UPPER(TRIM(I$15))="OFFICE", I18,0)+IF(UPPER(TRIM(I$19))="OFFICE", I22,0)+IF(UPPER(TRIM(I$23))="OFFICE", I26,0)+IF(UPPER(TRIM(I$27))="OFFICE", I30,0)+IF(UPPER(TRIM(I$31))="OFFICE", I34, 0))/1000</f>
        <v>0</v>
      </c>
      <c r="J36" s="302"/>
      <c r="K36" s="302"/>
      <c r="L36" s="200">
        <f>SUM(E36:K36)</f>
        <v>0</v>
      </c>
    </row>
    <row r="37" spans="1:18">
      <c r="A37" s="158"/>
      <c r="F37" s="18"/>
      <c r="J37" s="18"/>
      <c r="K37" s="18"/>
    </row>
    <row r="38" spans="1:18">
      <c r="A38" s="158"/>
      <c r="B38" s="121" t="s">
        <v>58</v>
      </c>
      <c r="C38" s="121"/>
      <c r="D38" s="121"/>
      <c r="E38" s="120"/>
      <c r="F38" s="235"/>
      <c r="G38" s="120"/>
      <c r="H38" s="120"/>
      <c r="I38" s="120"/>
      <c r="J38" s="235"/>
      <c r="K38" s="235"/>
      <c r="L38" s="147"/>
    </row>
    <row r="39" spans="1:18">
      <c r="A39" s="158"/>
      <c r="B39" s="5" t="s">
        <v>65</v>
      </c>
      <c r="C39" s="209" t="s">
        <v>181</v>
      </c>
      <c r="D39" s="210" t="s">
        <v>181</v>
      </c>
      <c r="E39" s="238">
        <f>'[3]Property Inputs'!$O$39</f>
        <v>5409.3394414068271</v>
      </c>
      <c r="F39" s="303"/>
      <c r="G39" s="319">
        <f>'[4]Property Inputs'!$O$41</f>
        <v>5527.3632352206832</v>
      </c>
      <c r="H39" s="319">
        <f>'[5]Property Inputs'!$P$63</f>
        <v>6169</v>
      </c>
      <c r="I39" s="319">
        <f>'[6]Property Inputs'!$P$58</f>
        <v>2706</v>
      </c>
      <c r="J39" s="304"/>
      <c r="K39" s="304"/>
    </row>
    <row r="40" spans="1:18">
      <c r="A40" s="158"/>
      <c r="B40" s="5" t="s">
        <v>66</v>
      </c>
      <c r="C40" s="197" t="s">
        <v>179</v>
      </c>
      <c r="D40" s="198" t="s">
        <v>179</v>
      </c>
      <c r="E40" s="294">
        <f>E22</f>
        <v>6811000</v>
      </c>
      <c r="F40" s="293"/>
      <c r="G40" s="294">
        <f>G22</f>
        <v>7192.2370480600002</v>
      </c>
      <c r="H40" s="294">
        <f>(H18+H22)/1000</f>
        <v>3203.1642154859005</v>
      </c>
      <c r="I40" s="294">
        <f>'[6]Property Inputs'!$N$58</f>
        <v>2553.9751649209484</v>
      </c>
      <c r="J40" s="293"/>
      <c r="K40" s="305"/>
    </row>
    <row r="41" spans="1:18">
      <c r="A41" s="158"/>
      <c r="B41" s="5" t="s">
        <v>67</v>
      </c>
      <c r="C41" s="197" t="s">
        <v>179</v>
      </c>
      <c r="D41" s="198" t="s">
        <v>179</v>
      </c>
      <c r="E41" s="152">
        <f>E40*1000/E39</f>
        <v>1259118.617675181</v>
      </c>
      <c r="F41" s="305"/>
      <c r="G41" s="152">
        <f>G40*1000/G39</f>
        <v>1301.2057905351041</v>
      </c>
      <c r="H41" s="152">
        <f>H40*1000/H39</f>
        <v>519.23556743165841</v>
      </c>
      <c r="I41" s="152">
        <f>I40*1000/I39</f>
        <v>943.81935141202825</v>
      </c>
      <c r="J41" s="305"/>
      <c r="K41" s="305"/>
      <c r="L41" s="152">
        <f>SUM(E40:K40)*1000/SUM(E39:K39)</f>
        <v>344440.32841654215</v>
      </c>
    </row>
    <row r="42" spans="1:18">
      <c r="A42" s="158"/>
      <c r="B42" s="5" t="s">
        <v>186</v>
      </c>
      <c r="C42" s="209" t="s">
        <v>181</v>
      </c>
      <c r="D42" s="210" t="s">
        <v>181</v>
      </c>
      <c r="E42" s="295">
        <f>'[3]Property Inputs'!$D$39</f>
        <v>249</v>
      </c>
      <c r="F42" s="307"/>
      <c r="G42" s="295">
        <f>'[4]Property Inputs'!$D$41</f>
        <v>229.1</v>
      </c>
      <c r="H42" s="295">
        <f>'[5]Property Inputs'!$D$63</f>
        <v>146.58925739005051</v>
      </c>
      <c r="I42" s="295">
        <f>'[6]Property Inputs'!$D$58</f>
        <v>100.4</v>
      </c>
      <c r="J42" s="305"/>
      <c r="K42" s="305"/>
      <c r="L42" s="152"/>
    </row>
    <row r="43" spans="1:18">
      <c r="A43" s="158"/>
      <c r="B43" s="5" t="s">
        <v>11</v>
      </c>
      <c r="C43" s="209" t="s">
        <v>181</v>
      </c>
      <c r="D43" s="210" t="s">
        <v>181</v>
      </c>
      <c r="E43" s="296">
        <v>0.98599999999999999</v>
      </c>
      <c r="F43" s="306"/>
      <c r="G43" s="296">
        <f>'[4]Property Inputs'!$B$41</f>
        <v>0.97699109606302459</v>
      </c>
      <c r="H43" s="296">
        <f>'[5]Property Inputs'!$B$63</f>
        <v>0.98733084778732372</v>
      </c>
      <c r="I43" s="296">
        <f>'[6]Property Inputs'!$B$58</f>
        <v>0.96916301005620475</v>
      </c>
      <c r="J43" s="306"/>
      <c r="K43" s="18"/>
      <c r="R43" s="286" t="s">
        <v>311</v>
      </c>
    </row>
    <row r="44" spans="1:18">
      <c r="A44" s="158"/>
      <c r="B44" s="5" t="s">
        <v>26</v>
      </c>
      <c r="C44" s="209" t="s">
        <v>181</v>
      </c>
      <c r="D44" s="210" t="s">
        <v>181</v>
      </c>
      <c r="E44" s="297">
        <f>'[3]Property Inputs'!$F$39</f>
        <v>3.3625834826518979E-2</v>
      </c>
      <c r="F44" s="236"/>
      <c r="G44" s="297">
        <f>'[4]Property Inputs'!$F$41</f>
        <v>3.7713555311803593E-2</v>
      </c>
      <c r="H44" s="320">
        <f>'[5]Net Rent Derivation'!$I$37</f>
        <v>2.9925862258520963E-2</v>
      </c>
      <c r="I44" s="297">
        <f>'[6]Property Inputs'!$H$25</f>
        <v>2.9251107830985532E-2</v>
      </c>
      <c r="J44" s="236"/>
      <c r="K44" s="236"/>
      <c r="L44" s="153">
        <f>SUMPRODUCT(E44:K44,$E$40:$K$40)/SUM($E$40:$K$40)</f>
        <v>3.3626769078890555E-2</v>
      </c>
      <c r="M44" s="31" t="s">
        <v>81</v>
      </c>
    </row>
    <row r="45" spans="1:18">
      <c r="A45" s="158"/>
      <c r="F45" s="18"/>
      <c r="J45" s="18"/>
      <c r="K45" s="18"/>
    </row>
    <row r="46" spans="1:18">
      <c r="A46" s="158"/>
      <c r="F46" s="18"/>
      <c r="J46" s="18"/>
      <c r="K46" s="18"/>
    </row>
    <row r="47" spans="1:18">
      <c r="A47" s="158"/>
      <c r="B47" s="120"/>
      <c r="C47" s="120"/>
      <c r="D47" s="120"/>
      <c r="E47" s="120"/>
      <c r="F47" s="120"/>
      <c r="G47" s="120"/>
      <c r="H47" s="120"/>
      <c r="I47" s="120"/>
      <c r="J47" s="120"/>
      <c r="K47" s="120"/>
    </row>
    <row r="48" spans="1:18">
      <c r="A48" s="158"/>
    </row>
    <row r="49" spans="1:1">
      <c r="A49" s="158"/>
    </row>
    <row r="50" spans="1:1">
      <c r="A50" s="158"/>
    </row>
    <row r="51" spans="1:1">
      <c r="A51" s="158"/>
    </row>
    <row r="52" spans="1:1">
      <c r="A52" s="158"/>
    </row>
    <row r="53" spans="1:1">
      <c r="A53" s="158"/>
    </row>
    <row r="54" spans="1:1">
      <c r="A54" s="158"/>
    </row>
    <row r="55" spans="1:1">
      <c r="A55" s="158"/>
    </row>
    <row r="56" spans="1:1">
      <c r="A56" s="158"/>
    </row>
    <row r="57" spans="1:1">
      <c r="A57" s="158"/>
    </row>
    <row r="58" spans="1:1">
      <c r="A58" s="158"/>
    </row>
    <row r="59" spans="1:1">
      <c r="A59" s="158"/>
    </row>
    <row r="60" spans="1:1">
      <c r="A60" s="158"/>
    </row>
    <row r="61" spans="1:1">
      <c r="A61" s="158"/>
    </row>
    <row r="62" spans="1:1">
      <c r="A62" s="158"/>
    </row>
    <row r="63" spans="1:1">
      <c r="A63" s="158"/>
    </row>
    <row r="64" spans="1:1">
      <c r="A64" s="158"/>
    </row>
    <row r="65" spans="1:1">
      <c r="A65" s="158"/>
    </row>
    <row r="66" spans="1:1">
      <c r="A66" s="158"/>
    </row>
    <row r="67" spans="1:1">
      <c r="A67" s="158"/>
    </row>
    <row r="68" spans="1:1">
      <c r="A68" s="158"/>
    </row>
    <row r="69" spans="1:1">
      <c r="A69" s="158"/>
    </row>
    <row r="70" spans="1:1">
      <c r="A70" s="158"/>
    </row>
    <row r="71" spans="1:1">
      <c r="A71" s="158"/>
    </row>
    <row r="72" spans="1:1">
      <c r="A72" s="158"/>
    </row>
    <row r="73" spans="1:1">
      <c r="A73" s="158"/>
    </row>
    <row r="74" spans="1:1">
      <c r="A74" s="158"/>
    </row>
    <row r="75" spans="1:1">
      <c r="A75" s="158"/>
    </row>
    <row r="76" spans="1:1">
      <c r="A76" s="158"/>
    </row>
    <row r="77" spans="1:1">
      <c r="A77" s="158"/>
    </row>
    <row r="78" spans="1:1">
      <c r="A78" s="158"/>
    </row>
    <row r="79" spans="1:1">
      <c r="A79" s="158"/>
    </row>
    <row r="80" spans="1:1">
      <c r="A80" s="158"/>
    </row>
    <row r="81" spans="1:1">
      <c r="A81" s="158"/>
    </row>
    <row r="82" spans="1:1">
      <c r="A82" s="158"/>
    </row>
    <row r="83" spans="1:1">
      <c r="A83" s="158"/>
    </row>
    <row r="84" spans="1:1">
      <c r="A84" s="158"/>
    </row>
    <row r="85" spans="1:1">
      <c r="A85" s="158"/>
    </row>
    <row r="86" spans="1:1">
      <c r="A86" s="158"/>
    </row>
    <row r="87" spans="1:1">
      <c r="A87" s="158"/>
    </row>
    <row r="88" spans="1:1">
      <c r="A88" s="158"/>
    </row>
    <row r="89" spans="1:1">
      <c r="A89" s="158"/>
    </row>
    <row r="90" spans="1:1">
      <c r="A90" s="158"/>
    </row>
    <row r="91" spans="1:1">
      <c r="A91" s="158"/>
    </row>
    <row r="92" spans="1:1">
      <c r="A92" s="158"/>
    </row>
    <row r="93" spans="1:1">
      <c r="A93" s="158"/>
    </row>
    <row r="94" spans="1:1">
      <c r="A94" s="158"/>
    </row>
    <row r="95" spans="1:1">
      <c r="A95" s="158"/>
    </row>
    <row r="96" spans="1:1">
      <c r="A96" s="158"/>
    </row>
    <row r="97" spans="1:1">
      <c r="A97" s="158"/>
    </row>
    <row r="98" spans="1:1">
      <c r="A98" s="158"/>
    </row>
    <row r="99" spans="1:1">
      <c r="A99" s="158"/>
    </row>
    <row r="100" spans="1:1">
      <c r="A100" s="158"/>
    </row>
    <row r="101" spans="1:1">
      <c r="A101" s="158"/>
    </row>
    <row r="102" spans="1:1">
      <c r="A102" s="158"/>
    </row>
    <row r="103" spans="1:1">
      <c r="A103" s="158"/>
    </row>
    <row r="104" spans="1:1">
      <c r="A104" s="158"/>
    </row>
    <row r="105" spans="1:1">
      <c r="A105" s="158"/>
    </row>
    <row r="106" spans="1:1">
      <c r="A106" s="158"/>
    </row>
    <row r="107" spans="1:1">
      <c r="A107" s="158"/>
    </row>
    <row r="108" spans="1:1">
      <c r="A108" s="158"/>
    </row>
    <row r="109" spans="1:1">
      <c r="A109" s="158"/>
    </row>
    <row r="110" spans="1:1">
      <c r="A110" s="158"/>
    </row>
    <row r="111" spans="1:1">
      <c r="A111" s="158"/>
    </row>
    <row r="112" spans="1:1">
      <c r="A112" s="158"/>
    </row>
    <row r="113" spans="1:1">
      <c r="A113" s="158"/>
    </row>
  </sheetData>
  <mergeCells count="4">
    <mergeCell ref="F1:G1"/>
    <mergeCell ref="F2:G2"/>
    <mergeCell ref="F4:G4"/>
    <mergeCell ref="F3:G3"/>
  </mergeCells>
  <phoneticPr fontId="10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22"/>
  </sheetPr>
  <dimension ref="A1:N49"/>
  <sheetViews>
    <sheetView workbookViewId="0">
      <pane ySplit="12" topLeftCell="A13" activePane="bottomLeft" state="frozen"/>
      <selection pane="bottomLeft" activeCell="H23" sqref="H23"/>
    </sheetView>
  </sheetViews>
  <sheetFormatPr defaultRowHeight="12.75"/>
  <cols>
    <col min="1" max="1" width="12.42578125" style="141" bestFit="1" customWidth="1"/>
    <col min="2" max="2" width="12.28515625" customWidth="1"/>
    <col min="3" max="3" width="13.140625" customWidth="1"/>
    <col min="4" max="4" width="11.85546875" customWidth="1"/>
    <col min="5" max="5" width="7" bestFit="1" customWidth="1"/>
    <col min="6" max="6" width="19.7109375" customWidth="1"/>
    <col min="7" max="7" width="12.28515625" bestFit="1" customWidth="1"/>
    <col min="8" max="8" width="11.7109375" bestFit="1" customWidth="1"/>
    <col min="9" max="9" width="12.85546875" customWidth="1"/>
    <col min="10" max="10" width="11.140625" customWidth="1"/>
    <col min="11" max="11" width="12" customWidth="1"/>
    <col min="12" max="12" width="46.42578125" style="16" customWidth="1"/>
    <col min="13" max="13" width="38.28515625" bestFit="1" customWidth="1"/>
  </cols>
  <sheetData>
    <row r="1" spans="1:14">
      <c r="A1"/>
      <c r="B1" s="149" t="s">
        <v>77</v>
      </c>
      <c r="C1" s="416" t="s">
        <v>78</v>
      </c>
      <c r="D1" s="417"/>
    </row>
    <row r="2" spans="1:14">
      <c r="A2"/>
      <c r="B2" s="150"/>
      <c r="C2" s="418" t="s">
        <v>79</v>
      </c>
      <c r="D2" s="419"/>
    </row>
    <row r="3" spans="1:14" ht="13.5" thickBot="1">
      <c r="A3"/>
      <c r="B3" s="151"/>
      <c r="C3" s="420" t="s">
        <v>80</v>
      </c>
      <c r="D3" s="421"/>
    </row>
    <row r="4" spans="1:14">
      <c r="A4" s="142"/>
      <c r="B4" s="166" t="s">
        <v>86</v>
      </c>
      <c r="C4" s="167">
        <f>ROW(B12)</f>
        <v>12</v>
      </c>
      <c r="D4" s="39"/>
      <c r="E4" s="39"/>
    </row>
    <row r="5" spans="1:14">
      <c r="A5" s="142"/>
    </row>
    <row r="6" spans="1:14">
      <c r="A6" s="140" t="s">
        <v>75</v>
      </c>
      <c r="B6" s="7"/>
      <c r="C6" s="7"/>
      <c r="D6" s="7"/>
      <c r="E6" s="7"/>
      <c r="F6" s="7"/>
      <c r="G6" s="7"/>
      <c r="H6" s="7"/>
      <c r="I6" s="7"/>
      <c r="J6" s="7"/>
      <c r="K6" s="7"/>
      <c r="L6" s="138"/>
    </row>
    <row r="7" spans="1:14">
      <c r="A7" s="142"/>
    </row>
    <row r="8" spans="1:14">
      <c r="A8" s="173"/>
    </row>
    <row r="9" spans="1:14">
      <c r="A9" s="173"/>
    </row>
    <row r="10" spans="1:14" ht="13.5" thickBot="1">
      <c r="A10" s="173"/>
    </row>
    <row r="11" spans="1:14">
      <c r="A11" s="142"/>
      <c r="D11" s="424" t="s">
        <v>89</v>
      </c>
      <c r="E11" s="425"/>
      <c r="H11" s="15">
        <f>MATCH("Total Value (£m)", PortfolioData!B:B, 0)-PortfolioData!$F$5+1</f>
        <v>31</v>
      </c>
      <c r="I11" s="15">
        <f>MATCH("Total sf ('000)", PortfolioData!B:B, 0)-PortfolioData!$F$5+1</f>
        <v>30</v>
      </c>
      <c r="J11" s="15">
        <v>33</v>
      </c>
      <c r="K11" s="15">
        <f>MATCH("Occupancy", PortfolioData!B:B, 0)-PortfolioData!$F$5+1</f>
        <v>34</v>
      </c>
      <c r="L11" s="139" t="s">
        <v>76</v>
      </c>
    </row>
    <row r="12" spans="1:14" ht="26.25" thickBot="1">
      <c r="A12" s="182" t="s">
        <v>74</v>
      </c>
      <c r="B12" s="183" t="s">
        <v>6</v>
      </c>
      <c r="C12" s="183" t="s">
        <v>72</v>
      </c>
      <c r="D12" s="223" t="s">
        <v>49</v>
      </c>
      <c r="E12" s="224" t="s">
        <v>90</v>
      </c>
      <c r="F12" s="183" t="s">
        <v>9</v>
      </c>
      <c r="G12" s="184" t="s">
        <v>10</v>
      </c>
      <c r="H12" s="185" t="s">
        <v>88</v>
      </c>
      <c r="I12" s="185" t="s">
        <v>22</v>
      </c>
      <c r="J12" s="184" t="s">
        <v>73</v>
      </c>
      <c r="K12" s="184" t="s">
        <v>11</v>
      </c>
      <c r="L12" s="186" t="s">
        <v>12</v>
      </c>
      <c r="M12" s="186" t="s">
        <v>203</v>
      </c>
    </row>
    <row r="13" spans="1:14">
      <c r="A13" s="141" t="str">
        <f>B13&amp;C13</f>
        <v>BLND1</v>
      </c>
      <c r="B13" s="2" t="s">
        <v>3</v>
      </c>
      <c r="C13" s="144">
        <v>1</v>
      </c>
      <c r="D13" s="225">
        <v>42282</v>
      </c>
      <c r="E13" s="226" t="s">
        <v>312</v>
      </c>
      <c r="F13" t="s">
        <v>314</v>
      </c>
      <c r="G13" t="s">
        <v>221</v>
      </c>
      <c r="H13" s="293">
        <f>[7]Sheet2!$R$4/1000000</f>
        <v>2337.2232176185139</v>
      </c>
      <c r="I13" s="321">
        <f>4724*0.5</f>
        <v>2362</v>
      </c>
      <c r="J13" s="323">
        <f>226*0.5</f>
        <v>113</v>
      </c>
      <c r="K13" s="322">
        <v>0.99299999999999999</v>
      </c>
      <c r="L13" s="339" t="s">
        <v>1002</v>
      </c>
      <c r="M13" s="16" t="s">
        <v>315</v>
      </c>
      <c r="N13" s="371"/>
    </row>
    <row r="14" spans="1:14">
      <c r="A14" s="141" t="str">
        <f t="shared" ref="A14:A37" si="0">B14&amp;C14</f>
        <v>BLND2</v>
      </c>
      <c r="B14" s="2" t="s">
        <v>3</v>
      </c>
      <c r="C14" s="144">
        <v>2</v>
      </c>
      <c r="D14" s="249">
        <v>42282</v>
      </c>
      <c r="E14" s="228" t="s">
        <v>312</v>
      </c>
      <c r="F14" t="s">
        <v>224</v>
      </c>
      <c r="G14" t="s">
        <v>222</v>
      </c>
      <c r="H14" s="161">
        <f>[7]Sheet2!$R$5/1000000</f>
        <v>1800.8539836589107</v>
      </c>
      <c r="I14" s="136">
        <v>1590</v>
      </c>
      <c r="J14" s="161">
        <v>79</v>
      </c>
      <c r="K14" s="23">
        <v>0.98699999999999999</v>
      </c>
      <c r="L14" s="339" t="s">
        <v>211</v>
      </c>
      <c r="M14" s="16" t="s">
        <v>315</v>
      </c>
      <c r="N14" s="371"/>
    </row>
    <row r="15" spans="1:14">
      <c r="A15" s="141" t="str">
        <f t="shared" si="0"/>
        <v>BLND3</v>
      </c>
      <c r="B15" s="2" t="s">
        <v>3</v>
      </c>
      <c r="C15" s="144">
        <v>3</v>
      </c>
      <c r="D15" s="249">
        <v>42282</v>
      </c>
      <c r="E15" s="228" t="s">
        <v>312</v>
      </c>
      <c r="F15" s="286" t="s">
        <v>316</v>
      </c>
      <c r="G15" s="286" t="s">
        <v>222</v>
      </c>
      <c r="H15" s="161">
        <v>820</v>
      </c>
      <c r="I15" s="136">
        <v>806</v>
      </c>
      <c r="J15" s="161">
        <v>33</v>
      </c>
      <c r="K15" s="23">
        <v>0.998</v>
      </c>
      <c r="L15" s="339" t="s">
        <v>329</v>
      </c>
      <c r="M15" s="16" t="s">
        <v>315</v>
      </c>
      <c r="N15" s="371"/>
    </row>
    <row r="16" spans="1:14">
      <c r="A16" s="141" t="str">
        <f t="shared" si="0"/>
        <v>BLNDOther</v>
      </c>
      <c r="B16" s="2" t="s">
        <v>3</v>
      </c>
      <c r="C16" s="144" t="s">
        <v>14</v>
      </c>
      <c r="D16" s="249">
        <v>42282</v>
      </c>
      <c r="E16" s="228" t="s">
        <v>312</v>
      </c>
      <c r="F16" s="229" t="s">
        <v>18</v>
      </c>
      <c r="G16" s="194"/>
      <c r="H16" s="189">
        <f>H17-SUM(H13:H15)</f>
        <v>1852.922798722575</v>
      </c>
      <c r="I16" s="191">
        <f>I17-SUM(I13:I15)</f>
        <v>651.33944140682706</v>
      </c>
      <c r="J16" s="189">
        <f>J17-SUM(J13:J15)</f>
        <v>24</v>
      </c>
      <c r="K16" s="190">
        <f>(K17*I17-(SUMPRODUCT(K13:K15,I13:I15)))/I16</f>
        <v>0.94332486283962214</v>
      </c>
      <c r="L16" s="339"/>
      <c r="M16" s="16"/>
      <c r="N16" s="371"/>
    </row>
    <row r="17" spans="1:14" ht="13.5" thickBot="1">
      <c r="A17" s="143" t="str">
        <f t="shared" si="0"/>
        <v>BLNDTotal</v>
      </c>
      <c r="B17" s="147" t="s">
        <v>3</v>
      </c>
      <c r="C17" s="148" t="s">
        <v>21</v>
      </c>
      <c r="D17" s="327">
        <v>42282</v>
      </c>
      <c r="E17" s="328" t="s">
        <v>312</v>
      </c>
      <c r="F17" s="192"/>
      <c r="G17" s="192"/>
      <c r="H17" s="213">
        <f>HLOOKUP($B17, PortfolioData!$B$10:$K$55, H$11, FALSE)/1000</f>
        <v>6811</v>
      </c>
      <c r="I17" s="214">
        <f>HLOOKUP($B17, PortfolioData!$B$10:$K$55, I$11, FALSE)</f>
        <v>5409.3394414068271</v>
      </c>
      <c r="J17" s="214">
        <f>PortfolioData!E42</f>
        <v>249</v>
      </c>
      <c r="K17" s="329">
        <f>HLOOKUP($B17, PortfolioData!$B$10:$K$55, K$11, FALSE)</f>
        <v>0.98599999999999999</v>
      </c>
      <c r="L17" s="193"/>
      <c r="M17" s="324" t="s">
        <v>317</v>
      </c>
    </row>
    <row r="18" spans="1:14" hidden="1">
      <c r="A18" s="141" t="str">
        <f>B18&amp;C18</f>
        <v>HMSO1</v>
      </c>
      <c r="B18" s="2" t="s">
        <v>136</v>
      </c>
      <c r="C18" s="144">
        <v>1</v>
      </c>
      <c r="D18" s="325"/>
      <c r="E18" s="326"/>
      <c r="F18" t="s">
        <v>212</v>
      </c>
      <c r="G18" s="194" t="s">
        <v>221</v>
      </c>
      <c r="H18" s="161">
        <v>226</v>
      </c>
      <c r="I18" s="136">
        <v>339</v>
      </c>
      <c r="J18" s="161">
        <v>17.600000000000001</v>
      </c>
      <c r="K18" s="23">
        <v>0.97099999999999997</v>
      </c>
      <c r="L18" s="335" t="s">
        <v>215</v>
      </c>
      <c r="M18" s="16"/>
    </row>
    <row r="19" spans="1:14" hidden="1">
      <c r="A19" s="141" t="str">
        <f t="shared" si="0"/>
        <v>HMSO2</v>
      </c>
      <c r="B19" s="2" t="s">
        <v>136</v>
      </c>
      <c r="C19" s="144">
        <v>2</v>
      </c>
      <c r="D19" s="227"/>
      <c r="E19" s="228"/>
      <c r="F19" t="s">
        <v>213</v>
      </c>
      <c r="G19" s="194" t="s">
        <v>221</v>
      </c>
      <c r="H19" s="161">
        <v>153</v>
      </c>
      <c r="I19" s="136">
        <v>217</v>
      </c>
      <c r="J19" s="161">
        <v>8.6</v>
      </c>
      <c r="K19" s="23">
        <v>0.97499999999999998</v>
      </c>
      <c r="L19" s="335" t="s">
        <v>216</v>
      </c>
      <c r="M19" s="16"/>
    </row>
    <row r="20" spans="1:14" hidden="1">
      <c r="A20" s="141" t="str">
        <f t="shared" si="0"/>
        <v>HMSO3</v>
      </c>
      <c r="B20" s="2" t="s">
        <v>136</v>
      </c>
      <c r="C20" s="144">
        <v>3</v>
      </c>
      <c r="D20" s="227"/>
      <c r="E20" s="228"/>
      <c r="F20" t="s">
        <v>214</v>
      </c>
      <c r="G20" s="194" t="s">
        <v>221</v>
      </c>
      <c r="H20" s="161">
        <v>113</v>
      </c>
      <c r="I20" s="136">
        <v>165</v>
      </c>
      <c r="J20" s="161">
        <v>7.1</v>
      </c>
      <c r="K20" s="23">
        <v>0.92300000000000004</v>
      </c>
      <c r="L20" s="335" t="s">
        <v>217</v>
      </c>
      <c r="M20" s="16"/>
    </row>
    <row r="21" spans="1:14" hidden="1">
      <c r="A21" s="141" t="str">
        <f t="shared" si="0"/>
        <v>HMSOOther</v>
      </c>
      <c r="B21" s="2" t="s">
        <v>136</v>
      </c>
      <c r="C21" s="144" t="s">
        <v>14</v>
      </c>
      <c r="D21" s="227"/>
      <c r="E21" s="228"/>
      <c r="F21" s="229" t="s">
        <v>18</v>
      </c>
      <c r="G21" s="194"/>
      <c r="H21" s="189" t="e">
        <f>H22-SUM(H18:H20)</f>
        <v>#N/A</v>
      </c>
      <c r="I21" s="191" t="e">
        <f>I22-SUM(I18:I20)</f>
        <v>#N/A</v>
      </c>
      <c r="J21" s="189">
        <f>J22-SUM(J18:J20)</f>
        <v>14.699999999999996</v>
      </c>
      <c r="K21" s="190" t="e">
        <f>(K22*I22-(SUMPRODUCT(K18:K20,I18:I20)))/I21</f>
        <v>#N/A</v>
      </c>
      <c r="L21" s="335"/>
      <c r="M21" s="16"/>
    </row>
    <row r="22" spans="1:14" ht="13.5" hidden="1" thickBot="1">
      <c r="A22" s="143" t="str">
        <f t="shared" si="0"/>
        <v>HMSOTotal</v>
      </c>
      <c r="B22" s="147" t="s">
        <v>136</v>
      </c>
      <c r="C22" s="148" t="s">
        <v>21</v>
      </c>
      <c r="D22" s="331"/>
      <c r="E22" s="332"/>
      <c r="F22" s="192"/>
      <c r="G22" s="192"/>
      <c r="H22" s="213" t="e">
        <f>HLOOKUP($B22, PortfolioData!$B$10:$K$55, H$11, FALSE)</f>
        <v>#N/A</v>
      </c>
      <c r="I22" s="214" t="e">
        <f>HLOOKUP($B22, PortfolioData!$B$10:$K$55, I$11, FALSE)</f>
        <v>#N/A</v>
      </c>
      <c r="J22" s="213">
        <v>48</v>
      </c>
      <c r="K22" s="215">
        <v>0.95599999999999996</v>
      </c>
      <c r="L22" s="336"/>
      <c r="M22" s="193"/>
    </row>
    <row r="23" spans="1:14">
      <c r="A23" s="141" t="str">
        <f>B23&amp;C23</f>
        <v>LAND1</v>
      </c>
      <c r="B23" s="2" t="s">
        <v>44</v>
      </c>
      <c r="C23" s="144">
        <v>1</v>
      </c>
      <c r="D23" s="330">
        <v>42283</v>
      </c>
      <c r="E23" s="226" t="s">
        <v>312</v>
      </c>
      <c r="F23" s="258" t="s">
        <v>998</v>
      </c>
      <c r="G23" s="194" t="s">
        <v>221</v>
      </c>
      <c r="H23" s="161">
        <v>505</v>
      </c>
      <c r="I23" s="136">
        <v>344</v>
      </c>
      <c r="J23" s="161">
        <v>21.8</v>
      </c>
      <c r="K23" s="23">
        <v>1</v>
      </c>
      <c r="L23" s="339" t="s">
        <v>999</v>
      </c>
      <c r="M23" s="16" t="s">
        <v>318</v>
      </c>
      <c r="N23" s="258"/>
    </row>
    <row r="24" spans="1:14">
      <c r="A24" s="141" t="str">
        <f t="shared" si="0"/>
        <v>LAND2</v>
      </c>
      <c r="B24" s="2" t="s">
        <v>44</v>
      </c>
      <c r="C24" s="144">
        <v>2</v>
      </c>
      <c r="D24" s="333">
        <v>42283</v>
      </c>
      <c r="E24" s="228" t="s">
        <v>312</v>
      </c>
      <c r="F24" t="s">
        <v>218</v>
      </c>
      <c r="G24" s="194" t="s">
        <v>223</v>
      </c>
      <c r="H24" s="161">
        <v>850</v>
      </c>
      <c r="I24" s="136">
        <v>694</v>
      </c>
      <c r="J24" s="161">
        <v>32.200000000000003</v>
      </c>
      <c r="K24" s="23">
        <v>0.96</v>
      </c>
      <c r="L24" s="339" t="s">
        <v>326</v>
      </c>
      <c r="M24" s="16" t="s">
        <v>318</v>
      </c>
    </row>
    <row r="25" spans="1:14">
      <c r="A25" s="141" t="str">
        <f t="shared" si="0"/>
        <v>LAND3</v>
      </c>
      <c r="B25" s="2" t="s">
        <v>44</v>
      </c>
      <c r="C25" s="144">
        <v>3</v>
      </c>
      <c r="D25" s="333">
        <v>42283</v>
      </c>
      <c r="E25" s="228" t="s">
        <v>312</v>
      </c>
      <c r="F25" t="s">
        <v>219</v>
      </c>
      <c r="G25" s="194" t="s">
        <v>221</v>
      </c>
      <c r="H25" s="161">
        <v>660</v>
      </c>
      <c r="I25" s="136">
        <v>563</v>
      </c>
      <c r="J25" s="161">
        <v>29.2</v>
      </c>
      <c r="K25" s="23">
        <v>1</v>
      </c>
      <c r="L25" s="339" t="s">
        <v>220</v>
      </c>
      <c r="M25" s="16" t="s">
        <v>318</v>
      </c>
    </row>
    <row r="26" spans="1:14">
      <c r="A26" s="141" t="str">
        <f t="shared" si="0"/>
        <v>LANDOther</v>
      </c>
      <c r="B26" s="2" t="s">
        <v>44</v>
      </c>
      <c r="C26" s="144" t="s">
        <v>14</v>
      </c>
      <c r="D26" s="333">
        <v>42283</v>
      </c>
      <c r="E26" s="228" t="s">
        <v>312</v>
      </c>
      <c r="F26" s="229" t="s">
        <v>18</v>
      </c>
      <c r="G26" s="194"/>
      <c r="H26" s="189">
        <f>H27-SUM(H23:H25)</f>
        <v>-2007.80776295194</v>
      </c>
      <c r="I26" s="191">
        <f>I27-SUM(I23:I25)</f>
        <v>3926.3632352206832</v>
      </c>
      <c r="J26" s="189">
        <f>J27-SUM(J23:J25)</f>
        <v>145.89999999999998</v>
      </c>
      <c r="K26" s="190">
        <f>(K27*I27-(SUMPRODUCT(K23:K25,I23:I25)))/I26</f>
        <v>0.97467922254055683</v>
      </c>
      <c r="L26" s="339"/>
      <c r="M26" s="16"/>
    </row>
    <row r="27" spans="1:14" ht="13.5" thickBot="1">
      <c r="A27" s="143" t="str">
        <f t="shared" si="0"/>
        <v>LANDTotal</v>
      </c>
      <c r="B27" s="2" t="s">
        <v>44</v>
      </c>
      <c r="C27" s="148" t="s">
        <v>21</v>
      </c>
      <c r="D27" s="334">
        <v>42283</v>
      </c>
      <c r="E27" s="328" t="s">
        <v>312</v>
      </c>
      <c r="F27" s="192"/>
      <c r="G27" s="192"/>
      <c r="H27" s="213">
        <f>HLOOKUP($B27, PortfolioData!$B$10:$K$55, H$11, FALSE)/1000</f>
        <v>7.19223704806</v>
      </c>
      <c r="I27" s="214">
        <f>HLOOKUP($B27, PortfolioData!$B$10:$K$55, I$11, FALSE)</f>
        <v>5527.3632352206832</v>
      </c>
      <c r="J27" s="214">
        <f>HLOOKUP($B27, PortfolioData!$B$10:$K$55, J$11, FALSE)</f>
        <v>229.1</v>
      </c>
      <c r="K27" s="329">
        <f>HLOOKUP($B27, PortfolioData!$B$10:$K$55, K$11, FALSE)</f>
        <v>0.97699109606302459</v>
      </c>
      <c r="L27" s="193"/>
      <c r="M27" s="193"/>
    </row>
    <row r="28" spans="1:14">
      <c r="A28" s="141" t="str">
        <f>B28&amp;C28</f>
        <v>DLN1</v>
      </c>
      <c r="B28" s="145" t="s">
        <v>45</v>
      </c>
      <c r="C28" s="144">
        <v>1</v>
      </c>
      <c r="D28" s="330">
        <v>42283</v>
      </c>
      <c r="E28" s="226" t="s">
        <v>312</v>
      </c>
      <c r="F28" s="286" t="s">
        <v>319</v>
      </c>
      <c r="G28" s="286" t="s">
        <v>222</v>
      </c>
      <c r="H28">
        <v>340</v>
      </c>
      <c r="I28">
        <v>266</v>
      </c>
      <c r="J28" s="307">
        <v>17</v>
      </c>
      <c r="K28" s="236">
        <f>(266-11)/266</f>
        <v>0.95864661654135341</v>
      </c>
      <c r="L28" s="339" t="s">
        <v>992</v>
      </c>
      <c r="M28" s="248" t="s">
        <v>327</v>
      </c>
      <c r="N28" s="371">
        <f>J28*1000/I28</f>
        <v>63.909774436090224</v>
      </c>
    </row>
    <row r="29" spans="1:14">
      <c r="A29" s="141" t="str">
        <f t="shared" si="0"/>
        <v>DLN2</v>
      </c>
      <c r="B29" s="146" t="s">
        <v>45</v>
      </c>
      <c r="C29" s="144">
        <v>2</v>
      </c>
      <c r="D29" s="333">
        <v>42283</v>
      </c>
      <c r="E29" s="228" t="s">
        <v>312</v>
      </c>
      <c r="F29" t="s">
        <v>229</v>
      </c>
      <c r="G29" t="s">
        <v>342</v>
      </c>
      <c r="H29" s="247">
        <v>240</v>
      </c>
      <c r="I29">
        <v>262</v>
      </c>
      <c r="J29" s="307">
        <v>12.5</v>
      </c>
      <c r="K29" s="236">
        <v>1</v>
      </c>
      <c r="L29" s="339" t="s">
        <v>324</v>
      </c>
      <c r="M29" s="248" t="s">
        <v>327</v>
      </c>
      <c r="N29" s="371">
        <f t="shared" ref="N29:N32" si="1">J29*1000/I29</f>
        <v>47.709923664122137</v>
      </c>
    </row>
    <row r="30" spans="1:14">
      <c r="A30" s="141" t="str">
        <f t="shared" si="0"/>
        <v>DLN3</v>
      </c>
      <c r="B30" s="146" t="s">
        <v>45</v>
      </c>
      <c r="C30" s="144">
        <v>3</v>
      </c>
      <c r="D30" s="333">
        <v>42283</v>
      </c>
      <c r="E30" s="228" t="s">
        <v>312</v>
      </c>
      <c r="F30" s="286" t="s">
        <v>320</v>
      </c>
      <c r="G30" s="286" t="s">
        <v>204</v>
      </c>
      <c r="H30" s="247">
        <v>175</v>
      </c>
      <c r="I30" s="136">
        <v>147.9</v>
      </c>
      <c r="J30" s="307">
        <v>7</v>
      </c>
      <c r="K30" s="236">
        <v>1</v>
      </c>
      <c r="L30" s="339" t="s">
        <v>325</v>
      </c>
      <c r="M30" s="248" t="s">
        <v>327</v>
      </c>
      <c r="N30" s="371">
        <f t="shared" si="1"/>
        <v>47.329276538201484</v>
      </c>
    </row>
    <row r="31" spans="1:14">
      <c r="A31" s="141" t="str">
        <f t="shared" si="0"/>
        <v>DLNOther</v>
      </c>
      <c r="B31" s="146" t="s">
        <v>45</v>
      </c>
      <c r="C31" s="144" t="s">
        <v>14</v>
      </c>
      <c r="D31" s="333">
        <v>42283</v>
      </c>
      <c r="E31" s="228" t="s">
        <v>312</v>
      </c>
      <c r="F31" s="229" t="s">
        <v>18</v>
      </c>
      <c r="G31" s="194"/>
      <c r="H31" s="189">
        <f>H32-SUM(H28:H30)</f>
        <v>2448.1642154859005</v>
      </c>
      <c r="I31" s="191">
        <f>I32-SUM(I28:I30)</f>
        <v>5493.1</v>
      </c>
      <c r="J31" s="189">
        <f>J32-SUM(J28:J30)</f>
        <v>110.08925739005051</v>
      </c>
      <c r="K31" s="190">
        <f>(K32*I32-(SUMPRODUCT(K28:K30,I28:I30)))/I31</f>
        <v>0.98777448071216623</v>
      </c>
      <c r="L31" s="339"/>
      <c r="M31" s="16"/>
      <c r="N31" s="371">
        <f t="shared" si="1"/>
        <v>20.041371427800424</v>
      </c>
    </row>
    <row r="32" spans="1:14" ht="13.5" thickBot="1">
      <c r="A32" s="143" t="str">
        <f t="shared" si="0"/>
        <v>DLNTotal</v>
      </c>
      <c r="B32" s="147" t="s">
        <v>45</v>
      </c>
      <c r="C32" s="148" t="s">
        <v>21</v>
      </c>
      <c r="D32" s="334">
        <v>42283</v>
      </c>
      <c r="E32" s="328" t="s">
        <v>312</v>
      </c>
      <c r="F32" s="192"/>
      <c r="G32" s="192"/>
      <c r="H32" s="213">
        <f>HLOOKUP($B32, PortfolioData!$B$10:$K$55, H$11, FALSE)</f>
        <v>3203.1642154859005</v>
      </c>
      <c r="I32" s="214">
        <f>HLOOKUP($B32, PortfolioData!$B$10:$K$55, I$11, FALSE)</f>
        <v>6169</v>
      </c>
      <c r="J32" s="213">
        <f>HLOOKUP($B32, PortfolioData!$B$10:$K$55, J$11, FALSE)</f>
        <v>146.58925739005051</v>
      </c>
      <c r="K32" s="215">
        <f>HLOOKUP($B32, PortfolioData!$B$10:$K$55, K$11, FALSE)</f>
        <v>0.98733084778732372</v>
      </c>
      <c r="L32" s="193"/>
      <c r="M32" s="193"/>
      <c r="N32" s="371">
        <f t="shared" si="1"/>
        <v>23.76223981035022</v>
      </c>
    </row>
    <row r="33" spans="1:13">
      <c r="A33" s="141" t="str">
        <f>B33&amp;C33</f>
        <v>GPOR1</v>
      </c>
      <c r="B33" s="2" t="s">
        <v>46</v>
      </c>
      <c r="C33" s="144">
        <v>1</v>
      </c>
      <c r="D33" s="330">
        <v>42283</v>
      </c>
      <c r="E33" s="226" t="s">
        <v>312</v>
      </c>
      <c r="F33" s="258" t="s">
        <v>1001</v>
      </c>
      <c r="G33" s="194" t="s">
        <v>221</v>
      </c>
      <c r="H33" s="161">
        <v>140</v>
      </c>
      <c r="I33" s="136">
        <v>179</v>
      </c>
      <c r="J33" s="307">
        <v>4.5</v>
      </c>
      <c r="K33" s="236">
        <v>1</v>
      </c>
      <c r="L33" s="339" t="s">
        <v>1032</v>
      </c>
      <c r="M33" s="16" t="s">
        <v>328</v>
      </c>
    </row>
    <row r="34" spans="1:13">
      <c r="A34" s="141" t="str">
        <f t="shared" si="0"/>
        <v>GPOR3</v>
      </c>
      <c r="B34" s="2" t="s">
        <v>46</v>
      </c>
      <c r="C34" s="144">
        <v>3</v>
      </c>
      <c r="D34" s="333">
        <v>42283</v>
      </c>
      <c r="E34" s="228" t="s">
        <v>312</v>
      </c>
      <c r="F34" s="258" t="s">
        <v>996</v>
      </c>
      <c r="G34" s="338" t="s">
        <v>222</v>
      </c>
      <c r="H34" s="371">
        <v>210</v>
      </c>
      <c r="I34">
        <v>187.1</v>
      </c>
      <c r="J34" s="307">
        <f>I34*40/1000</f>
        <v>7.484</v>
      </c>
      <c r="K34" s="236">
        <v>1</v>
      </c>
      <c r="L34" s="339" t="s">
        <v>997</v>
      </c>
      <c r="M34" s="16" t="s">
        <v>328</v>
      </c>
    </row>
    <row r="35" spans="1:13">
      <c r="A35" s="141" t="str">
        <f t="shared" si="0"/>
        <v>GPOR2</v>
      </c>
      <c r="B35" s="2" t="s">
        <v>46</v>
      </c>
      <c r="C35" s="144">
        <v>2</v>
      </c>
      <c r="D35" s="333">
        <v>42283</v>
      </c>
      <c r="E35" s="228" t="s">
        <v>312</v>
      </c>
      <c r="F35" s="286" t="s">
        <v>321</v>
      </c>
      <c r="G35" s="338" t="s">
        <v>222</v>
      </c>
      <c r="H35" s="161">
        <v>145</v>
      </c>
      <c r="I35" s="136">
        <v>123.2</v>
      </c>
      <c r="J35" s="307">
        <v>6.2</v>
      </c>
      <c r="K35" s="236">
        <v>1</v>
      </c>
      <c r="L35" s="339" t="s">
        <v>323</v>
      </c>
      <c r="M35" s="16" t="s">
        <v>328</v>
      </c>
    </row>
    <row r="36" spans="1:13">
      <c r="A36" s="141" t="str">
        <f t="shared" si="0"/>
        <v>GPOROther</v>
      </c>
      <c r="B36" s="2" t="s">
        <v>46</v>
      </c>
      <c r="C36" s="144" t="s">
        <v>14</v>
      </c>
      <c r="D36" s="333">
        <v>42283</v>
      </c>
      <c r="E36" s="228" t="s">
        <v>312</v>
      </c>
      <c r="F36" s="229" t="s">
        <v>18</v>
      </c>
      <c r="G36" s="194"/>
      <c r="H36" s="189">
        <f>H37-SUM(H33:H35)</f>
        <v>2058.9751649209484</v>
      </c>
      <c r="I36" s="191">
        <f>I37-SUM(I33:I35)</f>
        <v>2216.6999999999998</v>
      </c>
      <c r="J36" s="189">
        <f>J37-SUM(J33:J35)</f>
        <v>82.216000000000008</v>
      </c>
      <c r="K36" s="190">
        <f>(K37*I37-(SUMPRODUCT(K33:K35,I33:I35)))/I36</f>
        <v>0.9623562526332341</v>
      </c>
      <c r="L36" s="339"/>
      <c r="M36" s="16"/>
    </row>
    <row r="37" spans="1:13" ht="13.5" thickBot="1">
      <c r="A37" s="143" t="str">
        <f t="shared" si="0"/>
        <v>GPORTotal</v>
      </c>
      <c r="B37" s="147" t="s">
        <v>46</v>
      </c>
      <c r="C37" s="148" t="s">
        <v>21</v>
      </c>
      <c r="D37" s="334">
        <v>42283</v>
      </c>
      <c r="E37" s="328" t="s">
        <v>312</v>
      </c>
      <c r="F37" s="192"/>
      <c r="G37" s="192"/>
      <c r="H37" s="213">
        <f>HLOOKUP($B37, PortfolioData!$B$10:$K$55, H$11, FALSE)</f>
        <v>2553.9751649209484</v>
      </c>
      <c r="I37" s="214">
        <f>HLOOKUP($B37, PortfolioData!$B$10:$K$55, I$11, FALSE)</f>
        <v>2706</v>
      </c>
      <c r="J37" s="213">
        <f>HLOOKUP($B37, PortfolioData!$B$10:$K$55, J$11, FALSE)</f>
        <v>100.4</v>
      </c>
      <c r="K37" s="215">
        <f>HLOOKUP($B37, PortfolioData!$B$10:$K$55, K$11, FALSE)</f>
        <v>0.96916301005620475</v>
      </c>
      <c r="L37" s="193"/>
      <c r="M37" s="193"/>
    </row>
    <row r="38" spans="1:13" hidden="1">
      <c r="A38" s="141" t="str">
        <f>B38&amp;C38</f>
        <v>SBD1</v>
      </c>
      <c r="B38" s="2" t="s">
        <v>151</v>
      </c>
      <c r="C38" s="144">
        <v>1</v>
      </c>
      <c r="D38" s="249">
        <v>40795</v>
      </c>
      <c r="E38" s="226" t="s">
        <v>228</v>
      </c>
      <c r="F38" t="s">
        <v>234</v>
      </c>
      <c r="G38" s="194" t="s">
        <v>233</v>
      </c>
      <c r="H38" s="161">
        <v>735</v>
      </c>
      <c r="I38" s="136">
        <v>1039</v>
      </c>
      <c r="J38" s="161">
        <v>41</v>
      </c>
      <c r="K38" s="23">
        <v>1</v>
      </c>
      <c r="L38" s="16" t="s">
        <v>237</v>
      </c>
      <c r="M38" s="16"/>
    </row>
    <row r="39" spans="1:13" hidden="1">
      <c r="A39" s="141" t="str">
        <f>B39&amp;C39</f>
        <v>SBD3</v>
      </c>
      <c r="B39" s="2" t="s">
        <v>151</v>
      </c>
      <c r="C39" s="144">
        <v>3</v>
      </c>
      <c r="D39" s="249">
        <v>40795</v>
      </c>
      <c r="E39" s="228" t="s">
        <v>228</v>
      </c>
      <c r="F39" t="s">
        <v>235</v>
      </c>
      <c r="G39" s="194" t="s">
        <v>233</v>
      </c>
      <c r="H39" s="161">
        <v>725</v>
      </c>
      <c r="I39" s="136">
        <v>1000</v>
      </c>
      <c r="J39" s="161">
        <v>44</v>
      </c>
      <c r="K39" s="23">
        <v>1</v>
      </c>
      <c r="L39" s="16" t="s">
        <v>238</v>
      </c>
      <c r="M39" s="16"/>
    </row>
    <row r="40" spans="1:13" hidden="1">
      <c r="A40" s="141" t="str">
        <f>B40&amp;C40</f>
        <v>SBD2</v>
      </c>
      <c r="B40" s="2" t="s">
        <v>151</v>
      </c>
      <c r="C40" s="144">
        <v>2</v>
      </c>
      <c r="D40" s="249">
        <v>40795</v>
      </c>
      <c r="E40" s="228" t="s">
        <v>228</v>
      </c>
      <c r="F40" t="s">
        <v>236</v>
      </c>
      <c r="G40" s="194" t="s">
        <v>233</v>
      </c>
      <c r="H40" s="161">
        <v>670</v>
      </c>
      <c r="I40" s="136">
        <v>1221</v>
      </c>
      <c r="J40" s="161">
        <v>39</v>
      </c>
      <c r="K40" s="23">
        <v>0.92</v>
      </c>
      <c r="L40" s="16" t="s">
        <v>239</v>
      </c>
      <c r="M40" s="16"/>
    </row>
    <row r="41" spans="1:13" hidden="1">
      <c r="A41" s="141" t="str">
        <f>B41&amp;C41</f>
        <v>SBDOther</v>
      </c>
      <c r="B41" s="2" t="s">
        <v>151</v>
      </c>
      <c r="C41" s="144" t="s">
        <v>14</v>
      </c>
      <c r="D41" s="249">
        <v>40795</v>
      </c>
      <c r="E41" s="228" t="s">
        <v>228</v>
      </c>
      <c r="F41" s="229" t="s">
        <v>18</v>
      </c>
      <c r="G41" s="194"/>
      <c r="H41" s="189" t="e">
        <f>H42-SUM(H38:H40)</f>
        <v>#N/A</v>
      </c>
      <c r="I41" s="191" t="e">
        <f>I42-SUM(I38:I40)</f>
        <v>#N/A</v>
      </c>
      <c r="J41" s="189" t="e">
        <f>J42-SUM(J38:J40)</f>
        <v>#N/A</v>
      </c>
      <c r="K41" s="190" t="e">
        <f>(K42*I42-(SUMPRODUCT(K38:K40,I38:I40)))/I41</f>
        <v>#N/A</v>
      </c>
      <c r="M41" s="16"/>
    </row>
    <row r="42" spans="1:13" ht="13.5" hidden="1" thickBot="1">
      <c r="A42" s="143" t="str">
        <f>B42&amp;C42</f>
        <v>SBDTotal</v>
      </c>
      <c r="B42" s="147" t="s">
        <v>151</v>
      </c>
      <c r="C42" s="148" t="s">
        <v>21</v>
      </c>
      <c r="D42" s="249">
        <v>40795</v>
      </c>
      <c r="E42" s="253" t="s">
        <v>228</v>
      </c>
      <c r="F42" s="192"/>
      <c r="G42" s="192"/>
      <c r="H42" s="213" t="e">
        <f>HLOOKUP($B42, PortfolioData!$B$10:$K$55, H$11, FALSE)</f>
        <v>#N/A</v>
      </c>
      <c r="I42" s="214" t="e">
        <f>HLOOKUP($B42, PortfolioData!$B$10:$K$55, I$11, FALSE)</f>
        <v>#N/A</v>
      </c>
      <c r="J42" s="213" t="e">
        <f>HLOOKUP($B42, PortfolioData!$B$10:$K$55, J$11, FALSE)</f>
        <v>#N/A</v>
      </c>
      <c r="K42" s="215" t="e">
        <f>HLOOKUP($B42, PortfolioData!$B$10:$K$55, K$11, FALSE)</f>
        <v>#N/A</v>
      </c>
      <c r="L42" s="193"/>
      <c r="M42" s="193"/>
    </row>
    <row r="44" spans="1:13">
      <c r="H44" s="247"/>
      <c r="I44" s="136"/>
      <c r="J44" s="161"/>
      <c r="K44" s="360"/>
      <c r="M44" s="248"/>
    </row>
    <row r="45" spans="1:13">
      <c r="H45" s="247"/>
      <c r="I45" s="136"/>
      <c r="J45" s="161"/>
      <c r="K45" s="360"/>
      <c r="M45" s="248"/>
    </row>
    <row r="46" spans="1:13">
      <c r="H46" s="247"/>
      <c r="I46" s="136"/>
      <c r="J46" s="161"/>
      <c r="K46" s="360"/>
      <c r="M46" s="248"/>
    </row>
    <row r="47" spans="1:13">
      <c r="K47" s="360"/>
    </row>
    <row r="48" spans="1:13">
      <c r="K48" s="360"/>
    </row>
    <row r="49" spans="11:11">
      <c r="K49" s="360"/>
    </row>
  </sheetData>
  <mergeCells count="4">
    <mergeCell ref="C1:D1"/>
    <mergeCell ref="C2:D2"/>
    <mergeCell ref="C3:D3"/>
    <mergeCell ref="D11:E11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22"/>
  </sheetPr>
  <dimension ref="A1:U46"/>
  <sheetViews>
    <sheetView workbookViewId="0">
      <pane ySplit="12" topLeftCell="A13" activePane="bottomLeft" state="frozen"/>
      <selection pane="bottomLeft" activeCell="P36" sqref="P36"/>
    </sheetView>
  </sheetViews>
  <sheetFormatPr defaultRowHeight="12.75"/>
  <cols>
    <col min="1" max="1" width="12.42578125" style="141" bestFit="1" customWidth="1"/>
    <col min="2" max="2" width="11.5703125" bestFit="1" customWidth="1"/>
    <col min="4" max="4" width="10.5703125" customWidth="1"/>
    <col min="5" max="5" width="7" bestFit="1" customWidth="1"/>
    <col min="6" max="6" width="23.7109375" bestFit="1" customWidth="1"/>
    <col min="7" max="7" width="23.7109375" customWidth="1"/>
    <col min="8" max="8" width="10.42578125" bestFit="1" customWidth="1"/>
    <col min="9" max="9" width="14.140625" customWidth="1"/>
    <col min="10" max="10" width="12.85546875" customWidth="1"/>
    <col min="11" max="11" width="11.140625" customWidth="1"/>
    <col min="12" max="12" width="12" customWidth="1"/>
    <col min="13" max="13" width="14.140625" customWidth="1"/>
    <col min="14" max="14" width="11.140625" customWidth="1"/>
    <col min="15" max="15" width="13.7109375" customWidth="1"/>
    <col min="16" max="16" width="11.28515625" customWidth="1"/>
    <col min="17" max="17" width="33" customWidth="1"/>
  </cols>
  <sheetData>
    <row r="1" spans="1:21">
      <c r="A1"/>
      <c r="B1" s="149" t="s">
        <v>77</v>
      </c>
      <c r="C1" s="416" t="s">
        <v>78</v>
      </c>
      <c r="D1" s="417"/>
    </row>
    <row r="2" spans="1:21">
      <c r="A2"/>
      <c r="B2" s="150"/>
      <c r="C2" s="418" t="s">
        <v>79</v>
      </c>
      <c r="D2" s="419"/>
    </row>
    <row r="3" spans="1:21" ht="13.5" thickBot="1">
      <c r="A3"/>
      <c r="B3" s="150"/>
      <c r="C3" s="426" t="s">
        <v>80</v>
      </c>
      <c r="D3" s="421"/>
    </row>
    <row r="4" spans="1:21">
      <c r="A4" s="142"/>
      <c r="B4" s="117" t="s">
        <v>86</v>
      </c>
      <c r="C4" s="118">
        <f>ROW(B12)</f>
        <v>12</v>
      </c>
      <c r="D4" s="39"/>
      <c r="E4" s="39"/>
    </row>
    <row r="5" spans="1:21">
      <c r="A5" s="142"/>
    </row>
    <row r="6" spans="1:21">
      <c r="A6"/>
    </row>
    <row r="7" spans="1:21">
      <c r="A7" s="142"/>
    </row>
    <row r="8" spans="1:21">
      <c r="A8" s="173"/>
      <c r="M8">
        <f>I13*M13</f>
        <v>4.9000000000000004</v>
      </c>
    </row>
    <row r="9" spans="1:21">
      <c r="A9" s="173"/>
    </row>
    <row r="10" spans="1:21" ht="13.5" thickBot="1">
      <c r="A10" s="173"/>
    </row>
    <row r="11" spans="1:21" ht="12.75" customHeight="1">
      <c r="A11" s="142"/>
      <c r="D11" s="424" t="s">
        <v>89</v>
      </c>
      <c r="E11" s="425"/>
    </row>
    <row r="12" spans="1:21" s="177" customFormat="1" ht="26.25" thickBot="1">
      <c r="A12" s="174" t="s">
        <v>74</v>
      </c>
      <c r="B12" s="175" t="s">
        <v>6</v>
      </c>
      <c r="C12" s="178" t="s">
        <v>87</v>
      </c>
      <c r="D12" s="223" t="s">
        <v>49</v>
      </c>
      <c r="E12" s="224" t="s">
        <v>90</v>
      </c>
      <c r="F12" s="175" t="s">
        <v>9</v>
      </c>
      <c r="G12" s="175" t="s">
        <v>226</v>
      </c>
      <c r="H12" s="176" t="s">
        <v>10</v>
      </c>
      <c r="I12" s="178" t="s">
        <v>16</v>
      </c>
      <c r="J12" s="178" t="s">
        <v>22</v>
      </c>
      <c r="K12" s="176" t="s">
        <v>73</v>
      </c>
      <c r="L12" s="176" t="s">
        <v>20</v>
      </c>
      <c r="M12" s="178" t="s">
        <v>34</v>
      </c>
      <c r="N12" s="178" t="s">
        <v>36</v>
      </c>
      <c r="O12" s="178" t="s">
        <v>35</v>
      </c>
      <c r="P12" s="178" t="s">
        <v>15</v>
      </c>
      <c r="Q12" s="186" t="s">
        <v>203</v>
      </c>
      <c r="T12" s="375" t="s">
        <v>1009</v>
      </c>
      <c r="U12" s="375" t="s">
        <v>1010</v>
      </c>
    </row>
    <row r="13" spans="1:21">
      <c r="A13" s="141" t="str">
        <f t="shared" ref="A13:A37" si="0">B13&amp;C13</f>
        <v>BLND1</v>
      </c>
      <c r="B13" s="2" t="s">
        <v>3</v>
      </c>
      <c r="C13" s="144">
        <v>1</v>
      </c>
      <c r="D13" s="225"/>
      <c r="E13" s="226"/>
      <c r="F13" s="286" t="s">
        <v>330</v>
      </c>
      <c r="G13" s="275" t="e">
        <f>INDEX(Development!$D:$D, MATCH(F13, Development!$C:$C, 0))</f>
        <v>#N/A</v>
      </c>
      <c r="H13" s="286" t="e">
        <f>INDEX(Development!$N:$N, MATCH(F13, Development!$C:$C, 0))</f>
        <v>#N/A</v>
      </c>
      <c r="I13" s="374">
        <v>70</v>
      </c>
      <c r="J13" s="136" t="e">
        <f>INDEX(Development!$W:$W, MATCH(F13, Development!$C:$C, 0))/1000</f>
        <v>#N/A</v>
      </c>
      <c r="K13" s="161" t="e">
        <f>U13*J13/1000</f>
        <v>#N/A</v>
      </c>
      <c r="L13" s="292">
        <v>0</v>
      </c>
      <c r="M13" s="340">
        <v>7.0000000000000007E-2</v>
      </c>
      <c r="N13" s="292">
        <v>0.05</v>
      </c>
      <c r="O13" s="292">
        <f>M8/N13/I13-1</f>
        <v>0.39999999999999991</v>
      </c>
      <c r="P13" s="368" t="s">
        <v>1037</v>
      </c>
      <c r="Q13" s="16"/>
      <c r="R13" t="e">
        <f>INDEX(Development!$R:$R, MATCH(F13, Development!$C:$C, 0))</f>
        <v>#N/A</v>
      </c>
      <c r="T13" t="e">
        <f>INDEX(Development!$W:$W, MATCH(F13, Development!$C:$C, 0))/1000</f>
        <v>#N/A</v>
      </c>
      <c r="U13" s="337">
        <v>110</v>
      </c>
    </row>
    <row r="14" spans="1:21">
      <c r="A14" s="141" t="str">
        <f t="shared" si="0"/>
        <v>BLND2</v>
      </c>
      <c r="B14" s="2" t="s">
        <v>3</v>
      </c>
      <c r="C14" s="144">
        <v>2</v>
      </c>
      <c r="D14" s="249"/>
      <c r="E14" s="228"/>
      <c r="F14" s="258" t="s">
        <v>525</v>
      </c>
      <c r="G14" s="275">
        <f>INDEX(Development!$D:$D, MATCH(F14, Development!$C:$C, 0))</f>
        <v>1</v>
      </c>
      <c r="H14" s="286" t="str">
        <f>INDEX(Development!$N:$N, MATCH(F14, Development!$C:$C, 0))</f>
        <v>West End</v>
      </c>
      <c r="I14" s="258">
        <f>INDEX(Development!$AN:$AN, MATCH(F14, Development!$C:$C, 0))</f>
        <v>128.57499999999999</v>
      </c>
      <c r="J14" s="136">
        <f>INDEX(Development!$AA:$AA, MATCH(F14, Development!$C:$C, 0))/1000</f>
        <v>147</v>
      </c>
      <c r="K14" s="161">
        <f>INDEX(Development!$AT:$AT, MATCH(F14, Development!$C:$C, 0))</f>
        <v>9.4</v>
      </c>
      <c r="L14" s="23">
        <f>INDEX(Development!$U:$U, MATCH(F14, Development!$C:$C, 0))</f>
        <v>0</v>
      </c>
      <c r="M14" s="250">
        <f>INDEX(Development!$AX:$AX, MATCH(F14, Development!$C:$C, 0))</f>
        <v>7.3109080000000007E-2</v>
      </c>
      <c r="N14" s="23">
        <f>INDEX(Development!$AZ:$AZ, MATCH(F14, Development!$C:$C, 0))</f>
        <v>4.7500000000000001E-2</v>
      </c>
      <c r="O14" s="23">
        <f>INDEX(Development!$BK:$BK, MATCH(F14, Development!$C:$C, 0))</f>
        <v>0.45545015</v>
      </c>
      <c r="P14" s="368" t="s">
        <v>337</v>
      </c>
      <c r="Q14" s="16"/>
      <c r="R14" t="str">
        <f>INDEX(Development!$R:$R, MATCH(F14, Development!$C:$C, 0))</f>
        <v>2017-06-30</v>
      </c>
      <c r="U14" s="337"/>
    </row>
    <row r="15" spans="1:21">
      <c r="A15" s="141" t="str">
        <f t="shared" si="0"/>
        <v>BLND3</v>
      </c>
      <c r="B15" s="2" t="s">
        <v>3</v>
      </c>
      <c r="C15" s="144">
        <v>3</v>
      </c>
      <c r="D15" s="249"/>
      <c r="E15" s="228"/>
      <c r="F15" s="286"/>
      <c r="G15" s="306"/>
      <c r="H15" s="18"/>
      <c r="I15" s="194"/>
      <c r="J15" s="303"/>
      <c r="K15" s="307"/>
      <c r="L15" s="236"/>
      <c r="M15" s="351"/>
      <c r="N15" s="236"/>
      <c r="O15" s="236"/>
      <c r="P15" s="369"/>
      <c r="Q15" s="16"/>
      <c r="R15" t="e">
        <f>INDEX(Development!$R:$R, MATCH(F15, Development!$C:$C, 0))</f>
        <v>#N/A</v>
      </c>
    </row>
    <row r="16" spans="1:21">
      <c r="A16" s="141" t="str">
        <f t="shared" si="0"/>
        <v>BLNDOther</v>
      </c>
      <c r="B16" s="2" t="s">
        <v>3</v>
      </c>
      <c r="C16" s="144" t="s">
        <v>14</v>
      </c>
      <c r="D16" s="249"/>
      <c r="E16" s="228"/>
      <c r="F16" s="353" t="s">
        <v>14</v>
      </c>
      <c r="G16" s="230"/>
      <c r="H16" s="18"/>
      <c r="I16" s="231">
        <f>I17-SUM(I13:I15)</f>
        <v>0</v>
      </c>
      <c r="J16" s="232" t="e">
        <f>J17-SUM(J13:J15)</f>
        <v>#N/A</v>
      </c>
      <c r="K16" s="231" t="e">
        <f>K17-SUM(K13:K15)</f>
        <v>#N/A</v>
      </c>
      <c r="L16" s="236">
        <v>0</v>
      </c>
      <c r="M16" s="351">
        <v>0</v>
      </c>
      <c r="N16" s="236">
        <v>0</v>
      </c>
      <c r="O16" s="236">
        <v>0</v>
      </c>
      <c r="P16" s="233"/>
      <c r="Q16" s="339"/>
    </row>
    <row r="17" spans="1:19" ht="13.5" thickBot="1">
      <c r="A17" s="143" t="str">
        <f t="shared" si="0"/>
        <v>BLNDTotal</v>
      </c>
      <c r="B17" s="147" t="s">
        <v>3</v>
      </c>
      <c r="C17" s="148" t="s">
        <v>21</v>
      </c>
      <c r="D17" s="252"/>
      <c r="E17" s="253"/>
      <c r="F17" s="192" t="str">
        <f>C17</f>
        <v>Total</v>
      </c>
      <c r="G17" s="192"/>
      <c r="H17" s="192"/>
      <c r="I17" s="221">
        <f>SUM(I13:I15)</f>
        <v>198.57499999999999</v>
      </c>
      <c r="J17" s="352" t="e">
        <f>SUM(J13:J15)</f>
        <v>#N/A</v>
      </c>
      <c r="K17" s="221" t="e">
        <f>SUM(K13:K15)</f>
        <v>#N/A</v>
      </c>
      <c r="L17" s="234">
        <f>AVERAGE(L13:L15)</f>
        <v>0</v>
      </c>
      <c r="M17" s="234">
        <f>AVERAGE(M13:M15)</f>
        <v>7.155454E-2</v>
      </c>
      <c r="N17" s="234">
        <f>AVERAGE(N13:N15)</f>
        <v>4.8750000000000002E-2</v>
      </c>
      <c r="O17" s="234">
        <f>AVERAGE(O13:O15)</f>
        <v>0.42772507499999995</v>
      </c>
      <c r="P17" s="235"/>
      <c r="Q17" s="193"/>
    </row>
    <row r="18" spans="1:19" hidden="1">
      <c r="A18" s="141" t="str">
        <f t="shared" si="0"/>
        <v>HMSO1</v>
      </c>
      <c r="B18" s="2" t="s">
        <v>136</v>
      </c>
      <c r="C18" s="144">
        <v>1</v>
      </c>
      <c r="D18" s="225"/>
      <c r="E18" s="226"/>
      <c r="F18" s="337" t="s">
        <v>225</v>
      </c>
      <c r="G18" s="291">
        <v>1</v>
      </c>
      <c r="H18" s="337" t="s">
        <v>221</v>
      </c>
      <c r="I18" s="290">
        <v>367</v>
      </c>
      <c r="J18" s="289">
        <v>608.16600000000005</v>
      </c>
      <c r="K18" s="290">
        <v>27</v>
      </c>
      <c r="L18" s="292">
        <v>0.32</v>
      </c>
      <c r="M18" s="292">
        <v>7.3999999999999996E-2</v>
      </c>
      <c r="N18" s="340">
        <v>5.7500000000000002E-2</v>
      </c>
      <c r="O18" s="292">
        <v>0.21</v>
      </c>
      <c r="P18" s="341" t="s">
        <v>208</v>
      </c>
      <c r="Q18" s="335"/>
    </row>
    <row r="19" spans="1:19" hidden="1">
      <c r="A19" s="141" t="str">
        <f t="shared" si="0"/>
        <v>HMSO2</v>
      </c>
      <c r="B19" s="2" t="s">
        <v>136</v>
      </c>
      <c r="C19" s="144">
        <v>2</v>
      </c>
      <c r="D19" s="227"/>
      <c r="E19" s="228"/>
      <c r="F19" s="337"/>
      <c r="G19" s="337"/>
      <c r="H19" s="337"/>
      <c r="I19" s="290"/>
      <c r="J19" s="289"/>
      <c r="K19" s="290"/>
      <c r="L19" s="292"/>
      <c r="M19" s="292"/>
      <c r="N19" s="292"/>
      <c r="O19" s="292"/>
      <c r="P19" s="341"/>
      <c r="Q19" s="335"/>
    </row>
    <row r="20" spans="1:19" hidden="1">
      <c r="A20" s="141" t="str">
        <f t="shared" si="0"/>
        <v>HMSO3</v>
      </c>
      <c r="B20" s="2" t="s">
        <v>136</v>
      </c>
      <c r="C20" s="144">
        <v>3</v>
      </c>
      <c r="D20" s="227"/>
      <c r="E20" s="228"/>
      <c r="F20" s="337"/>
      <c r="G20" s="337"/>
      <c r="H20" s="337"/>
      <c r="I20" s="290"/>
      <c r="J20" s="289"/>
      <c r="K20" s="290"/>
      <c r="L20" s="292"/>
      <c r="M20" s="292"/>
      <c r="N20" s="292"/>
      <c r="O20" s="292"/>
      <c r="P20" s="341"/>
      <c r="Q20" s="335"/>
    </row>
    <row r="21" spans="1:19" hidden="1">
      <c r="A21" s="141" t="str">
        <f t="shared" si="0"/>
        <v>HMSOOther</v>
      </c>
      <c r="B21" s="2" t="s">
        <v>136</v>
      </c>
      <c r="C21" s="144" t="s">
        <v>14</v>
      </c>
      <c r="D21" s="227"/>
      <c r="E21" s="228"/>
      <c r="F21" s="230" t="s">
        <v>14</v>
      </c>
      <c r="G21" s="230"/>
      <c r="H21" s="18"/>
      <c r="I21" s="231"/>
      <c r="J21" s="232"/>
      <c r="K21" s="231"/>
      <c r="L21" s="292"/>
      <c r="M21" s="292"/>
      <c r="N21" s="292"/>
      <c r="O21" s="292"/>
      <c r="P21" s="341"/>
      <c r="Q21" s="335"/>
    </row>
    <row r="22" spans="1:19" ht="13.5" hidden="1" thickBot="1">
      <c r="A22" s="143" t="str">
        <f t="shared" si="0"/>
        <v>HMSOTotal</v>
      </c>
      <c r="B22" s="147" t="s">
        <v>136</v>
      </c>
      <c r="C22" s="148" t="s">
        <v>21</v>
      </c>
      <c r="D22" s="252"/>
      <c r="E22" s="253"/>
      <c r="F22" s="342" t="str">
        <f>C22</f>
        <v>Total</v>
      </c>
      <c r="G22" s="342"/>
      <c r="H22" s="342"/>
      <c r="I22" s="343"/>
      <c r="J22" s="344"/>
      <c r="K22" s="343"/>
      <c r="L22" s="345"/>
      <c r="M22" s="347"/>
      <c r="N22" s="347"/>
      <c r="O22" s="347"/>
      <c r="P22" s="347"/>
      <c r="Q22" s="336"/>
    </row>
    <row r="23" spans="1:19">
      <c r="A23" s="141" t="str">
        <f t="shared" si="0"/>
        <v>LAND1</v>
      </c>
      <c r="B23" s="2" t="s">
        <v>44</v>
      </c>
      <c r="C23" s="144">
        <v>1</v>
      </c>
      <c r="D23" s="225"/>
      <c r="E23" s="226"/>
      <c r="F23" s="338" t="s">
        <v>332</v>
      </c>
      <c r="G23" s="275">
        <f>INDEX(Development!$D:$D, MATCH(F23, Development!$C:$C, 0))</f>
        <v>1</v>
      </c>
      <c r="H23" s="286" t="str">
        <f>INDEX(Development!$N:$N, MATCH(F23, Development!$C:$C, 0))</f>
        <v>City</v>
      </c>
      <c r="I23" s="258">
        <f>INDEX(Development!$AN:$AN, MATCH(F23, Development!$C:$C, 0))</f>
        <v>178.61287670999999</v>
      </c>
      <c r="J23" s="136">
        <f>INDEX(Development!$AA:$AA, MATCH(F23, Development!$C:$C, 0))/1000</f>
        <v>274.8</v>
      </c>
      <c r="K23" s="161">
        <f>INDEX(Development!$AT:$AT, MATCH(F23, Development!$C:$C, 0))</f>
        <v>15.526199999999999</v>
      </c>
      <c r="L23" s="23">
        <f>INDEX(Development!$U:$U, MATCH(F23, Development!$C:$C, 0))</f>
        <v>1</v>
      </c>
      <c r="M23" s="250">
        <f>INDEX(Development!$AX:$AX, MATCH(F23, Development!$C:$C, 0))</f>
        <v>8.6926539999999997E-2</v>
      </c>
      <c r="N23" s="23">
        <f>INDEX(Development!$AZ:$AZ, MATCH(F23, Development!$C:$C, 0))</f>
        <v>4.7500000000000001E-2</v>
      </c>
      <c r="O23" s="23">
        <f>INDEX(Development!$BK:$BK, MATCH(F23, Development!$C:$C, 0))</f>
        <v>0.73052718000000005</v>
      </c>
      <c r="P23" s="368" t="s">
        <v>333</v>
      </c>
      <c r="Q23" s="339"/>
      <c r="R23" t="str">
        <f>INDEX(Development!$R:$R, MATCH(F23, Development!$C:$C, 0))</f>
        <v>2016-07-15</v>
      </c>
    </row>
    <row r="24" spans="1:19">
      <c r="A24" s="141" t="str">
        <f t="shared" si="0"/>
        <v>LAND2</v>
      </c>
      <c r="B24" s="2" t="s">
        <v>44</v>
      </c>
      <c r="C24" s="144">
        <v>2</v>
      </c>
      <c r="D24" s="249"/>
      <c r="E24" s="228"/>
      <c r="F24" s="194" t="s">
        <v>1000</v>
      </c>
      <c r="G24" s="275">
        <f>INDEX(Development!$D:$D, MATCH(S24, Development!$C:$C, 0))</f>
        <v>0.5</v>
      </c>
      <c r="H24" s="286" t="str">
        <f>INDEX(Development!$N:$N, MATCH(S24, Development!$C:$C, 0))</f>
        <v>West End</v>
      </c>
      <c r="I24" s="258">
        <f>INDEX(Development!$AN:$AN, MATCH(S24, Development!$C:$C, 0))</f>
        <v>260.5665419</v>
      </c>
      <c r="J24" s="136">
        <f>INDEX(Development!$AA:$AA, MATCH(S24, Development!$C:$C, 0))/1000</f>
        <v>560.6</v>
      </c>
      <c r="K24" s="161">
        <f>INDEX(Development!$AT:$AT, MATCH(S24, Development!$C:$C, 0))</f>
        <v>20.7422</v>
      </c>
      <c r="L24" s="23">
        <f>INDEX(Development!$U:$U, MATCH(S24, Development!$C:$C, 0))</f>
        <v>0.35</v>
      </c>
      <c r="M24" s="250">
        <f>INDEX(Development!$AX:$AX, MATCH(S24, Development!$C:$C, 0))</f>
        <v>7.9604229999999998E-2</v>
      </c>
      <c r="N24" s="23">
        <f>INDEX(Development!$AZ:$AZ, MATCH(S24, Development!$C:$C, 0))</f>
        <v>4.4999999999999998E-2</v>
      </c>
      <c r="O24" s="23">
        <f>INDEX(Development!$BK:$BK, MATCH(S24, Development!$C:$C, 0))</f>
        <v>0.67279714000000002</v>
      </c>
      <c r="P24" s="368" t="s">
        <v>993</v>
      </c>
      <c r="Q24" s="16"/>
      <c r="R24" t="str">
        <f>INDEX(Development!$R:$R, MATCH(S24, Development!$C:$C, 0))</f>
        <v>2016-10-30</v>
      </c>
      <c r="S24" s="367" t="s">
        <v>471</v>
      </c>
    </row>
    <row r="25" spans="1:19">
      <c r="A25" s="141" t="str">
        <f t="shared" si="0"/>
        <v>LAND3</v>
      </c>
      <c r="B25" s="2" t="s">
        <v>44</v>
      </c>
      <c r="C25" s="144">
        <v>3</v>
      </c>
      <c r="D25" s="249"/>
      <c r="E25" s="228"/>
      <c r="F25" s="338"/>
      <c r="G25" s="306"/>
      <c r="H25" s="338"/>
      <c r="I25" s="307"/>
      <c r="J25" s="303"/>
      <c r="K25" s="305"/>
      <c r="L25" s="236"/>
      <c r="M25" s="236"/>
      <c r="N25" s="236"/>
      <c r="O25" s="354"/>
      <c r="P25" s="369"/>
      <c r="Q25" s="16"/>
      <c r="R25" t="e">
        <f>INDEX(Development!$R:$R, MATCH(F25, Development!$C:$C, 0))</f>
        <v>#N/A</v>
      </c>
    </row>
    <row r="26" spans="1:19">
      <c r="A26" s="141" t="str">
        <f t="shared" si="0"/>
        <v>LANDOther</v>
      </c>
      <c r="B26" s="2" t="s">
        <v>44</v>
      </c>
      <c r="C26" s="144" t="s">
        <v>14</v>
      </c>
      <c r="D26" s="249"/>
      <c r="E26" s="228"/>
      <c r="F26" s="230" t="s">
        <v>14</v>
      </c>
      <c r="G26" s="230"/>
      <c r="H26" s="18"/>
      <c r="I26" s="231"/>
      <c r="J26" s="232"/>
      <c r="K26" s="231"/>
      <c r="L26" s="236"/>
      <c r="M26" s="236"/>
      <c r="N26" s="236"/>
      <c r="O26" s="355"/>
      <c r="P26" s="233"/>
      <c r="Q26" s="339"/>
    </row>
    <row r="27" spans="1:19" ht="13.5" thickBot="1">
      <c r="A27" s="143" t="str">
        <f t="shared" si="0"/>
        <v>LANDTotal</v>
      </c>
      <c r="B27" s="2" t="s">
        <v>44</v>
      </c>
      <c r="C27" s="148" t="s">
        <v>21</v>
      </c>
      <c r="D27" s="252"/>
      <c r="E27" s="253"/>
      <c r="F27" s="192" t="str">
        <f>C27</f>
        <v>Total</v>
      </c>
      <c r="G27" s="192"/>
      <c r="H27" s="192"/>
      <c r="I27" s="221">
        <f>SUM(I23:I25)</f>
        <v>439.17941860999997</v>
      </c>
      <c r="J27" s="352">
        <f>SUM(J23:J25)</f>
        <v>835.40000000000009</v>
      </c>
      <c r="K27" s="221">
        <f>SUM(K23:K25)</f>
        <v>36.2684</v>
      </c>
      <c r="L27" s="234">
        <f>AVERAGE(L23:L25)</f>
        <v>0.67500000000000004</v>
      </c>
      <c r="M27" s="234">
        <f>AVERAGE(M23:M25)</f>
        <v>8.3265384999999997E-2</v>
      </c>
      <c r="N27" s="234">
        <f>AVERAGE(N23:N25)</f>
        <v>4.6249999999999999E-2</v>
      </c>
      <c r="O27" s="234">
        <f>AVERAGE(O23:O25)</f>
        <v>0.70166216000000003</v>
      </c>
      <c r="P27" s="235"/>
      <c r="Q27" s="193"/>
    </row>
    <row r="28" spans="1:19">
      <c r="A28" s="141" t="str">
        <f t="shared" si="0"/>
        <v>DLN1</v>
      </c>
      <c r="B28" s="145" t="s">
        <v>45</v>
      </c>
      <c r="C28" s="144">
        <v>1</v>
      </c>
      <c r="D28" s="225"/>
      <c r="E28" s="226"/>
      <c r="F28" s="338" t="s">
        <v>334</v>
      </c>
      <c r="G28" s="275">
        <f>INDEX(Development!$D:$D, MATCH(F28, Development!$C:$C, 0))</f>
        <v>1</v>
      </c>
      <c r="H28" s="286" t="str">
        <f>INDEX(Development!$N:$N, MATCH(F28, Development!$C:$C, 0))</f>
        <v>City fringe</v>
      </c>
      <c r="I28" s="258">
        <f>INDEX(Development!$AN:$AN, MATCH(F28, Development!$C:$C, 0))</f>
        <v>209.7</v>
      </c>
      <c r="J28" s="136">
        <f>INDEX(Development!$AA:$AA, MATCH(F28, Development!$C:$C, 0))/1000</f>
        <v>293</v>
      </c>
      <c r="K28" s="161">
        <f>INDEX(Development!$AT:$AT, MATCH(F28, Development!$C:$C, 0))</f>
        <v>16.7</v>
      </c>
      <c r="L28" s="23">
        <f>INDEX(Development!$U:$U, MATCH(F28, Development!$C:$C, 0))</f>
        <v>0.56000000000000005</v>
      </c>
      <c r="M28" s="250">
        <f>INDEX(Development!$AX:$AX, MATCH(F28, Development!$C:$C, 0))</f>
        <v>7.9637579999999999E-2</v>
      </c>
      <c r="N28" s="23">
        <f>INDEX(Development!$AZ:$AZ, MATCH(F28, Development!$C:$C, 0))</f>
        <v>4.4999999999999998E-2</v>
      </c>
      <c r="O28" s="23">
        <f>INDEX(Development!$BK:$BK, MATCH(F28, Development!$C:$C, 0))</f>
        <v>0.67349782000000002</v>
      </c>
      <c r="P28" s="368" t="s">
        <v>993</v>
      </c>
      <c r="Q28" s="16"/>
      <c r="R28" t="str">
        <f>INDEX(Development!$R:$R, MATCH(F28, Development!$C:$C, 0))</f>
        <v>2016-11-30</v>
      </c>
    </row>
    <row r="29" spans="1:19">
      <c r="A29" s="141" t="str">
        <f t="shared" si="0"/>
        <v>DLN2</v>
      </c>
      <c r="B29" s="146" t="s">
        <v>45</v>
      </c>
      <c r="C29" s="144">
        <v>2</v>
      </c>
      <c r="D29" s="249"/>
      <c r="E29" s="228"/>
      <c r="F29" s="338" t="s">
        <v>618</v>
      </c>
      <c r="G29" s="275">
        <f>INDEX(Development!$D:$D, MATCH(F29, Development!$C:$C, 0))</f>
        <v>1</v>
      </c>
      <c r="H29" s="286" t="str">
        <f>INDEX(Development!$N:$N, MATCH(F29, Development!$C:$C, 0))</f>
        <v>NoHo</v>
      </c>
      <c r="I29" s="258">
        <f>INDEX(Development!$AN:$AN, MATCH(F29, Development!$C:$C, 0))</f>
        <v>509.4</v>
      </c>
      <c r="J29" s="136">
        <f>INDEX(Development!$AA:$AA, MATCH(F29, Development!$C:$C, 0))/1000</f>
        <v>380</v>
      </c>
      <c r="K29" s="161">
        <f>INDEX(Development!$AT:$AT, MATCH(F29, Development!$C:$C, 0))</f>
        <v>26.4</v>
      </c>
      <c r="L29" s="23">
        <f>INDEX(Development!$U:$U, MATCH(F29, Development!$C:$C, 0))</f>
        <v>0</v>
      </c>
      <c r="M29" s="250">
        <f>INDEX(Development!$AX:$AX, MATCH(F29, Development!$C:$C, 0))</f>
        <v>5.1825679999999999E-2</v>
      </c>
      <c r="N29" s="23">
        <f>INDEX(Development!$AZ:$AZ, MATCH(F29, Development!$C:$C, 0))</f>
        <v>3.7499999999999999E-2</v>
      </c>
      <c r="O29" s="23">
        <f>INDEX(Development!$BK:$BK, MATCH(F29, Development!$C:$C, 0))</f>
        <v>0.30687287000000002</v>
      </c>
      <c r="P29" s="368" t="s">
        <v>1033</v>
      </c>
      <c r="Q29" s="16"/>
      <c r="R29" t="str">
        <f>INDEX(Development!$R:$R, MATCH(F29, Development!$C:$C, 0))</f>
        <v>2019-10-01</v>
      </c>
    </row>
    <row r="30" spans="1:19">
      <c r="A30" s="141" t="str">
        <f t="shared" si="0"/>
        <v>DLN3</v>
      </c>
      <c r="B30" s="146" t="s">
        <v>45</v>
      </c>
      <c r="C30" s="144">
        <v>3</v>
      </c>
      <c r="D30" s="249"/>
      <c r="E30" s="228"/>
      <c r="F30" s="338" t="s">
        <v>881</v>
      </c>
      <c r="G30" s="275">
        <f>INDEX(Development!$D:$D, MATCH(F30, Development!$C:$C, 0))</f>
        <v>1</v>
      </c>
      <c r="H30" s="286" t="str">
        <f>INDEX(Development!$N:$N, MATCH(F30, Development!$C:$C, 0))</f>
        <v>Paddington</v>
      </c>
      <c r="I30" s="258">
        <f>INDEX(Development!$AN:$AN, MATCH(F30, Development!$C:$C, 0))</f>
        <v>252.8</v>
      </c>
      <c r="J30" s="136">
        <f>INDEX(Development!$AA:$AA, MATCH(F30, Development!$C:$C, 0))/1000</f>
        <v>240</v>
      </c>
      <c r="K30" s="161">
        <f>INDEX(Development!$AT:$AT, MATCH(F30, Development!$C:$C, 0))</f>
        <v>14.8</v>
      </c>
      <c r="L30" s="23">
        <f>INDEX(Development!$U:$U, MATCH(F30, Development!$C:$C, 0))</f>
        <v>0</v>
      </c>
      <c r="M30" s="250">
        <f>INDEX(Development!$AX:$AX, MATCH(F30, Development!$C:$C, 0))</f>
        <v>5.8544300000000001E-2</v>
      </c>
      <c r="N30" s="23">
        <f>INDEX(Development!$AZ:$AZ, MATCH(F30, Development!$C:$C, 0))</f>
        <v>4.3999999999999997E-2</v>
      </c>
      <c r="O30" s="23">
        <f>INDEX(Development!$BK:$BK, MATCH(F30, Development!$C:$C, 0))</f>
        <v>0.25820554000000001</v>
      </c>
      <c r="P30" s="368" t="s">
        <v>994</v>
      </c>
      <c r="Q30" s="339"/>
      <c r="R30" t="str">
        <f>INDEX(Development!$R:$R, MATCH(F30, Development!$C:$C, 0))</f>
        <v>2019-05-01</v>
      </c>
    </row>
    <row r="31" spans="1:19">
      <c r="A31" s="141" t="str">
        <f t="shared" si="0"/>
        <v>DLNOther</v>
      </c>
      <c r="B31" s="146" t="s">
        <v>45</v>
      </c>
      <c r="C31" s="144" t="s">
        <v>14</v>
      </c>
      <c r="D31" s="249"/>
      <c r="E31" s="228"/>
      <c r="F31" s="372" t="s">
        <v>14</v>
      </c>
      <c r="G31" s="373">
        <v>1</v>
      </c>
      <c r="H31" s="18"/>
      <c r="I31" s="231">
        <f>Development!AN138</f>
        <v>148.30000000000001</v>
      </c>
      <c r="J31" s="232">
        <f>(Development!AA138)/1000</f>
        <v>107.15</v>
      </c>
      <c r="K31" s="231">
        <f>Development!AT138</f>
        <v>8.3000000000000007</v>
      </c>
      <c r="L31" s="236">
        <v>0.81</v>
      </c>
      <c r="M31" s="236"/>
      <c r="N31" s="236"/>
      <c r="O31" s="236"/>
      <c r="P31" s="233"/>
      <c r="Q31" s="339"/>
    </row>
    <row r="32" spans="1:19" ht="13.5" thickBot="1">
      <c r="A32" s="143" t="str">
        <f t="shared" si="0"/>
        <v>DLNTotal</v>
      </c>
      <c r="B32" s="147" t="s">
        <v>45</v>
      </c>
      <c r="C32" s="148" t="s">
        <v>21</v>
      </c>
      <c r="D32" s="252"/>
      <c r="E32" s="253"/>
      <c r="F32" s="192" t="str">
        <f>C32</f>
        <v>Total</v>
      </c>
      <c r="G32" s="192"/>
      <c r="H32" s="192"/>
      <c r="I32" s="221">
        <f>SUM(I28:I30)</f>
        <v>971.89999999999986</v>
      </c>
      <c r="J32" s="222">
        <f>SUM(J28:J30)</f>
        <v>913</v>
      </c>
      <c r="K32" s="221">
        <f>SUM(K28:K30)</f>
        <v>57.899999999999991</v>
      </c>
      <c r="L32" s="234">
        <v>0</v>
      </c>
      <c r="M32" s="261">
        <f>SUMPRODUCT(M28:M30,$I$28:$I$30)/SUM($I$28:$I$30)</f>
        <v>5.9574031235723857E-2</v>
      </c>
      <c r="N32" s="262">
        <f>SUMPRODUCT(N28:N30,$I$28:$I$30)/SUM($I$28:$I$30)</f>
        <v>4.0808930959975308E-2</v>
      </c>
      <c r="O32" s="262">
        <f>SUMPRODUCT(O28:O30,$I$28:$I$30)/SUM($I$28:$I$30)</f>
        <v>0.37331813287786808</v>
      </c>
      <c r="P32" s="235"/>
      <c r="Q32" s="193"/>
    </row>
    <row r="33" spans="1:21">
      <c r="A33" s="141" t="str">
        <f t="shared" si="0"/>
        <v>GPOR1</v>
      </c>
      <c r="B33" s="2" t="s">
        <v>46</v>
      </c>
      <c r="C33" s="144">
        <v>1</v>
      </c>
      <c r="D33" s="225"/>
      <c r="E33" s="226"/>
      <c r="F33" s="338" t="s">
        <v>628</v>
      </c>
      <c r="G33" s="275">
        <f>INDEX(Development!$D:$D, MATCH(F33, Development!$C:$C, 0))</f>
        <v>1</v>
      </c>
      <c r="H33" s="286" t="str">
        <f>INDEX(Development!$N:$N, MATCH(F33, Development!$C:$C, 0))</f>
        <v>Soho</v>
      </c>
      <c r="I33" s="258">
        <f>INDEX(Development!$AN:$AN, MATCH(F33, Development!$C:$C, 0))</f>
        <v>129.52150889999999</v>
      </c>
      <c r="J33" s="136">
        <f>INDEX(Development!$AA:$AA, MATCH(F33, Development!$C:$C, 0))/1000</f>
        <v>91.8</v>
      </c>
      <c r="K33" s="161">
        <f>INDEX(Development!$AT:$AT, MATCH(F33, Development!$C:$C, 0))</f>
        <v>8</v>
      </c>
      <c r="L33" s="23">
        <f>INDEX(Development!$U:$U, MATCH(F33, Development!$C:$C, 0))</f>
        <v>0</v>
      </c>
      <c r="M33" s="250">
        <f>INDEX(Development!$AX:$AX, MATCH(F33, Development!$C:$C, 0))</f>
        <v>6.1765800000000003E-2</v>
      </c>
      <c r="N33" s="23">
        <f>INDEX(Development!$AZ:$AZ, MATCH(F33, Development!$C:$C, 0))</f>
        <v>3.7499999999999999E-2</v>
      </c>
      <c r="O33" s="23">
        <f>INDEX(Development!$BK:$BK, MATCH(F33, Development!$C:$C, 0))</f>
        <v>0.34044933999999999</v>
      </c>
      <c r="P33" s="369" t="s">
        <v>333</v>
      </c>
      <c r="Q33" s="339"/>
      <c r="R33" t="str">
        <f>INDEX(Development!$R:$R, MATCH(F33, Development!$C:$C, 0))</f>
        <v>2016-09-30</v>
      </c>
    </row>
    <row r="34" spans="1:21">
      <c r="A34" s="141" t="str">
        <f t="shared" si="0"/>
        <v>GPOR2</v>
      </c>
      <c r="B34" s="2" t="s">
        <v>46</v>
      </c>
      <c r="C34" s="144">
        <v>2</v>
      </c>
      <c r="D34" s="249"/>
      <c r="E34" s="228"/>
      <c r="F34" s="194" t="s">
        <v>1031</v>
      </c>
      <c r="G34" s="275">
        <f>INDEX(Development!$D:$D, MATCH(F34, Development!$C:$C, 0))</f>
        <v>1</v>
      </c>
      <c r="H34" s="286" t="str">
        <f>INDEX(Development!$N:$N, MATCH(F34, Development!$C:$C, 0))</f>
        <v>Noho</v>
      </c>
      <c r="I34" s="258">
        <f>INDEX(Development!$AN:$AN, MATCH(F34, Development!$C:$C, 0))*T34/U34</f>
        <v>285.60598385208482</v>
      </c>
      <c r="J34" s="136">
        <f>INDEX(Development!$W:$W, MATCH(F34, Development!$C:$C, 0))/1000</f>
        <v>268</v>
      </c>
      <c r="K34" s="161">
        <f>INDEX(Development!$AT:$AT, MATCH(F34, Development!$C:$C, 0))</f>
        <v>19.7</v>
      </c>
      <c r="L34" s="23">
        <f>INDEX(Development!$U:$U, MATCH(F34, Development!$C:$C, 0))</f>
        <v>0.92</v>
      </c>
      <c r="M34" s="250">
        <f>INDEX(Development!$AX:$AX, MATCH(F34, Development!$C:$C, 0))</f>
        <v>6.4000000000000001E-2</v>
      </c>
      <c r="N34" s="23">
        <f>INDEX(Development!$AZ:$AZ, MATCH(F34, Development!$C:$C, 0))</f>
        <v>0.04</v>
      </c>
      <c r="O34" s="23">
        <f>INDEX(Development!$BK:$BK, MATCH(F34, Development!$C:$C, 0))</f>
        <v>0.62141648000000005</v>
      </c>
      <c r="P34" s="369" t="s">
        <v>337</v>
      </c>
      <c r="Q34" s="339"/>
      <c r="R34" t="str">
        <f>INDEX(Development!$R:$R, MATCH(F34, Development!$C:$C, 0))</f>
        <v>2017-06-01</v>
      </c>
      <c r="T34">
        <f>INDEX(Development!$W:$W, MATCH(F34, Development!$C:$C, 0))/1000</f>
        <v>268</v>
      </c>
      <c r="U34">
        <f>INDEX(Development!$AA:$AA, MATCH(F34, Development!$C:$C, 0))/1000</f>
        <v>419.7</v>
      </c>
    </row>
    <row r="35" spans="1:21">
      <c r="A35" s="141" t="str">
        <f t="shared" si="0"/>
        <v>GPOR3</v>
      </c>
      <c r="B35" s="2" t="s">
        <v>46</v>
      </c>
      <c r="C35" s="144">
        <v>3</v>
      </c>
      <c r="D35" s="249"/>
      <c r="E35" s="228"/>
      <c r="F35" s="338" t="s">
        <v>335</v>
      </c>
      <c r="G35" s="275">
        <f>INDEX(Development!$D:$D, MATCH(F35, Development!$C:$C, 0))</f>
        <v>1</v>
      </c>
      <c r="H35" s="374" t="s">
        <v>1003</v>
      </c>
      <c r="I35" s="258">
        <f>INDEX(Development!$AN:$AN, MATCH(F35, Development!$C:$C, 0))</f>
        <v>140.34657533999999</v>
      </c>
      <c r="J35" s="136">
        <f>INDEX(Development!$AA:$AA, MATCH(F35, Development!$C:$C, 0))/1000</f>
        <v>90.7</v>
      </c>
      <c r="K35" s="161">
        <f>INDEX(Development!$AT:$AT, MATCH(F35, Development!$C:$C, 0))</f>
        <v>9.9</v>
      </c>
      <c r="L35" s="23">
        <f>INDEX(Development!$U:$U, MATCH(F35, Development!$C:$C, 0))</f>
        <v>0.63</v>
      </c>
      <c r="M35" s="250">
        <f>INDEX(Development!$AX:$AX, MATCH(F35, Development!$C:$C, 0))</f>
        <v>7.0539660000000004E-2</v>
      </c>
      <c r="N35" s="23">
        <f>INDEX(Development!$AZ:$AZ, MATCH(F35, Development!$C:$C, 0))</f>
        <v>0.04</v>
      </c>
      <c r="O35" s="23">
        <f>INDEX(Development!$BK:$BK, MATCH(F35, Development!$C:$C, 0))</f>
        <v>0.52779505000000004</v>
      </c>
      <c r="P35" s="369" t="s">
        <v>337</v>
      </c>
      <c r="Q35" s="339"/>
      <c r="R35" t="str">
        <f>INDEX(Development!$R:$R, MATCH(F35, Development!$C:$C, 0))</f>
        <v>2017-05-31</v>
      </c>
    </row>
    <row r="36" spans="1:21">
      <c r="A36" s="141" t="str">
        <f t="shared" si="0"/>
        <v>GPOROther</v>
      </c>
      <c r="B36" s="2" t="s">
        <v>46</v>
      </c>
      <c r="C36" s="144" t="s">
        <v>14</v>
      </c>
      <c r="D36" s="249"/>
      <c r="E36" s="228"/>
      <c r="F36" s="230" t="s">
        <v>14</v>
      </c>
      <c r="G36" s="230"/>
      <c r="H36" s="18"/>
      <c r="I36" s="231"/>
      <c r="J36" s="232"/>
      <c r="K36" s="231"/>
      <c r="L36" s="236"/>
      <c r="M36" s="236"/>
      <c r="N36" s="236"/>
      <c r="O36" s="236"/>
      <c r="P36" s="233"/>
      <c r="Q36" s="339"/>
    </row>
    <row r="37" spans="1:21" ht="13.5" thickBot="1">
      <c r="A37" s="143" t="str">
        <f t="shared" si="0"/>
        <v>GPORTotal</v>
      </c>
      <c r="B37" s="147" t="s">
        <v>46</v>
      </c>
      <c r="C37" s="148" t="s">
        <v>21</v>
      </c>
      <c r="D37" s="252"/>
      <c r="E37" s="253"/>
      <c r="F37" s="192" t="str">
        <f>C37</f>
        <v>Total</v>
      </c>
      <c r="G37" s="192"/>
      <c r="H37" s="192"/>
      <c r="I37" s="221">
        <f>SUM(I33:I35)</f>
        <v>555.47406809208474</v>
      </c>
      <c r="J37" s="222">
        <f>SUM(J33:J35)</f>
        <v>450.5</v>
      </c>
      <c r="K37" s="221">
        <f>SUM(K33:K35)</f>
        <v>37.6</v>
      </c>
      <c r="L37" s="234">
        <v>0</v>
      </c>
      <c r="M37" s="261">
        <f>SUMPRODUCT(M33:M35,$I$28:$I$30)/SUM($I$28:$I$30)</f>
        <v>6.5218967288815724E-2</v>
      </c>
      <c r="N37" s="262">
        <f>SUMPRODUCT(N33:N35,$I$28:$I$30)/SUM($I$28:$I$30)</f>
        <v>3.9460592653565191E-2</v>
      </c>
      <c r="O37" s="262">
        <f>SUMPRODUCT(O33:O35,$I$28:$I$30)/SUM($I$28:$I$30)</f>
        <v>0.5364424016359709</v>
      </c>
      <c r="P37" s="235"/>
      <c r="Q37" s="193"/>
    </row>
    <row r="38" spans="1:21" hidden="1">
      <c r="A38" s="141" t="str">
        <f>B38&amp;C38</f>
        <v>SBD1</v>
      </c>
      <c r="B38" s="2" t="s">
        <v>151</v>
      </c>
      <c r="C38" s="144">
        <v>1</v>
      </c>
      <c r="D38" s="225"/>
      <c r="E38" s="226"/>
      <c r="F38" s="337" t="s">
        <v>230</v>
      </c>
      <c r="G38" s="292">
        <f>0.15*0.69</f>
        <v>0.10349999999999999</v>
      </c>
      <c r="H38" s="337" t="str">
        <f>H23</f>
        <v>City</v>
      </c>
      <c r="I38" s="290">
        <f>I23/$G23*$G38</f>
        <v>18.486432739485</v>
      </c>
      <c r="J38" s="290">
        <f>J23/$G23*$G38</f>
        <v>28.441800000000001</v>
      </c>
      <c r="K38" s="290">
        <f>K23/$G23*$G38</f>
        <v>1.6069616999999998</v>
      </c>
      <c r="L38" s="292">
        <f>L23</f>
        <v>1</v>
      </c>
      <c r="M38" s="292">
        <f>M23</f>
        <v>8.6926539999999997E-2</v>
      </c>
      <c r="N38" s="292">
        <f>N23</f>
        <v>4.7500000000000001E-2</v>
      </c>
      <c r="O38" s="292">
        <f>O23</f>
        <v>0.73052718000000005</v>
      </c>
      <c r="P38" s="341" t="str">
        <f>P23</f>
        <v>Q3 '16</v>
      </c>
      <c r="Q38" s="335"/>
    </row>
    <row r="39" spans="1:21" hidden="1">
      <c r="A39" s="141" t="str">
        <f>B39&amp;C39</f>
        <v>SBD2</v>
      </c>
      <c r="B39" s="2" t="s">
        <v>151</v>
      </c>
      <c r="C39" s="144">
        <v>2</v>
      </c>
      <c r="D39" s="249"/>
      <c r="E39" s="228"/>
      <c r="F39" s="337" t="s">
        <v>231</v>
      </c>
      <c r="G39" s="291">
        <v>1</v>
      </c>
      <c r="H39" s="337" t="s">
        <v>233</v>
      </c>
      <c r="I39" s="290">
        <v>73.5</v>
      </c>
      <c r="J39" s="289">
        <v>92.6</v>
      </c>
      <c r="K39" s="290">
        <v>5.085</v>
      </c>
      <c r="L39" s="292">
        <v>0.95</v>
      </c>
      <c r="M39" s="292">
        <v>6.4000000000000001E-2</v>
      </c>
      <c r="N39" s="292">
        <v>0.05</v>
      </c>
      <c r="O39" s="292">
        <v>0.27700000000000002</v>
      </c>
      <c r="P39" s="341" t="s">
        <v>232</v>
      </c>
      <c r="Q39" s="335"/>
    </row>
    <row r="40" spans="1:21" hidden="1">
      <c r="A40" s="141" t="str">
        <f>B40&amp;C40</f>
        <v>SBD3</v>
      </c>
      <c r="B40" s="2" t="s">
        <v>151</v>
      </c>
      <c r="C40" s="144">
        <v>3</v>
      </c>
      <c r="D40" s="249"/>
      <c r="E40" s="228"/>
      <c r="F40" s="337"/>
      <c r="G40" s="291"/>
      <c r="H40" s="337"/>
      <c r="I40" s="290"/>
      <c r="J40" s="289"/>
      <c r="K40" s="290"/>
      <c r="L40" s="292"/>
      <c r="M40" s="292"/>
      <c r="N40" s="292"/>
      <c r="O40" s="292"/>
      <c r="P40" s="341"/>
      <c r="Q40" s="350"/>
    </row>
    <row r="41" spans="1:21" hidden="1">
      <c r="A41" s="141" t="str">
        <f>B41&amp;C41</f>
        <v>SBDOther</v>
      </c>
      <c r="B41" s="2" t="s">
        <v>151</v>
      </c>
      <c r="C41" s="144" t="s">
        <v>14</v>
      </c>
      <c r="D41" s="249"/>
      <c r="E41" s="228"/>
      <c r="F41" s="230" t="s">
        <v>14</v>
      </c>
      <c r="G41" s="230"/>
      <c r="H41" s="18"/>
      <c r="I41" s="231"/>
      <c r="J41" s="232"/>
      <c r="K41" s="231"/>
      <c r="L41" s="292"/>
      <c r="M41" s="292"/>
      <c r="N41" s="292"/>
      <c r="O41" s="292"/>
      <c r="P41" s="341"/>
      <c r="Q41" s="335"/>
    </row>
    <row r="42" spans="1:21" ht="13.5" hidden="1" thickBot="1">
      <c r="A42" s="143" t="str">
        <f>B42&amp;C42</f>
        <v>SBDTotal</v>
      </c>
      <c r="B42" s="147" t="s">
        <v>151</v>
      </c>
      <c r="C42" s="148" t="s">
        <v>21</v>
      </c>
      <c r="D42" s="252"/>
      <c r="E42" s="253"/>
      <c r="F42" s="342" t="str">
        <f>C42</f>
        <v>Total</v>
      </c>
      <c r="G42" s="342"/>
      <c r="H42" s="342"/>
      <c r="I42" s="343">
        <f>SUM(I38:I39)</f>
        <v>91.986432739484997</v>
      </c>
      <c r="J42" s="344">
        <f>SUM(J38:J39)</f>
        <v>121.04179999999999</v>
      </c>
      <c r="K42" s="343">
        <f>SUM(K38:K39)</f>
        <v>6.6919617000000002</v>
      </c>
      <c r="L42" s="348">
        <f>SUMPRODUCT(L38:L39,I38:I39)/SUM(I38:I39)</f>
        <v>0.9600484561630086</v>
      </c>
      <c r="M42" s="349">
        <v>6.8000000000000005E-2</v>
      </c>
      <c r="N42" s="349">
        <v>0.05</v>
      </c>
      <c r="O42" s="346">
        <f>SUMPRODUCT(O38:O39,I38:I39)/SUM(I38:I39)</f>
        <v>0.36814495973925782</v>
      </c>
      <c r="P42" s="347"/>
      <c r="Q42" s="336"/>
    </row>
    <row r="46" spans="1:21">
      <c r="F46" s="286"/>
    </row>
  </sheetData>
  <mergeCells count="4">
    <mergeCell ref="D11:E11"/>
    <mergeCell ref="C1:D1"/>
    <mergeCell ref="C2:D2"/>
    <mergeCell ref="C3:D3"/>
  </mergeCells>
  <phoneticPr fontId="1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8"/>
  </sheetPr>
  <dimension ref="B1:AK51"/>
  <sheetViews>
    <sheetView topLeftCell="L1" workbookViewId="0">
      <selection activeCell="S14" sqref="S14"/>
    </sheetView>
  </sheetViews>
  <sheetFormatPr defaultRowHeight="12.75"/>
  <cols>
    <col min="2" max="2" width="8.7109375" customWidth="1"/>
    <col min="3" max="3" width="37.7109375" customWidth="1"/>
    <col min="4" max="4" width="7.7109375" customWidth="1"/>
    <col min="5" max="5" width="26.28515625" bestFit="1" customWidth="1"/>
    <col min="6" max="6" width="12.140625" bestFit="1" customWidth="1"/>
    <col min="7" max="7" width="8.28515625" customWidth="1"/>
    <col min="8" max="8" width="12" bestFit="1" customWidth="1"/>
    <col min="9" max="9" width="14.42578125" bestFit="1" customWidth="1"/>
    <col min="10" max="10" width="26.140625" bestFit="1" customWidth="1"/>
    <col min="11" max="11" width="13.42578125" bestFit="1" customWidth="1"/>
    <col min="12" max="12" width="26.140625" customWidth="1"/>
    <col min="13" max="13" width="13.42578125" bestFit="1" customWidth="1"/>
    <col min="14" max="14" width="26.140625" customWidth="1"/>
    <col min="15" max="15" width="13.42578125" bestFit="1" customWidth="1"/>
    <col min="16" max="16" width="26.140625" customWidth="1"/>
    <col min="17" max="17" width="13.42578125" bestFit="1" customWidth="1"/>
    <col min="18" max="19" width="11" customWidth="1"/>
    <col min="20" max="23" width="12" customWidth="1"/>
    <col min="24" max="24" width="11" customWidth="1"/>
    <col min="25" max="25" width="11" bestFit="1" customWidth="1"/>
    <col min="26" max="27" width="11" customWidth="1"/>
    <col min="28" max="31" width="11" bestFit="1" customWidth="1"/>
    <col min="32" max="35" width="12" customWidth="1"/>
    <col min="37" max="37" width="9.140625" style="2"/>
  </cols>
  <sheetData>
    <row r="1" spans="2:35">
      <c r="B1" s="195" t="s">
        <v>174</v>
      </c>
    </row>
    <row r="3" spans="2:35" s="2" customFormat="1"/>
    <row r="4" spans="2:35">
      <c r="B4" s="195" t="s">
        <v>92</v>
      </c>
      <c r="C4" s="195" t="s">
        <v>93</v>
      </c>
      <c r="D4" s="195" t="s">
        <v>94</v>
      </c>
      <c r="E4" s="195" t="s">
        <v>95</v>
      </c>
      <c r="F4" s="195" t="s">
        <v>96</v>
      </c>
      <c r="G4" s="195" t="s">
        <v>97</v>
      </c>
      <c r="H4" s="195" t="s">
        <v>98</v>
      </c>
      <c r="I4" s="195" t="s">
        <v>99</v>
      </c>
      <c r="J4" s="195" t="s">
        <v>100</v>
      </c>
      <c r="K4" s="195" t="s">
        <v>101</v>
      </c>
      <c r="L4" s="195" t="s">
        <v>102</v>
      </c>
      <c r="M4" s="195" t="s">
        <v>103</v>
      </c>
      <c r="N4" s="195" t="s">
        <v>104</v>
      </c>
      <c r="O4" s="195" t="s">
        <v>105</v>
      </c>
      <c r="P4" s="195" t="s">
        <v>106</v>
      </c>
      <c r="Q4" s="195" t="s">
        <v>107</v>
      </c>
      <c r="R4" s="195" t="s">
        <v>108</v>
      </c>
      <c r="S4" s="195" t="s">
        <v>109</v>
      </c>
      <c r="T4" s="195" t="s">
        <v>110</v>
      </c>
      <c r="U4" s="195" t="s">
        <v>111</v>
      </c>
      <c r="V4" s="195" t="s">
        <v>112</v>
      </c>
      <c r="W4" s="195" t="s">
        <v>113</v>
      </c>
      <c r="X4" s="195" t="s">
        <v>114</v>
      </c>
      <c r="Y4" s="195" t="s">
        <v>115</v>
      </c>
      <c r="Z4" s="195" t="s">
        <v>116</v>
      </c>
      <c r="AA4" s="195" t="s">
        <v>117</v>
      </c>
      <c r="AB4" s="195" t="s">
        <v>118</v>
      </c>
      <c r="AC4" s="195" t="s">
        <v>119</v>
      </c>
      <c r="AD4" s="195" t="s">
        <v>120</v>
      </c>
      <c r="AE4" s="195" t="s">
        <v>121</v>
      </c>
      <c r="AF4" s="195" t="s">
        <v>122</v>
      </c>
      <c r="AG4" s="195" t="s">
        <v>123</v>
      </c>
      <c r="AH4" s="195" t="s">
        <v>124</v>
      </c>
      <c r="AI4" s="195" t="s">
        <v>125</v>
      </c>
    </row>
    <row r="5" spans="2:35">
      <c r="B5">
        <v>10002</v>
      </c>
      <c r="C5" t="s">
        <v>126</v>
      </c>
      <c r="D5" t="s">
        <v>127</v>
      </c>
      <c r="E5" t="s">
        <v>128</v>
      </c>
      <c r="F5">
        <v>276400</v>
      </c>
      <c r="G5">
        <v>0</v>
      </c>
      <c r="H5">
        <v>4.8351369999999998E-2</v>
      </c>
      <c r="I5">
        <v>4.3611549999999999E-2</v>
      </c>
      <c r="J5" t="s">
        <v>129</v>
      </c>
      <c r="K5">
        <v>1</v>
      </c>
      <c r="L5" t="s">
        <v>159</v>
      </c>
      <c r="N5" t="s">
        <v>159</v>
      </c>
      <c r="P5" t="s">
        <v>159</v>
      </c>
      <c r="R5">
        <v>0.63531114</v>
      </c>
      <c r="S5">
        <v>0.35580926000000002</v>
      </c>
      <c r="T5">
        <v>276400</v>
      </c>
      <c r="X5">
        <v>4.8351369999999998E-2</v>
      </c>
      <c r="AB5">
        <v>4.3611549999999999E-2</v>
      </c>
      <c r="AF5">
        <v>5355023.3900520001</v>
      </c>
    </row>
    <row r="6" spans="2:35">
      <c r="B6">
        <v>10004</v>
      </c>
      <c r="C6" t="s">
        <v>132</v>
      </c>
      <c r="D6" t="s">
        <v>3</v>
      </c>
      <c r="E6" t="s">
        <v>133</v>
      </c>
      <c r="F6">
        <v>653999.99999998999</v>
      </c>
      <c r="G6">
        <v>0</v>
      </c>
      <c r="H6">
        <v>4.9151661172565003E-2</v>
      </c>
      <c r="I6">
        <v>4.2773145573416001E-2</v>
      </c>
      <c r="J6" t="s">
        <v>1117</v>
      </c>
      <c r="K6">
        <v>0.44842330000000002</v>
      </c>
      <c r="L6" t="s">
        <v>1118</v>
      </c>
      <c r="M6">
        <v>0.52004276000000005</v>
      </c>
      <c r="N6" t="s">
        <v>14</v>
      </c>
      <c r="O6">
        <v>3.1533940000000003E-2</v>
      </c>
      <c r="P6" t="s">
        <v>159</v>
      </c>
      <c r="R6">
        <v>1</v>
      </c>
      <c r="T6">
        <v>260148.96988906001</v>
      </c>
      <c r="U6">
        <v>382450.07923929999</v>
      </c>
      <c r="V6">
        <v>11400.950871630001</v>
      </c>
      <c r="X6">
        <v>4.3797089999999997E-2</v>
      </c>
      <c r="Y6">
        <v>5.5181170000000002E-2</v>
      </c>
      <c r="Z6">
        <v>2.5859679999999999E-2</v>
      </c>
      <c r="AB6">
        <v>3.6448990000000001E-2</v>
      </c>
      <c r="AC6">
        <v>4.9430340000000003E-2</v>
      </c>
      <c r="AD6">
        <v>2.2917489999999999E-2</v>
      </c>
      <c r="AF6">
        <v>5873000</v>
      </c>
      <c r="AG6">
        <v>6811000</v>
      </c>
      <c r="AH6">
        <v>413000</v>
      </c>
    </row>
    <row r="7" spans="2:35">
      <c r="B7">
        <v>10005</v>
      </c>
      <c r="C7" t="s">
        <v>135</v>
      </c>
      <c r="D7" t="s">
        <v>136</v>
      </c>
      <c r="E7" t="s">
        <v>133</v>
      </c>
      <c r="F7">
        <v>463600</v>
      </c>
      <c r="G7">
        <v>0</v>
      </c>
      <c r="H7">
        <v>5.3039659033817001E-2</v>
      </c>
      <c r="I7">
        <v>3.9169037793180997E-2</v>
      </c>
      <c r="J7" t="s">
        <v>1119</v>
      </c>
      <c r="K7">
        <v>0.55643613999999997</v>
      </c>
      <c r="L7" t="s">
        <v>1120</v>
      </c>
      <c r="M7">
        <v>0.17026246</v>
      </c>
      <c r="N7" t="s">
        <v>362</v>
      </c>
      <c r="O7">
        <v>0.25539768000000002</v>
      </c>
      <c r="P7" t="s">
        <v>1118</v>
      </c>
      <c r="Q7">
        <v>1.790373E-2</v>
      </c>
      <c r="R7">
        <v>0.78688524999999998</v>
      </c>
      <c r="S7">
        <v>0.21311474999999999</v>
      </c>
      <c r="T7">
        <v>259800</v>
      </c>
      <c r="U7">
        <v>90800</v>
      </c>
      <c r="V7">
        <v>98800</v>
      </c>
      <c r="W7">
        <v>14200</v>
      </c>
      <c r="X7">
        <v>5.3417199999999998E-2</v>
      </c>
      <c r="Y7">
        <v>6.101326E-2</v>
      </c>
      <c r="Z7">
        <v>4.4258560000000002E-2</v>
      </c>
      <c r="AA7">
        <v>9.0740710000000002E-2</v>
      </c>
      <c r="AB7">
        <v>3.732829E-2</v>
      </c>
      <c r="AC7">
        <v>4.9327240000000001E-2</v>
      </c>
      <c r="AD7">
        <v>3.4985679999999998E-2</v>
      </c>
      <c r="AE7">
        <v>5.9450709999999997E-2</v>
      </c>
      <c r="AF7">
        <v>4556067.4864304001</v>
      </c>
      <c r="AG7">
        <v>1394099.3206956</v>
      </c>
      <c r="AH7">
        <v>2091181.7120168</v>
      </c>
      <c r="AI7">
        <v>146594.69846129001</v>
      </c>
    </row>
    <row r="8" spans="2:35">
      <c r="B8">
        <v>10006</v>
      </c>
      <c r="C8" t="s">
        <v>137</v>
      </c>
      <c r="D8" t="s">
        <v>44</v>
      </c>
      <c r="E8" t="s">
        <v>133</v>
      </c>
      <c r="F8">
        <v>638800</v>
      </c>
      <c r="G8">
        <v>0</v>
      </c>
      <c r="H8">
        <v>4.8623234537690997E-2</v>
      </c>
      <c r="I8">
        <v>4.2424687812502998E-2</v>
      </c>
      <c r="J8" t="s">
        <v>1117</v>
      </c>
      <c r="K8">
        <v>0.44567308999999999</v>
      </c>
      <c r="L8" t="s">
        <v>1118</v>
      </c>
      <c r="M8">
        <v>0.55432691000000001</v>
      </c>
      <c r="N8" t="s">
        <v>159</v>
      </c>
      <c r="P8" t="s">
        <v>159</v>
      </c>
      <c r="R8">
        <v>1</v>
      </c>
      <c r="T8">
        <v>256783.19171945</v>
      </c>
      <c r="U8">
        <v>382016.80828055</v>
      </c>
      <c r="X8">
        <v>4.4514629999999999E-2</v>
      </c>
      <c r="Y8">
        <v>5.1926510000000002E-2</v>
      </c>
      <c r="AB8">
        <v>3.8552669999999997E-2</v>
      </c>
      <c r="AC8">
        <v>4.5537750000000002E-2</v>
      </c>
      <c r="AF8">
        <v>5782.4840068100002</v>
      </c>
      <c r="AG8">
        <v>7192.2370480600002</v>
      </c>
    </row>
    <row r="9" spans="2:35">
      <c r="B9">
        <v>10008</v>
      </c>
      <c r="C9" t="s">
        <v>138</v>
      </c>
      <c r="D9" t="s">
        <v>139</v>
      </c>
      <c r="E9" t="s">
        <v>128</v>
      </c>
      <c r="F9">
        <v>126500</v>
      </c>
      <c r="G9">
        <v>0</v>
      </c>
      <c r="H9">
        <v>7.0768159999999997E-2</v>
      </c>
      <c r="I9">
        <v>4.9993419999999997E-2</v>
      </c>
      <c r="J9" t="s">
        <v>129</v>
      </c>
      <c r="K9">
        <v>1</v>
      </c>
      <c r="L9" t="s">
        <v>159</v>
      </c>
      <c r="N9" t="s">
        <v>159</v>
      </c>
      <c r="P9" t="s">
        <v>159</v>
      </c>
      <c r="R9">
        <v>0.39841896999999998</v>
      </c>
      <c r="S9">
        <v>0.60158102999999996</v>
      </c>
      <c r="T9">
        <v>126500</v>
      </c>
      <c r="X9">
        <v>7.0768159999999997E-2</v>
      </c>
      <c r="AB9">
        <v>4.9993419999999997E-2</v>
      </c>
      <c r="AF9">
        <v>1674498.3246430999</v>
      </c>
    </row>
    <row r="10" spans="2:35">
      <c r="B10">
        <v>10009</v>
      </c>
      <c r="C10" t="s">
        <v>140</v>
      </c>
      <c r="D10" t="s">
        <v>141</v>
      </c>
      <c r="E10" t="s">
        <v>142</v>
      </c>
      <c r="F10">
        <v>1789598.4331247499</v>
      </c>
      <c r="G10">
        <v>0</v>
      </c>
      <c r="H10">
        <v>4.6176854768166999E-2</v>
      </c>
      <c r="I10">
        <v>4.2747677887546999E-2</v>
      </c>
      <c r="J10" t="s">
        <v>130</v>
      </c>
      <c r="K10">
        <v>9.8756659999999996E-2</v>
      </c>
      <c r="L10" t="s">
        <v>362</v>
      </c>
      <c r="M10">
        <v>0.41922647000000002</v>
      </c>
      <c r="N10" t="s">
        <v>362</v>
      </c>
      <c r="O10">
        <v>0.39669818000000001</v>
      </c>
      <c r="P10" t="s">
        <v>14</v>
      </c>
      <c r="Q10">
        <v>8.5318690000000003E-2</v>
      </c>
      <c r="R10">
        <v>0</v>
      </c>
      <c r="S10">
        <v>0.99999998999999995</v>
      </c>
      <c r="T10">
        <v>179560.60990208999</v>
      </c>
      <c r="U10">
        <v>665645.03627192997</v>
      </c>
      <c r="V10">
        <v>763907.88339663995</v>
      </c>
      <c r="W10">
        <v>180484.90355409001</v>
      </c>
      <c r="X10">
        <v>4.6966059999999997E-2</v>
      </c>
      <c r="Y10">
        <v>4.043389E-2</v>
      </c>
      <c r="Z10">
        <v>5.0321289999999998E-2</v>
      </c>
      <c r="AA10">
        <v>5.4212299999999998E-2</v>
      </c>
      <c r="AB10">
        <v>4.0643110000000003E-2</v>
      </c>
      <c r="AC10">
        <v>3.7698990000000002E-2</v>
      </c>
      <c r="AD10">
        <v>4.5721079999999997E-2</v>
      </c>
      <c r="AE10">
        <v>5.616608E-2</v>
      </c>
      <c r="AF10">
        <v>3712232.5245381999</v>
      </c>
      <c r="AG10">
        <v>15758594.32752</v>
      </c>
      <c r="AH10">
        <v>14911762.617509</v>
      </c>
      <c r="AI10">
        <v>3207103.1792902998</v>
      </c>
    </row>
    <row r="11" spans="2:35">
      <c r="B11">
        <v>10010</v>
      </c>
      <c r="C11" t="s">
        <v>143</v>
      </c>
      <c r="D11" t="s">
        <v>45</v>
      </c>
      <c r="E11" t="s">
        <v>144</v>
      </c>
      <c r="F11">
        <v>148223.27823692001</v>
      </c>
      <c r="G11">
        <v>0</v>
      </c>
      <c r="H11">
        <v>2.8530887768675999E-2</v>
      </c>
      <c r="I11">
        <v>3.2269877452575001E-2</v>
      </c>
      <c r="J11" t="s">
        <v>1117</v>
      </c>
      <c r="K11">
        <v>0.65818189000000005</v>
      </c>
      <c r="L11" t="s">
        <v>1117</v>
      </c>
      <c r="M11">
        <v>0.32102365999999999</v>
      </c>
      <c r="N11" t="s">
        <v>14</v>
      </c>
      <c r="O11">
        <v>2.0794440000000001E-2</v>
      </c>
      <c r="P11" t="s">
        <v>159</v>
      </c>
      <c r="R11">
        <v>1</v>
      </c>
      <c r="T11">
        <v>100998.89807163</v>
      </c>
      <c r="U11">
        <v>41836.363636360002</v>
      </c>
      <c r="V11">
        <v>5388.0165289300003</v>
      </c>
      <c r="X11">
        <v>2.9537219999999999E-2</v>
      </c>
      <c r="Y11">
        <v>2.5085090000000001E-2</v>
      </c>
      <c r="Z11">
        <v>4.9874729999999999E-2</v>
      </c>
      <c r="AB11">
        <v>3.2106099999999999E-2</v>
      </c>
      <c r="AC11">
        <v>3.1973019999999998E-2</v>
      </c>
      <c r="AD11">
        <v>4.2036619999999997E-2</v>
      </c>
      <c r="AF11">
        <v>3203164.2154859002</v>
      </c>
      <c r="AG11">
        <v>1562321.1811091001</v>
      </c>
      <c r="AH11">
        <v>101200</v>
      </c>
    </row>
    <row r="12" spans="2:35">
      <c r="B12">
        <v>10011</v>
      </c>
      <c r="C12" t="s">
        <v>145</v>
      </c>
      <c r="D12" t="s">
        <v>46</v>
      </c>
      <c r="E12" t="s">
        <v>144</v>
      </c>
      <c r="F12">
        <v>100400</v>
      </c>
      <c r="G12">
        <v>0</v>
      </c>
      <c r="H12">
        <v>3.6825544348432999E-2</v>
      </c>
      <c r="I12">
        <v>3.3262904774242E-2</v>
      </c>
      <c r="J12" t="s">
        <v>1117</v>
      </c>
      <c r="K12">
        <v>0.68202010000000002</v>
      </c>
      <c r="L12" t="s">
        <v>1117</v>
      </c>
      <c r="M12">
        <v>0.31797989999999998</v>
      </c>
      <c r="N12" t="s">
        <v>159</v>
      </c>
      <c r="P12" t="s">
        <v>159</v>
      </c>
      <c r="R12">
        <v>1</v>
      </c>
      <c r="T12">
        <v>62100</v>
      </c>
      <c r="U12">
        <v>38300</v>
      </c>
      <c r="X12">
        <v>3.339719E-2</v>
      </c>
      <c r="Y12">
        <v>4.417886E-2</v>
      </c>
      <c r="AB12">
        <v>3.0610450000000001E-2</v>
      </c>
      <c r="AC12">
        <v>3.8952029999999999E-2</v>
      </c>
      <c r="AF12">
        <v>1741862.4005354</v>
      </c>
      <c r="AG12">
        <v>812112.76438556996</v>
      </c>
    </row>
    <row r="13" spans="2:35">
      <c r="B13">
        <v>10012</v>
      </c>
      <c r="C13" t="s">
        <v>256</v>
      </c>
      <c r="D13" t="s">
        <v>257</v>
      </c>
      <c r="E13" t="s">
        <v>133</v>
      </c>
      <c r="F13">
        <v>517600</v>
      </c>
      <c r="G13">
        <v>0</v>
      </c>
      <c r="H13">
        <v>5.1493512647414003E-2</v>
      </c>
      <c r="I13">
        <v>3.8980060406660001E-2</v>
      </c>
      <c r="J13" t="s">
        <v>1119</v>
      </c>
      <c r="K13">
        <v>0.96787438000000003</v>
      </c>
      <c r="L13" t="s">
        <v>362</v>
      </c>
      <c r="M13">
        <v>3.2125620000000001E-2</v>
      </c>
      <c r="N13" t="s">
        <v>159</v>
      </c>
      <c r="P13" t="s">
        <v>159</v>
      </c>
      <c r="R13">
        <v>0.96904683000000003</v>
      </c>
      <c r="S13">
        <v>3.0953169999999999E-2</v>
      </c>
      <c r="T13">
        <v>501578.63818424998</v>
      </c>
      <c r="U13">
        <v>16021.36181575</v>
      </c>
      <c r="X13">
        <v>5.155589E-2</v>
      </c>
      <c r="Y13">
        <v>4.9614220000000001E-2</v>
      </c>
      <c r="AB13">
        <v>3.8752309999999998E-2</v>
      </c>
      <c r="AC13">
        <v>4.5841680000000003E-2</v>
      </c>
      <c r="AF13">
        <v>9113660.8348372001</v>
      </c>
      <c r="AG13">
        <v>302500</v>
      </c>
    </row>
    <row r="14" spans="2:35">
      <c r="B14">
        <v>10013</v>
      </c>
      <c r="C14" t="s">
        <v>146</v>
      </c>
      <c r="D14" t="s">
        <v>47</v>
      </c>
      <c r="E14" t="s">
        <v>144</v>
      </c>
      <c r="F14">
        <v>88344.8</v>
      </c>
      <c r="G14">
        <v>0</v>
      </c>
      <c r="H14">
        <v>2.5974355471538001E-2</v>
      </c>
      <c r="I14">
        <v>2.3884883851374002E-2</v>
      </c>
      <c r="J14" t="s">
        <v>134</v>
      </c>
      <c r="K14">
        <v>8.7480080000000002E-2</v>
      </c>
      <c r="L14" t="s">
        <v>304</v>
      </c>
      <c r="M14">
        <v>0.27082474000000001</v>
      </c>
      <c r="N14" t="s">
        <v>1118</v>
      </c>
      <c r="O14">
        <v>0.64169518999999997</v>
      </c>
      <c r="P14" t="s">
        <v>159</v>
      </c>
      <c r="R14">
        <v>1</v>
      </c>
      <c r="T14">
        <v>21544.799999999999</v>
      </c>
      <c r="U14">
        <v>18800</v>
      </c>
      <c r="V14">
        <v>48000</v>
      </c>
      <c r="X14">
        <v>7.2409760000000004E-2</v>
      </c>
      <c r="Y14">
        <v>2.0409549999999999E-2</v>
      </c>
      <c r="Z14">
        <v>2.1992580000000001E-2</v>
      </c>
      <c r="AB14">
        <v>7.1098469999999997E-2</v>
      </c>
      <c r="AC14">
        <v>1.8022650000000001E-2</v>
      </c>
      <c r="AD14">
        <v>1.9922550000000001E-2</v>
      </c>
      <c r="AF14">
        <v>278725.99169138999</v>
      </c>
      <c r="AG14">
        <v>862892.39271285001</v>
      </c>
      <c r="AH14">
        <v>2044546.9814400999</v>
      </c>
    </row>
    <row r="15" spans="2:35">
      <c r="B15">
        <v>10015</v>
      </c>
      <c r="C15" t="s">
        <v>147</v>
      </c>
      <c r="D15" t="s">
        <v>48</v>
      </c>
      <c r="E15" t="s">
        <v>144</v>
      </c>
      <c r="F15">
        <v>114449.99999999</v>
      </c>
      <c r="G15">
        <v>0</v>
      </c>
      <c r="H15">
        <v>3.1871294906047003E-2</v>
      </c>
      <c r="I15">
        <v>2.6139618223573999E-2</v>
      </c>
      <c r="J15" t="s">
        <v>1118</v>
      </c>
      <c r="K15">
        <v>0.34670185999999997</v>
      </c>
      <c r="L15" t="s">
        <v>1118</v>
      </c>
      <c r="M15">
        <v>0.32837456999999998</v>
      </c>
      <c r="N15" t="s">
        <v>1118</v>
      </c>
      <c r="O15">
        <v>0.21687965000000001</v>
      </c>
      <c r="P15" t="s">
        <v>1118</v>
      </c>
      <c r="Q15">
        <v>0.10804392</v>
      </c>
      <c r="R15">
        <v>1</v>
      </c>
      <c r="T15">
        <v>41352.372262769997</v>
      </c>
      <c r="U15">
        <v>37697.49087591</v>
      </c>
      <c r="V15">
        <v>23286.815693429999</v>
      </c>
      <c r="W15">
        <v>12113.32116788</v>
      </c>
      <c r="X15">
        <v>3.3214529999999999E-2</v>
      </c>
      <c r="Y15">
        <v>3.1968839999999998E-2</v>
      </c>
      <c r="Z15">
        <v>2.9900280000000001E-2</v>
      </c>
      <c r="AA15">
        <v>3.1220999999999999E-2</v>
      </c>
      <c r="AB15">
        <v>2.579888E-2</v>
      </c>
      <c r="AC15">
        <v>2.766105E-2</v>
      </c>
      <c r="AD15">
        <v>2.3805989999999999E-2</v>
      </c>
      <c r="AE15">
        <v>2.7293330000000001E-2</v>
      </c>
      <c r="AF15">
        <v>1166284.1624946001</v>
      </c>
      <c r="AG15">
        <v>1104632.2581702999</v>
      </c>
      <c r="AH15">
        <v>729570.06445387006</v>
      </c>
      <c r="AI15">
        <v>363453.21922915999</v>
      </c>
    </row>
    <row r="16" spans="2:35">
      <c r="B16">
        <v>10016</v>
      </c>
      <c r="C16" t="s">
        <v>149</v>
      </c>
      <c r="D16" t="s">
        <v>150</v>
      </c>
      <c r="E16" t="s">
        <v>142</v>
      </c>
      <c r="F16">
        <v>1221971.12397872</v>
      </c>
      <c r="G16">
        <v>0</v>
      </c>
      <c r="H16">
        <v>5.2809607510563003E-2</v>
      </c>
      <c r="I16">
        <v>4.6876563779347E-2</v>
      </c>
      <c r="J16" t="s">
        <v>362</v>
      </c>
      <c r="K16">
        <v>0.37956508</v>
      </c>
      <c r="L16" t="s">
        <v>362</v>
      </c>
      <c r="M16">
        <v>0.16408828</v>
      </c>
      <c r="N16" t="s">
        <v>362</v>
      </c>
      <c r="O16">
        <v>6.9828360000000006E-2</v>
      </c>
      <c r="P16" t="s">
        <v>362</v>
      </c>
      <c r="Q16">
        <v>0.38651828999999999</v>
      </c>
      <c r="S16">
        <v>0.86866222999999998</v>
      </c>
      <c r="T16">
        <v>435869.89523635001</v>
      </c>
      <c r="U16">
        <v>206789.65041949</v>
      </c>
      <c r="V16">
        <v>91329.530044750005</v>
      </c>
      <c r="W16">
        <v>487982.04827813001</v>
      </c>
      <c r="X16">
        <v>4.9482419999999999E-2</v>
      </c>
      <c r="Y16">
        <v>5.4551509999999998E-2</v>
      </c>
      <c r="Z16">
        <v>5.6615440000000003E-2</v>
      </c>
      <c r="AA16">
        <v>5.464989E-2</v>
      </c>
      <c r="AB16">
        <v>4.4340150000000002E-2</v>
      </c>
      <c r="AC16">
        <v>4.8169040000000003E-2</v>
      </c>
      <c r="AD16">
        <v>4.9991500000000001E-2</v>
      </c>
      <c r="AE16">
        <v>4.8255909999999999E-2</v>
      </c>
      <c r="AF16">
        <v>8411136.5680986997</v>
      </c>
      <c r="AG16">
        <v>3636185.1339070001</v>
      </c>
      <c r="AH16">
        <v>1547391.6813445999</v>
      </c>
      <c r="AI16">
        <v>8565219.2754155006</v>
      </c>
    </row>
    <row r="17" spans="2:35">
      <c r="B17">
        <v>10018</v>
      </c>
      <c r="C17" t="s">
        <v>152</v>
      </c>
      <c r="D17" t="s">
        <v>153</v>
      </c>
      <c r="E17" t="s">
        <v>142</v>
      </c>
      <c r="F17">
        <v>210631.21109180999</v>
      </c>
      <c r="G17">
        <v>0</v>
      </c>
      <c r="H17">
        <v>5.5715554789469997E-2</v>
      </c>
      <c r="I17">
        <v>4.6659980417992998E-2</v>
      </c>
      <c r="J17" t="s">
        <v>362</v>
      </c>
      <c r="K17">
        <v>0.43921497999999998</v>
      </c>
      <c r="L17" t="s">
        <v>362</v>
      </c>
      <c r="M17">
        <v>0.37593813999999998</v>
      </c>
      <c r="N17" t="s">
        <v>362</v>
      </c>
      <c r="O17">
        <v>0.18484687999999999</v>
      </c>
      <c r="P17" t="s">
        <v>159</v>
      </c>
      <c r="S17">
        <v>1</v>
      </c>
      <c r="T17">
        <v>100881.99832571999</v>
      </c>
      <c r="U17">
        <v>70232.171058409993</v>
      </c>
      <c r="V17">
        <v>39517.04170768</v>
      </c>
      <c r="X17">
        <v>6.0884489999999999E-2</v>
      </c>
      <c r="Y17">
        <v>4.8381889999999997E-2</v>
      </c>
      <c r="Z17">
        <v>5.8348709999999998E-2</v>
      </c>
      <c r="AB17">
        <v>5.0881320000000001E-2</v>
      </c>
      <c r="AC17">
        <v>4.1384860000000002E-2</v>
      </c>
      <c r="AD17">
        <v>4.7358089999999999E-2</v>
      </c>
      <c r="AF17">
        <v>1593295.4734862</v>
      </c>
      <c r="AG17">
        <v>1363752.5448264</v>
      </c>
      <c r="AH17">
        <v>670550.19999848003</v>
      </c>
    </row>
    <row r="18" spans="2:35">
      <c r="B18">
        <v>10019</v>
      </c>
      <c r="C18" t="s">
        <v>154</v>
      </c>
      <c r="D18" t="s">
        <v>155</v>
      </c>
      <c r="E18" t="s">
        <v>142</v>
      </c>
      <c r="F18">
        <v>189967.05555747999</v>
      </c>
      <c r="G18">
        <v>0</v>
      </c>
      <c r="H18">
        <v>5.1532290000000001E-2</v>
      </c>
      <c r="I18">
        <v>4.9454659999999998E-2</v>
      </c>
      <c r="J18" t="s">
        <v>362</v>
      </c>
      <c r="K18">
        <v>1</v>
      </c>
      <c r="L18" t="s">
        <v>159</v>
      </c>
      <c r="N18" t="s">
        <v>159</v>
      </c>
      <c r="P18" t="s">
        <v>159</v>
      </c>
      <c r="S18">
        <v>1</v>
      </c>
      <c r="T18">
        <v>189967.05555747999</v>
      </c>
      <c r="X18">
        <v>5.1532290000000001E-2</v>
      </c>
      <c r="AB18">
        <v>4.9454659999999998E-2</v>
      </c>
      <c r="AF18">
        <v>3472413.2408677</v>
      </c>
    </row>
    <row r="19" spans="2:35">
      <c r="B19">
        <v>10020</v>
      </c>
      <c r="C19" t="s">
        <v>156</v>
      </c>
      <c r="D19" t="s">
        <v>157</v>
      </c>
      <c r="E19" t="s">
        <v>158</v>
      </c>
      <c r="F19">
        <v>73826</v>
      </c>
      <c r="G19">
        <v>0</v>
      </c>
      <c r="H19">
        <v>5.516302E-2</v>
      </c>
      <c r="I19">
        <v>5.8709549999999999E-2</v>
      </c>
      <c r="J19" t="s">
        <v>162</v>
      </c>
      <c r="K19">
        <v>1</v>
      </c>
      <c r="R19">
        <v>1</v>
      </c>
      <c r="T19">
        <v>73826</v>
      </c>
      <c r="X19">
        <v>5.516302E-2</v>
      </c>
      <c r="AB19">
        <v>5.8709549999999999E-2</v>
      </c>
      <c r="AF19">
        <v>1302505.2121077999</v>
      </c>
    </row>
    <row r="20" spans="2:35">
      <c r="B20">
        <v>10021</v>
      </c>
      <c r="C20" t="s">
        <v>160</v>
      </c>
      <c r="D20" t="s">
        <v>161</v>
      </c>
      <c r="E20" t="s">
        <v>158</v>
      </c>
      <c r="F20">
        <v>89763.274967220001</v>
      </c>
      <c r="G20">
        <v>0</v>
      </c>
      <c r="H20">
        <v>6.0685740000000002E-2</v>
      </c>
      <c r="I20">
        <v>6.3391400000000001E-2</v>
      </c>
      <c r="J20" t="s">
        <v>162</v>
      </c>
      <c r="K20">
        <v>1</v>
      </c>
      <c r="L20" t="s">
        <v>130</v>
      </c>
      <c r="R20">
        <v>0.75637968</v>
      </c>
      <c r="S20">
        <v>0.24362032</v>
      </c>
      <c r="T20">
        <v>89763.274967220001</v>
      </c>
      <c r="X20">
        <v>6.0685740000000002E-2</v>
      </c>
      <c r="AB20">
        <v>6.3391400000000001E-2</v>
      </c>
      <c r="AF20">
        <v>1068084.7574755</v>
      </c>
    </row>
    <row r="21" spans="2:35">
      <c r="B21">
        <v>10022</v>
      </c>
      <c r="C21" t="s">
        <v>163</v>
      </c>
      <c r="D21" t="s">
        <v>164</v>
      </c>
      <c r="E21" t="s">
        <v>1005</v>
      </c>
      <c r="F21">
        <v>878058.47539089003</v>
      </c>
      <c r="G21">
        <v>0</v>
      </c>
      <c r="H21">
        <v>4.9536517092295999E-2</v>
      </c>
      <c r="I21">
        <v>4.2853304674019002E-2</v>
      </c>
      <c r="J21" t="s">
        <v>130</v>
      </c>
      <c r="K21">
        <v>0.32069863999999998</v>
      </c>
      <c r="L21" t="s">
        <v>130</v>
      </c>
      <c r="M21">
        <v>0.19852216</v>
      </c>
      <c r="N21" t="s">
        <v>148</v>
      </c>
      <c r="O21">
        <v>0.29947856</v>
      </c>
      <c r="P21" t="s">
        <v>339</v>
      </c>
      <c r="Q21">
        <v>0.18130064000000001</v>
      </c>
      <c r="R21">
        <v>0</v>
      </c>
      <c r="S21">
        <v>1</v>
      </c>
      <c r="T21">
        <v>270468</v>
      </c>
      <c r="U21">
        <v>202390.4600736</v>
      </c>
      <c r="V21">
        <v>228900</v>
      </c>
      <c r="W21">
        <v>176300.01531729</v>
      </c>
      <c r="X21">
        <v>4.6985619999999999E-2</v>
      </c>
      <c r="Y21">
        <v>5.818065E-2</v>
      </c>
      <c r="Z21">
        <v>4.3230480000000002E-2</v>
      </c>
      <c r="AA21">
        <v>5.500004E-2</v>
      </c>
      <c r="AB21">
        <v>4.2516869999999998E-2</v>
      </c>
      <c r="AC21">
        <v>4.8879150000000003E-2</v>
      </c>
      <c r="AD21">
        <v>3.5291299999999998E-2</v>
      </c>
      <c r="AE21">
        <v>4.9341360000000001E-2</v>
      </c>
      <c r="AF21">
        <v>5433688.2454228997</v>
      </c>
      <c r="AG21">
        <v>3363617.3857073998</v>
      </c>
      <c r="AH21">
        <v>5074150.3078589998</v>
      </c>
      <c r="AI21">
        <v>3071828.2426112001</v>
      </c>
    </row>
    <row r="22" spans="2:35">
      <c r="B22">
        <v>10023</v>
      </c>
      <c r="C22" t="s">
        <v>166</v>
      </c>
      <c r="D22" t="s">
        <v>167</v>
      </c>
      <c r="E22" t="s">
        <v>1005</v>
      </c>
      <c r="F22">
        <v>495614.36000967002</v>
      </c>
      <c r="G22">
        <v>0</v>
      </c>
      <c r="H22">
        <v>4.1483470443208999E-2</v>
      </c>
      <c r="I22">
        <v>3.6456854880054998E-2</v>
      </c>
      <c r="J22" t="s">
        <v>357</v>
      </c>
      <c r="K22">
        <v>0.76495310000000005</v>
      </c>
      <c r="L22" t="s">
        <v>148</v>
      </c>
      <c r="M22">
        <v>0.2350469</v>
      </c>
      <c r="N22" t="s">
        <v>165</v>
      </c>
      <c r="S22">
        <v>1</v>
      </c>
      <c r="T22">
        <v>365514.25702306</v>
      </c>
      <c r="U22">
        <v>130100.10298661</v>
      </c>
      <c r="X22">
        <v>3.9994540000000002E-2</v>
      </c>
      <c r="Y22">
        <v>4.6329149999999999E-2</v>
      </c>
      <c r="AB22">
        <v>3.697491E-2</v>
      </c>
      <c r="AC22">
        <v>3.4770860000000001E-2</v>
      </c>
      <c r="AF22">
        <v>8654454.5409051999</v>
      </c>
      <c r="AG22">
        <v>2659251.6016018</v>
      </c>
    </row>
    <row r="23" spans="2:35">
      <c r="B23">
        <v>10024</v>
      </c>
      <c r="C23" t="s">
        <v>168</v>
      </c>
      <c r="D23" t="s">
        <v>169</v>
      </c>
      <c r="E23" t="s">
        <v>1005</v>
      </c>
      <c r="F23">
        <v>560384.09343225998</v>
      </c>
      <c r="G23">
        <v>0</v>
      </c>
      <c r="H23">
        <v>5.4216105992203001E-2</v>
      </c>
      <c r="I23">
        <v>4.7493727063315998E-2</v>
      </c>
      <c r="J23" t="s">
        <v>357</v>
      </c>
      <c r="K23">
        <v>0.35007816000000003</v>
      </c>
      <c r="L23" t="s">
        <v>357</v>
      </c>
      <c r="M23">
        <v>0.30347527000000002</v>
      </c>
      <c r="N23" t="s">
        <v>165</v>
      </c>
      <c r="O23">
        <v>0.34439861999999999</v>
      </c>
      <c r="P23" t="s">
        <v>129</v>
      </c>
      <c r="Q23">
        <v>2.0479500000000002E-3</v>
      </c>
      <c r="S23">
        <v>1</v>
      </c>
      <c r="T23">
        <v>170838.50135949999</v>
      </c>
      <c r="U23">
        <v>188394.84889297001</v>
      </c>
      <c r="V23">
        <v>198880.36717978999</v>
      </c>
      <c r="W23">
        <v>2270.3760000000002</v>
      </c>
      <c r="X23">
        <v>4.6225219999999997E-2</v>
      </c>
      <c r="Y23">
        <v>5.8797250000000002E-2</v>
      </c>
      <c r="Z23">
        <v>5.8000000000000003E-2</v>
      </c>
      <c r="AA23">
        <v>0.105</v>
      </c>
      <c r="AB23">
        <v>4.13969E-2</v>
      </c>
      <c r="AC23">
        <v>4.2868940000000001E-2</v>
      </c>
      <c r="AD23">
        <v>5.7772070000000002E-2</v>
      </c>
      <c r="AE23">
        <v>4.6530509999999997E-2</v>
      </c>
      <c r="AF23">
        <v>3506754.0729044001</v>
      </c>
      <c r="AG23">
        <v>3039930.1662937002</v>
      </c>
      <c r="AH23">
        <v>3449861.7590687</v>
      </c>
      <c r="AI23">
        <v>20514.46051922</v>
      </c>
    </row>
    <row r="24" spans="2:35">
      <c r="B24">
        <v>10026</v>
      </c>
      <c r="C24" t="s">
        <v>258</v>
      </c>
      <c r="D24" t="s">
        <v>259</v>
      </c>
      <c r="E24" t="s">
        <v>142</v>
      </c>
      <c r="F24">
        <v>273583.03049833002</v>
      </c>
      <c r="G24">
        <v>0</v>
      </c>
      <c r="H24">
        <v>4.9534420000000003E-2</v>
      </c>
      <c r="I24">
        <v>4.5769560000000001E-2</v>
      </c>
      <c r="J24" t="s">
        <v>362</v>
      </c>
      <c r="K24">
        <v>1</v>
      </c>
      <c r="L24" t="s">
        <v>159</v>
      </c>
      <c r="N24" t="s">
        <v>159</v>
      </c>
      <c r="P24" t="s">
        <v>159</v>
      </c>
      <c r="S24">
        <v>0.99999998999999995</v>
      </c>
      <c r="T24">
        <v>273583.03049833002</v>
      </c>
      <c r="X24">
        <v>4.9534420000000003E-2</v>
      </c>
      <c r="AB24">
        <v>4.5769560000000001E-2</v>
      </c>
      <c r="AF24">
        <v>5186973.6377165997</v>
      </c>
    </row>
    <row r="25" spans="2:35">
      <c r="B25">
        <v>10027</v>
      </c>
      <c r="C25" t="s">
        <v>260</v>
      </c>
      <c r="D25" t="s">
        <v>261</v>
      </c>
      <c r="E25" t="s">
        <v>262</v>
      </c>
      <c r="F25">
        <v>716890.64099999995</v>
      </c>
      <c r="G25">
        <v>0</v>
      </c>
      <c r="H25">
        <v>4.129298E-2</v>
      </c>
      <c r="I25">
        <v>3.2802610000000003E-2</v>
      </c>
      <c r="J25" t="s">
        <v>262</v>
      </c>
      <c r="K25">
        <v>1</v>
      </c>
      <c r="L25" t="s">
        <v>159</v>
      </c>
      <c r="N25" t="s">
        <v>159</v>
      </c>
      <c r="P25" t="s">
        <v>159</v>
      </c>
      <c r="S25">
        <v>1</v>
      </c>
      <c r="T25">
        <v>716890.64099999995</v>
      </c>
      <c r="X25">
        <v>4.129298E-2</v>
      </c>
      <c r="AB25">
        <v>3.2802610000000003E-2</v>
      </c>
      <c r="AF25">
        <v>16349960.25832</v>
      </c>
    </row>
    <row r="26" spans="2:35">
      <c r="B26">
        <v>10029</v>
      </c>
      <c r="C26" t="s">
        <v>263</v>
      </c>
      <c r="D26" t="s">
        <v>264</v>
      </c>
      <c r="E26" t="s">
        <v>262</v>
      </c>
      <c r="F26">
        <v>278850.22756511997</v>
      </c>
      <c r="G26">
        <v>0</v>
      </c>
      <c r="H26">
        <v>6.3314423031437E-2</v>
      </c>
      <c r="I26">
        <v>4.8258528628262999E-2</v>
      </c>
      <c r="J26" t="s">
        <v>262</v>
      </c>
      <c r="K26">
        <v>0.97948424000000001</v>
      </c>
      <c r="L26" t="s">
        <v>130</v>
      </c>
      <c r="M26">
        <v>2.0515760000000001E-2</v>
      </c>
      <c r="N26" t="s">
        <v>159</v>
      </c>
      <c r="P26" t="s">
        <v>159</v>
      </c>
      <c r="S26">
        <v>1</v>
      </c>
      <c r="T26">
        <v>273367.09751712001</v>
      </c>
      <c r="U26">
        <v>5483.130048</v>
      </c>
      <c r="X26">
        <v>6.3385250000000004E-2</v>
      </c>
      <c r="Y26">
        <v>5.9932930000000002E-2</v>
      </c>
      <c r="AB26">
        <v>4.8253070000000002E-2</v>
      </c>
      <c r="AC26">
        <v>4.8519140000000002E-2</v>
      </c>
      <c r="AF26">
        <v>4107091.7806497999</v>
      </c>
      <c r="AG26">
        <v>86024.989243870004</v>
      </c>
    </row>
    <row r="27" spans="2:35">
      <c r="B27">
        <v>10030</v>
      </c>
      <c r="C27" t="s">
        <v>265</v>
      </c>
      <c r="D27" t="s">
        <v>266</v>
      </c>
      <c r="E27" t="s">
        <v>262</v>
      </c>
      <c r="F27">
        <v>539918.48550724005</v>
      </c>
      <c r="G27">
        <v>0</v>
      </c>
      <c r="H27">
        <v>5.7347139999999998E-2</v>
      </c>
      <c r="I27">
        <v>4.2539680000000003E-2</v>
      </c>
      <c r="J27" t="s">
        <v>262</v>
      </c>
      <c r="K27">
        <v>1</v>
      </c>
      <c r="L27" t="s">
        <v>159</v>
      </c>
      <c r="N27" t="s">
        <v>159</v>
      </c>
      <c r="P27" t="s">
        <v>159</v>
      </c>
      <c r="S27">
        <v>1</v>
      </c>
      <c r="T27">
        <v>539918.48550724005</v>
      </c>
      <c r="X27">
        <v>5.7347139999999998E-2</v>
      </c>
      <c r="AB27">
        <v>4.2539680000000003E-2</v>
      </c>
      <c r="AF27">
        <v>8847773.0965451002</v>
      </c>
    </row>
    <row r="28" spans="2:35">
      <c r="B28">
        <v>10031</v>
      </c>
      <c r="C28" t="s">
        <v>267</v>
      </c>
      <c r="D28" t="s">
        <v>268</v>
      </c>
      <c r="E28" t="s">
        <v>269</v>
      </c>
      <c r="F28">
        <v>271772</v>
      </c>
      <c r="G28">
        <v>0</v>
      </c>
      <c r="H28">
        <v>3.9686409999999998E-2</v>
      </c>
      <c r="I28">
        <v>3.3252200000000003E-2</v>
      </c>
      <c r="J28" t="s">
        <v>269</v>
      </c>
      <c r="K28">
        <v>1</v>
      </c>
      <c r="L28" t="s">
        <v>159</v>
      </c>
      <c r="N28" t="s">
        <v>159</v>
      </c>
      <c r="P28" t="s">
        <v>159</v>
      </c>
      <c r="S28">
        <v>1</v>
      </c>
      <c r="T28">
        <v>271772</v>
      </c>
      <c r="X28">
        <v>3.9686409999999998E-2</v>
      </c>
      <c r="AB28">
        <v>3.3252200000000003E-2</v>
      </c>
      <c r="AF28">
        <v>6475637.0917694997</v>
      </c>
    </row>
    <row r="29" spans="2:35">
      <c r="B29">
        <v>10032</v>
      </c>
      <c r="C29" t="s">
        <v>270</v>
      </c>
      <c r="D29" t="s">
        <v>271</v>
      </c>
      <c r="E29" t="s">
        <v>269</v>
      </c>
      <c r="F29">
        <v>424736</v>
      </c>
      <c r="G29">
        <v>0</v>
      </c>
      <c r="H29">
        <v>4.2041780000000001E-2</v>
      </c>
      <c r="I29">
        <v>3.5261800000000003E-2</v>
      </c>
      <c r="J29" t="s">
        <v>269</v>
      </c>
      <c r="K29">
        <v>1</v>
      </c>
      <c r="L29" t="s">
        <v>159</v>
      </c>
      <c r="N29" t="s">
        <v>159</v>
      </c>
      <c r="P29" t="s">
        <v>159</v>
      </c>
      <c r="S29">
        <v>1</v>
      </c>
      <c r="T29">
        <v>424736</v>
      </c>
      <c r="X29">
        <v>4.2041780000000001E-2</v>
      </c>
      <c r="AB29">
        <v>3.5261800000000003E-2</v>
      </c>
      <c r="AF29">
        <v>9553391.6430454999</v>
      </c>
    </row>
    <row r="30" spans="2:35">
      <c r="B30">
        <v>10033</v>
      </c>
      <c r="C30" t="s">
        <v>272</v>
      </c>
      <c r="D30" t="s">
        <v>273</v>
      </c>
      <c r="E30" t="s">
        <v>262</v>
      </c>
      <c r="F30">
        <v>1550142.378</v>
      </c>
      <c r="G30">
        <v>0</v>
      </c>
      <c r="H30">
        <v>5.349872E-2</v>
      </c>
      <c r="I30">
        <v>3.936079E-2</v>
      </c>
      <c r="J30" t="s">
        <v>262</v>
      </c>
      <c r="K30">
        <v>1</v>
      </c>
      <c r="L30" t="s">
        <v>159</v>
      </c>
      <c r="N30" t="s">
        <v>159</v>
      </c>
      <c r="P30" t="s">
        <v>159</v>
      </c>
      <c r="S30">
        <v>1</v>
      </c>
      <c r="T30">
        <v>1550142.378</v>
      </c>
      <c r="X30">
        <v>5.349872E-2</v>
      </c>
      <c r="AB30">
        <v>3.936079E-2</v>
      </c>
      <c r="AF30">
        <v>26480706.579622</v>
      </c>
    </row>
    <row r="31" spans="2:35">
      <c r="B31">
        <v>10034</v>
      </c>
      <c r="C31" t="s">
        <v>274</v>
      </c>
      <c r="D31" t="s">
        <v>275</v>
      </c>
      <c r="E31" t="s">
        <v>142</v>
      </c>
      <c r="F31">
        <v>304492.57175071002</v>
      </c>
      <c r="G31">
        <v>0</v>
      </c>
      <c r="H31">
        <v>6.0753768973034E-2</v>
      </c>
      <c r="I31">
        <v>5.4015473409859002E-2</v>
      </c>
      <c r="J31" t="s">
        <v>362</v>
      </c>
      <c r="K31">
        <v>0.31155001999999998</v>
      </c>
      <c r="L31" t="s">
        <v>362</v>
      </c>
      <c r="M31">
        <v>0.29660851999999999</v>
      </c>
      <c r="N31" t="s">
        <v>362</v>
      </c>
      <c r="O31">
        <v>7.1700910000000007E-2</v>
      </c>
      <c r="P31" t="s">
        <v>362</v>
      </c>
      <c r="Q31">
        <v>0.32014055000000002</v>
      </c>
      <c r="S31">
        <v>0.94344749000000006</v>
      </c>
      <c r="T31">
        <v>97823.781801110003</v>
      </c>
      <c r="U31">
        <v>80664.907563539993</v>
      </c>
      <c r="V31">
        <v>27194.361339259998</v>
      </c>
      <c r="W31">
        <v>98809.5210468</v>
      </c>
      <c r="X31">
        <v>6.2648860000000001E-2</v>
      </c>
      <c r="Y31">
        <v>5.426222E-2</v>
      </c>
      <c r="Z31">
        <v>7.5674699999999998E-2</v>
      </c>
      <c r="AA31">
        <v>6.1582119999999997E-2</v>
      </c>
      <c r="AB31">
        <v>5.5700380000000001E-2</v>
      </c>
      <c r="AC31">
        <v>4.8243910000000001E-2</v>
      </c>
      <c r="AD31">
        <v>6.7281499999999994E-2</v>
      </c>
      <c r="AE31">
        <v>5.4751950000000001E-2</v>
      </c>
      <c r="AF31">
        <v>1508658.3699812</v>
      </c>
      <c r="AG31">
        <v>1436305.2733459999</v>
      </c>
      <c r="AH31">
        <v>347206.46353966999</v>
      </c>
      <c r="AI31">
        <v>1862957.3770025</v>
      </c>
    </row>
    <row r="32" spans="2:35">
      <c r="B32">
        <v>10035</v>
      </c>
      <c r="C32" t="s">
        <v>276</v>
      </c>
      <c r="D32" t="s">
        <v>277</v>
      </c>
      <c r="E32" t="s">
        <v>128</v>
      </c>
      <c r="F32">
        <v>81014.399999999994</v>
      </c>
      <c r="G32">
        <v>0</v>
      </c>
      <c r="H32">
        <v>5.2354622956932002E-2</v>
      </c>
      <c r="I32">
        <v>5.0723200769135002E-2</v>
      </c>
      <c r="J32" t="s">
        <v>129</v>
      </c>
      <c r="K32">
        <v>0.57653593999999997</v>
      </c>
      <c r="L32" t="s">
        <v>131</v>
      </c>
      <c r="M32">
        <v>0.33951782000000003</v>
      </c>
      <c r="N32" t="s">
        <v>14</v>
      </c>
      <c r="O32">
        <v>8.3946240000000005E-2</v>
      </c>
      <c r="P32" t="s">
        <v>159</v>
      </c>
      <c r="R32">
        <v>1</v>
      </c>
      <c r="T32">
        <v>43408</v>
      </c>
      <c r="U32">
        <v>32438</v>
      </c>
      <c r="V32">
        <v>5168.3999999999996</v>
      </c>
      <c r="X32">
        <v>4.6747669999999998E-2</v>
      </c>
      <c r="Y32">
        <v>6.4704629999999999E-2</v>
      </c>
      <c r="Z32">
        <v>4.0913520000000002E-2</v>
      </c>
      <c r="AB32">
        <v>4.8139410000000001E-2</v>
      </c>
      <c r="AC32">
        <v>5.9798379999999998E-2</v>
      </c>
      <c r="AD32">
        <v>3.1764199999999999E-2</v>
      </c>
      <c r="AF32">
        <v>1457806.8628906</v>
      </c>
      <c r="AG32">
        <v>489967</v>
      </c>
      <c r="AH32">
        <v>121145</v>
      </c>
    </row>
    <row r="33" spans="2:35">
      <c r="B33">
        <v>10037</v>
      </c>
      <c r="C33" t="s">
        <v>278</v>
      </c>
      <c r="D33" t="s">
        <v>279</v>
      </c>
      <c r="E33" t="s">
        <v>280</v>
      </c>
      <c r="F33">
        <v>5403893.7096774001</v>
      </c>
      <c r="G33">
        <v>0</v>
      </c>
      <c r="H33">
        <v>7.2025411041692994E-2</v>
      </c>
      <c r="I33">
        <v>4.9282055932019002E-2</v>
      </c>
      <c r="J33" t="s">
        <v>130</v>
      </c>
      <c r="K33">
        <v>0.13850744000000001</v>
      </c>
      <c r="L33" t="s">
        <v>130</v>
      </c>
      <c r="M33">
        <v>0.69067982999999999</v>
      </c>
      <c r="N33" t="s">
        <v>129</v>
      </c>
      <c r="O33">
        <v>4.488847E-2</v>
      </c>
      <c r="P33" t="s">
        <v>129</v>
      </c>
      <c r="Q33">
        <v>0.12592426000000001</v>
      </c>
      <c r="S33">
        <v>1</v>
      </c>
      <c r="T33">
        <v>626378.60580440005</v>
      </c>
      <c r="U33">
        <v>3697775.103873</v>
      </c>
      <c r="V33">
        <v>278920</v>
      </c>
      <c r="W33">
        <v>800820</v>
      </c>
      <c r="X33">
        <v>6.0275769999999999E-2</v>
      </c>
      <c r="Y33">
        <v>7.1358000000000005E-2</v>
      </c>
      <c r="Z33">
        <v>8.2817829999999995E-2</v>
      </c>
      <c r="AA33">
        <v>8.4762630000000005E-2</v>
      </c>
      <c r="AB33">
        <v>4.123487E-2</v>
      </c>
      <c r="AC33">
        <v>4.881626E-2</v>
      </c>
      <c r="AD33">
        <v>5.670936E-2</v>
      </c>
      <c r="AE33">
        <v>5.8040580000000001E-2</v>
      </c>
      <c r="AF33">
        <v>9992192.7926550005</v>
      </c>
      <c r="AG33">
        <v>49826970.478570998</v>
      </c>
      <c r="AH33">
        <v>3238340.1959882001</v>
      </c>
      <c r="AI33">
        <v>9084418.4424265996</v>
      </c>
    </row>
    <row r="34" spans="2:35">
      <c r="B34">
        <v>10038</v>
      </c>
      <c r="C34" t="s">
        <v>281</v>
      </c>
      <c r="D34" t="s">
        <v>282</v>
      </c>
      <c r="E34" t="s">
        <v>280</v>
      </c>
      <c r="F34">
        <v>2172452.6305213501</v>
      </c>
      <c r="G34">
        <v>0</v>
      </c>
      <c r="H34">
        <v>5.3899899369992003E-2</v>
      </c>
      <c r="I34">
        <v>4.0171188259559003E-2</v>
      </c>
      <c r="J34" t="s">
        <v>130</v>
      </c>
      <c r="K34">
        <v>0.52175369000000005</v>
      </c>
      <c r="L34" t="s">
        <v>130</v>
      </c>
      <c r="M34">
        <v>0.39488896000000001</v>
      </c>
      <c r="N34" t="s">
        <v>130</v>
      </c>
      <c r="O34">
        <v>8.3357360000000005E-2</v>
      </c>
      <c r="P34" t="s">
        <v>159</v>
      </c>
      <c r="S34">
        <v>1</v>
      </c>
      <c r="T34">
        <v>1003344.0740753</v>
      </c>
      <c r="U34">
        <v>970883.61082358996</v>
      </c>
      <c r="V34">
        <v>198224.94562246001</v>
      </c>
      <c r="X34">
        <v>4.7711379999999998E-2</v>
      </c>
      <c r="Y34">
        <v>6.0999999999999999E-2</v>
      </c>
      <c r="Z34">
        <v>5.8999999999999997E-2</v>
      </c>
      <c r="AB34">
        <v>3.5359300000000003E-2</v>
      </c>
      <c r="AC34">
        <v>4.5543599999999997E-2</v>
      </c>
      <c r="AD34">
        <v>4.4839209999999997E-2</v>
      </c>
      <c r="AF34">
        <v>20416939.837063</v>
      </c>
      <c r="AG34">
        <v>15452548.318058001</v>
      </c>
      <c r="AH34">
        <v>3261888.1952025001</v>
      </c>
    </row>
    <row r="35" spans="2:35">
      <c r="B35">
        <v>10039</v>
      </c>
      <c r="C35" t="s">
        <v>283</v>
      </c>
      <c r="D35" t="s">
        <v>284</v>
      </c>
      <c r="E35" t="s">
        <v>280</v>
      </c>
      <c r="F35">
        <v>1710636.75996743</v>
      </c>
      <c r="G35">
        <v>0</v>
      </c>
      <c r="H35">
        <v>4.2460556393727998E-2</v>
      </c>
      <c r="I35">
        <v>3.1983637463002999E-2</v>
      </c>
      <c r="J35" t="s">
        <v>280</v>
      </c>
      <c r="K35">
        <v>0.44878570000000001</v>
      </c>
      <c r="L35" t="s">
        <v>280</v>
      </c>
      <c r="M35">
        <v>0.39487348999999999</v>
      </c>
      <c r="N35" t="s">
        <v>280</v>
      </c>
      <c r="O35">
        <v>0.15634081</v>
      </c>
      <c r="S35">
        <v>1</v>
      </c>
      <c r="T35">
        <v>766234.69747828005</v>
      </c>
      <c r="U35">
        <v>657936.03188814002</v>
      </c>
      <c r="V35">
        <v>286466.03060101002</v>
      </c>
      <c r="X35">
        <v>4.2379E-2</v>
      </c>
      <c r="Y35">
        <v>4.1357430000000001E-2</v>
      </c>
      <c r="Z35">
        <v>4.5480859999999998E-2</v>
      </c>
      <c r="AB35">
        <v>3.2845939999999997E-2</v>
      </c>
      <c r="AC35">
        <v>3.113165E-2</v>
      </c>
      <c r="AD35">
        <v>3.1660229999999998E-2</v>
      </c>
      <c r="AF35">
        <v>17301942.188294999</v>
      </c>
      <c r="AG35">
        <v>15223476.180129001</v>
      </c>
      <c r="AH35">
        <v>6027374.8085759999</v>
      </c>
    </row>
    <row r="36" spans="2:35">
      <c r="B36">
        <v>10040</v>
      </c>
      <c r="C36" t="s">
        <v>285</v>
      </c>
      <c r="D36" t="s">
        <v>286</v>
      </c>
      <c r="E36" t="s">
        <v>280</v>
      </c>
      <c r="F36">
        <v>268593.66419341997</v>
      </c>
      <c r="G36">
        <v>0</v>
      </c>
      <c r="H36">
        <v>6.7386505539439007E-2</v>
      </c>
      <c r="I36">
        <v>4.7904573634239001E-2</v>
      </c>
      <c r="J36" t="s">
        <v>130</v>
      </c>
      <c r="K36">
        <v>0.61907712000000004</v>
      </c>
      <c r="L36" t="s">
        <v>131</v>
      </c>
      <c r="M36">
        <v>0.33392392999999998</v>
      </c>
      <c r="N36" t="s">
        <v>134</v>
      </c>
      <c r="O36">
        <v>2.6333579999999999E-2</v>
      </c>
      <c r="P36" t="s">
        <v>129</v>
      </c>
      <c r="Q36">
        <v>2.0665369999999999E-2</v>
      </c>
      <c r="S36">
        <v>0.97366642000000003</v>
      </c>
      <c r="T36">
        <v>176010.15736412999</v>
      </c>
      <c r="U36">
        <v>73783.506829289996</v>
      </c>
      <c r="V36">
        <v>10400</v>
      </c>
      <c r="W36">
        <v>8400</v>
      </c>
      <c r="X36">
        <v>7.1329660000000003E-2</v>
      </c>
      <c r="Y36">
        <v>5.5435619999999998E-2</v>
      </c>
      <c r="Z36">
        <v>9.9083329999999997E-2</v>
      </c>
      <c r="AA36">
        <v>0.1019796</v>
      </c>
      <c r="AB36">
        <v>5.1050470000000001E-2</v>
      </c>
      <c r="AC36">
        <v>4.0935829999999999E-2</v>
      </c>
      <c r="AD36">
        <v>6.2921879999999999E-2</v>
      </c>
      <c r="AE36">
        <v>4.7131220000000001E-2</v>
      </c>
      <c r="AF36">
        <v>2372653.0531326002</v>
      </c>
      <c r="AG36">
        <v>1279785.0225974</v>
      </c>
      <c r="AH36">
        <v>100925.14718251</v>
      </c>
      <c r="AI36">
        <v>79201.357466059999</v>
      </c>
    </row>
    <row r="37" spans="2:35">
      <c r="B37">
        <v>10041</v>
      </c>
      <c r="C37" t="s">
        <v>287</v>
      </c>
      <c r="D37" t="s">
        <v>288</v>
      </c>
      <c r="E37" t="s">
        <v>128</v>
      </c>
      <c r="F37">
        <v>79083.148884950002</v>
      </c>
      <c r="G37">
        <v>0</v>
      </c>
      <c r="H37">
        <v>4.5865940000000001E-2</v>
      </c>
      <c r="I37">
        <v>4.3278799999999999E-2</v>
      </c>
      <c r="J37" t="s">
        <v>129</v>
      </c>
      <c r="K37">
        <v>1</v>
      </c>
      <c r="L37" t="s">
        <v>159</v>
      </c>
      <c r="N37" t="s">
        <v>159</v>
      </c>
      <c r="P37" t="s">
        <v>159</v>
      </c>
      <c r="R37">
        <v>1</v>
      </c>
      <c r="T37">
        <v>79083.148884950002</v>
      </c>
      <c r="X37">
        <v>4.5865940000000001E-2</v>
      </c>
      <c r="AB37">
        <v>4.3278799999999999E-2</v>
      </c>
      <c r="AF37">
        <v>1548797.8614588</v>
      </c>
    </row>
    <row r="38" spans="2:35">
      <c r="B38">
        <v>10042</v>
      </c>
      <c r="C38" t="s">
        <v>289</v>
      </c>
      <c r="D38" t="s">
        <v>290</v>
      </c>
      <c r="E38" t="s">
        <v>280</v>
      </c>
      <c r="F38">
        <v>2200000</v>
      </c>
      <c r="G38">
        <v>0</v>
      </c>
      <c r="H38">
        <v>7.6789167051241003E-2</v>
      </c>
      <c r="I38">
        <v>4.7119626366851998E-2</v>
      </c>
      <c r="J38" t="s">
        <v>280</v>
      </c>
      <c r="K38">
        <v>0.48718371999999999</v>
      </c>
      <c r="L38" t="s">
        <v>280</v>
      </c>
      <c r="M38">
        <v>0.21787759000000001</v>
      </c>
      <c r="N38" t="s">
        <v>280</v>
      </c>
      <c r="O38">
        <v>0.16736820999999999</v>
      </c>
      <c r="P38" t="s">
        <v>280</v>
      </c>
      <c r="Q38">
        <v>0.12757048000000001</v>
      </c>
      <c r="S38">
        <v>1</v>
      </c>
      <c r="T38">
        <v>1019000</v>
      </c>
      <c r="U38">
        <v>592000</v>
      </c>
      <c r="V38">
        <v>279000</v>
      </c>
      <c r="W38">
        <v>310000</v>
      </c>
      <c r="X38">
        <v>6.8608820000000001E-2</v>
      </c>
      <c r="Y38">
        <v>8.9126670000000005E-2</v>
      </c>
      <c r="Z38">
        <v>8.2314219999999994E-2</v>
      </c>
      <c r="AA38">
        <v>7.9709500000000003E-2</v>
      </c>
      <c r="AB38">
        <v>4.3621010000000002E-2</v>
      </c>
      <c r="AC38">
        <v>4.9694839999999997E-2</v>
      </c>
      <c r="AD38">
        <v>5.0464099999999998E-2</v>
      </c>
      <c r="AE38">
        <v>5.1694579999999997E-2</v>
      </c>
      <c r="AF38">
        <v>14281073.881873</v>
      </c>
      <c r="AG38">
        <v>6386761.0486554001</v>
      </c>
      <c r="AH38">
        <v>4906152.7204857999</v>
      </c>
      <c r="AI38">
        <v>3739540.8570705</v>
      </c>
    </row>
    <row r="39" spans="2:35">
      <c r="B39">
        <v>10043</v>
      </c>
      <c r="C39" t="s">
        <v>291</v>
      </c>
      <c r="D39" t="s">
        <v>292</v>
      </c>
      <c r="E39" t="s">
        <v>280</v>
      </c>
      <c r="F39">
        <v>2023000</v>
      </c>
      <c r="G39">
        <v>0</v>
      </c>
      <c r="H39">
        <v>6.3299949674948994E-2</v>
      </c>
      <c r="I39">
        <v>4.7324087447254998E-2</v>
      </c>
      <c r="J39" t="s">
        <v>130</v>
      </c>
      <c r="K39">
        <v>0.73057779</v>
      </c>
      <c r="L39" t="s">
        <v>129</v>
      </c>
      <c r="M39">
        <v>0.16064642000000001</v>
      </c>
      <c r="N39" t="s">
        <v>130</v>
      </c>
      <c r="O39">
        <v>0.10462533</v>
      </c>
      <c r="P39" t="s">
        <v>129</v>
      </c>
      <c r="Q39">
        <v>4.1504599999999999E-3</v>
      </c>
      <c r="S39">
        <v>1</v>
      </c>
      <c r="T39">
        <v>1369500</v>
      </c>
      <c r="U39">
        <v>448500</v>
      </c>
      <c r="V39">
        <v>196500</v>
      </c>
      <c r="W39">
        <v>8500</v>
      </c>
      <c r="X39">
        <v>5.8654730000000002E-2</v>
      </c>
      <c r="Y39">
        <v>8.7357240000000003E-2</v>
      </c>
      <c r="Z39">
        <v>5.876696E-2</v>
      </c>
      <c r="AA39">
        <v>6.4081139999999995E-2</v>
      </c>
      <c r="AB39">
        <v>4.4195169999999999E-2</v>
      </c>
      <c r="AC39">
        <v>6.3554479999999997E-2</v>
      </c>
      <c r="AD39">
        <v>4.4279730000000003E-2</v>
      </c>
      <c r="AE39">
        <v>4.6620559999999998E-2</v>
      </c>
      <c r="AF39">
        <v>22450480.136216</v>
      </c>
      <c r="AG39">
        <v>4936625.9425628996</v>
      </c>
      <c r="AH39">
        <v>3215111.2615385</v>
      </c>
      <c r="AI39">
        <v>127542.62360846</v>
      </c>
    </row>
    <row r="40" spans="2:35">
      <c r="B40">
        <v>10044</v>
      </c>
      <c r="C40" t="s">
        <v>293</v>
      </c>
      <c r="D40" t="s">
        <v>294</v>
      </c>
      <c r="E40" t="s">
        <v>142</v>
      </c>
      <c r="F40">
        <v>0</v>
      </c>
      <c r="G40">
        <v>0</v>
      </c>
    </row>
    <row r="41" spans="2:35">
      <c r="B41">
        <v>10045</v>
      </c>
      <c r="C41" t="s">
        <v>295</v>
      </c>
      <c r="D41" t="s">
        <v>296</v>
      </c>
      <c r="E41" t="s">
        <v>142</v>
      </c>
      <c r="F41">
        <v>77951.884999999995</v>
      </c>
      <c r="G41">
        <v>0</v>
      </c>
      <c r="H41">
        <v>5.2227259999999998E-2</v>
      </c>
      <c r="I41">
        <v>4.3647680000000001E-2</v>
      </c>
      <c r="J41" t="s">
        <v>131</v>
      </c>
      <c r="K41">
        <v>1</v>
      </c>
      <c r="S41">
        <v>1.0000000099999999</v>
      </c>
      <c r="T41">
        <v>77951.884999999995</v>
      </c>
      <c r="X41">
        <v>5.2227259999999998E-2</v>
      </c>
      <c r="AB41">
        <v>4.3647680000000001E-2</v>
      </c>
      <c r="AF41">
        <v>1635616.4234211</v>
      </c>
    </row>
    <row r="42" spans="2:35">
      <c r="B42">
        <v>10046</v>
      </c>
      <c r="C42" t="s">
        <v>297</v>
      </c>
      <c r="D42" t="s">
        <v>298</v>
      </c>
      <c r="E42" t="s">
        <v>142</v>
      </c>
      <c r="F42">
        <v>232306.16032369001</v>
      </c>
      <c r="G42">
        <v>0</v>
      </c>
      <c r="H42">
        <v>6.2082938197812999E-2</v>
      </c>
      <c r="I42">
        <v>5.3856508679619997E-2</v>
      </c>
      <c r="J42" t="s">
        <v>362</v>
      </c>
      <c r="K42">
        <v>0.37255975000000002</v>
      </c>
      <c r="L42" t="s">
        <v>362</v>
      </c>
      <c r="M42">
        <v>0.25310870000000002</v>
      </c>
      <c r="N42" t="s">
        <v>362</v>
      </c>
      <c r="O42">
        <v>0.33690358999999998</v>
      </c>
      <c r="P42" t="s">
        <v>130</v>
      </c>
      <c r="Q42">
        <v>3.7427969999999998E-2</v>
      </c>
      <c r="S42">
        <v>1.0000000099999999</v>
      </c>
      <c r="T42">
        <v>96247.297481770001</v>
      </c>
      <c r="U42">
        <v>51151.02331266</v>
      </c>
      <c r="V42">
        <v>74536.855449830007</v>
      </c>
      <c r="W42">
        <v>10370.98407943</v>
      </c>
      <c r="X42">
        <v>6.8661159999999999E-2</v>
      </c>
      <c r="Y42">
        <v>5.4218019999999999E-2</v>
      </c>
      <c r="Z42">
        <v>5.9355619999999998E-2</v>
      </c>
      <c r="AA42">
        <v>7.4339580000000002E-2</v>
      </c>
      <c r="AB42">
        <v>5.9873990000000002E-2</v>
      </c>
      <c r="AC42">
        <v>4.6837410000000003E-2</v>
      </c>
      <c r="AD42">
        <v>5.1275630000000003E-2</v>
      </c>
      <c r="AE42">
        <v>6.4656729999999996E-2</v>
      </c>
      <c r="AF42">
        <v>1401772.1128497</v>
      </c>
      <c r="AG42">
        <v>943432.09300961997</v>
      </c>
      <c r="AH42">
        <v>1255767.4102541001</v>
      </c>
      <c r="AI42">
        <v>131611.54969823</v>
      </c>
    </row>
    <row r="43" spans="2:35">
      <c r="B43">
        <v>10047</v>
      </c>
      <c r="C43" t="s">
        <v>299</v>
      </c>
      <c r="D43" t="s">
        <v>300</v>
      </c>
      <c r="E43" t="s">
        <v>301</v>
      </c>
      <c r="F43">
        <v>68800</v>
      </c>
      <c r="G43">
        <v>0</v>
      </c>
      <c r="H43">
        <v>5.2842261949220003E-2</v>
      </c>
      <c r="I43">
        <v>5.0080590917137999E-2</v>
      </c>
      <c r="J43" t="s">
        <v>165</v>
      </c>
      <c r="K43">
        <v>0.71019785000000002</v>
      </c>
      <c r="L43" t="s">
        <v>165</v>
      </c>
      <c r="M43">
        <v>0.28980214999999998</v>
      </c>
      <c r="R43">
        <v>1</v>
      </c>
      <c r="T43">
        <v>48848</v>
      </c>
      <c r="U43">
        <v>19952</v>
      </c>
      <c r="X43">
        <v>5.2827539999999999E-2</v>
      </c>
      <c r="Y43">
        <v>5.2878340000000003E-2</v>
      </c>
      <c r="AB43">
        <v>4.99753E-2</v>
      </c>
      <c r="AC43">
        <v>5.0338620000000001E-2</v>
      </c>
      <c r="AF43">
        <v>866200.61256565002</v>
      </c>
      <c r="AG43">
        <v>353460.37185394001</v>
      </c>
    </row>
    <row r="44" spans="2:35">
      <c r="B44">
        <v>10048</v>
      </c>
      <c r="C44" t="s">
        <v>302</v>
      </c>
      <c r="D44" t="s">
        <v>303</v>
      </c>
      <c r="E44" t="s">
        <v>301</v>
      </c>
      <c r="F44">
        <v>51900</v>
      </c>
      <c r="G44">
        <v>0</v>
      </c>
      <c r="H44">
        <v>2.3011346469977E-2</v>
      </c>
      <c r="I44">
        <v>1.5313169464583E-2</v>
      </c>
      <c r="J44" t="s">
        <v>304</v>
      </c>
      <c r="K44">
        <v>0.67668437999999997</v>
      </c>
      <c r="L44" t="s">
        <v>304</v>
      </c>
      <c r="M44">
        <v>0.32331562000000003</v>
      </c>
      <c r="R44">
        <v>1</v>
      </c>
      <c r="T44">
        <v>26691.428571429999</v>
      </c>
      <c r="U44">
        <v>25208.571428570001</v>
      </c>
      <c r="X44">
        <v>1.7414530000000001E-2</v>
      </c>
      <c r="Y44">
        <v>3.4725220000000001E-2</v>
      </c>
      <c r="AB44">
        <v>1.1337699999999999E-2</v>
      </c>
      <c r="AC44">
        <v>2.3633640000000001E-2</v>
      </c>
      <c r="AF44">
        <v>1406433.3333333</v>
      </c>
      <c r="AG44">
        <v>671985.16666667</v>
      </c>
    </row>
    <row r="45" spans="2:35">
      <c r="B45">
        <v>10049</v>
      </c>
      <c r="C45" t="s">
        <v>305</v>
      </c>
      <c r="D45" t="s">
        <v>306</v>
      </c>
      <c r="E45" t="s">
        <v>301</v>
      </c>
      <c r="F45">
        <v>138994.86131956999</v>
      </c>
      <c r="G45">
        <v>0</v>
      </c>
      <c r="H45">
        <v>6.6434460000000001E-2</v>
      </c>
      <c r="I45">
        <v>5.2679440000000001E-2</v>
      </c>
      <c r="J45" t="s">
        <v>307</v>
      </c>
      <c r="K45">
        <v>1</v>
      </c>
      <c r="R45">
        <v>1</v>
      </c>
      <c r="T45">
        <v>138994.86131956999</v>
      </c>
      <c r="X45">
        <v>6.6434460000000001E-2</v>
      </c>
      <c r="AB45">
        <v>5.2679440000000001E-2</v>
      </c>
      <c r="AF45">
        <v>1959916.0268083999</v>
      </c>
    </row>
    <row r="46" spans="2:35">
      <c r="B46">
        <v>10050</v>
      </c>
      <c r="C46" t="s">
        <v>308</v>
      </c>
      <c r="D46" t="s">
        <v>309</v>
      </c>
      <c r="E46" t="s">
        <v>301</v>
      </c>
      <c r="F46">
        <v>83200</v>
      </c>
      <c r="G46">
        <v>0</v>
      </c>
      <c r="H46">
        <v>6.1550649999999998E-2</v>
      </c>
      <c r="I46">
        <v>4.8373340000000001E-2</v>
      </c>
      <c r="J46" t="s">
        <v>1117</v>
      </c>
      <c r="K46">
        <v>1</v>
      </c>
      <c r="R46">
        <v>1</v>
      </c>
      <c r="T46">
        <v>83200</v>
      </c>
      <c r="X46">
        <v>6.1550649999999998E-2</v>
      </c>
      <c r="AB46">
        <v>4.8373340000000001E-2</v>
      </c>
      <c r="AF46">
        <v>1266259.8034129001</v>
      </c>
    </row>
    <row r="47" spans="2:35">
      <c r="B47">
        <v>10051</v>
      </c>
      <c r="C47" t="s">
        <v>352</v>
      </c>
      <c r="D47" t="s">
        <v>353</v>
      </c>
      <c r="E47" t="s">
        <v>354</v>
      </c>
      <c r="F47">
        <v>43440.546980450003</v>
      </c>
      <c r="G47">
        <v>0</v>
      </c>
      <c r="H47">
        <v>4.8667813845144001E-2</v>
      </c>
      <c r="I47">
        <v>3.8858510582114002E-2</v>
      </c>
      <c r="J47" t="s">
        <v>130</v>
      </c>
      <c r="K47">
        <v>0.66519982</v>
      </c>
      <c r="L47" t="s">
        <v>129</v>
      </c>
      <c r="M47">
        <v>0.17032717</v>
      </c>
      <c r="N47" t="s">
        <v>14</v>
      </c>
      <c r="O47">
        <v>0.16447302</v>
      </c>
      <c r="P47" t="s">
        <v>14</v>
      </c>
      <c r="S47">
        <v>1</v>
      </c>
      <c r="T47">
        <v>23074.877029489999</v>
      </c>
      <c r="U47">
        <v>11860.17710947</v>
      </c>
      <c r="V47">
        <v>8505.4928414900005</v>
      </c>
      <c r="X47">
        <v>3.8919019999999999E-2</v>
      </c>
      <c r="Y47">
        <v>7.777017E-2</v>
      </c>
      <c r="Z47">
        <v>5.7957929999999998E-2</v>
      </c>
      <c r="AB47">
        <v>3.056354E-2</v>
      </c>
      <c r="AC47">
        <v>6.3411869999999995E-2</v>
      </c>
      <c r="AD47">
        <v>4.6979649999999998E-2</v>
      </c>
      <c r="AF47">
        <v>580359.48431624996</v>
      </c>
      <c r="AG47">
        <v>148603.44879877</v>
      </c>
      <c r="AH47">
        <v>143495.94381438999</v>
      </c>
    </row>
    <row r="48" spans="2:35">
      <c r="B48">
        <v>10052</v>
      </c>
      <c r="C48" t="s">
        <v>355</v>
      </c>
      <c r="D48" t="s">
        <v>356</v>
      </c>
      <c r="E48" t="s">
        <v>354</v>
      </c>
      <c r="F48">
        <v>281825.72379999998</v>
      </c>
      <c r="G48">
        <v>0</v>
      </c>
      <c r="H48">
        <v>3.4559361882404001E-2</v>
      </c>
      <c r="I48">
        <v>3.3462594827617001E-2</v>
      </c>
      <c r="J48" t="s">
        <v>1007</v>
      </c>
      <c r="K48">
        <v>0.11704521</v>
      </c>
      <c r="L48" t="s">
        <v>1008</v>
      </c>
      <c r="M48">
        <v>7.3069350000000005E-2</v>
      </c>
      <c r="N48" t="s">
        <v>357</v>
      </c>
      <c r="O48">
        <v>0.64895630999999998</v>
      </c>
      <c r="P48" t="s">
        <v>131</v>
      </c>
      <c r="Q48">
        <v>0.16092913</v>
      </c>
      <c r="S48">
        <v>1</v>
      </c>
      <c r="T48">
        <v>41500.9202</v>
      </c>
      <c r="U48">
        <v>26120.448</v>
      </c>
      <c r="V48">
        <v>167532.41159999999</v>
      </c>
      <c r="W48">
        <v>46671.944000000003</v>
      </c>
      <c r="X48">
        <v>4.4598289999999999E-2</v>
      </c>
      <c r="Y48">
        <v>4.496344E-2</v>
      </c>
      <c r="Z48">
        <v>3.1458229999999997E-2</v>
      </c>
      <c r="AA48">
        <v>3.5039519999999998E-2</v>
      </c>
      <c r="AB48">
        <v>4.0148320000000001E-2</v>
      </c>
      <c r="AC48">
        <v>4.2677890000000003E-2</v>
      </c>
      <c r="AD48">
        <v>3.09672E-2</v>
      </c>
      <c r="AE48">
        <v>3.4478660000000001E-2</v>
      </c>
      <c r="AF48">
        <v>912303.52771145001</v>
      </c>
      <c r="AG48">
        <v>569535.71268270002</v>
      </c>
      <c r="AH48">
        <v>5058260.3444309002</v>
      </c>
      <c r="AI48">
        <v>1254354.7916192999</v>
      </c>
    </row>
    <row r="49" spans="2:35">
      <c r="B49">
        <v>10053</v>
      </c>
      <c r="C49" t="s">
        <v>358</v>
      </c>
      <c r="D49" t="s">
        <v>359</v>
      </c>
      <c r="E49" t="s">
        <v>354</v>
      </c>
      <c r="F49">
        <v>124153.68302497</v>
      </c>
      <c r="G49">
        <v>0</v>
      </c>
      <c r="H49">
        <v>5.9426092669323999E-2</v>
      </c>
      <c r="I49">
        <v>4.7952996527067998E-2</v>
      </c>
      <c r="J49" t="s">
        <v>130</v>
      </c>
      <c r="K49">
        <v>0.22772514999999999</v>
      </c>
      <c r="L49" t="s">
        <v>339</v>
      </c>
      <c r="M49">
        <v>0.65661712000000005</v>
      </c>
      <c r="N49" t="s">
        <v>304</v>
      </c>
      <c r="O49">
        <v>0.11565773</v>
      </c>
      <c r="S49">
        <v>1</v>
      </c>
      <c r="T49">
        <v>20925.321648000001</v>
      </c>
      <c r="U49">
        <v>96072.684288970006</v>
      </c>
      <c r="V49">
        <v>7155.6770880000004</v>
      </c>
      <c r="X49">
        <v>4.4938480000000003E-2</v>
      </c>
      <c r="Y49">
        <v>6.9588430000000007E-2</v>
      </c>
      <c r="Z49">
        <v>3.025752E-2</v>
      </c>
      <c r="AB49">
        <v>3.4833370000000002E-2</v>
      </c>
      <c r="AC49">
        <v>5.7351970000000002E-2</v>
      </c>
      <c r="AD49">
        <v>2.042472E-2</v>
      </c>
      <c r="AF49">
        <v>456513.50079124002</v>
      </c>
      <c r="AG49">
        <v>1316299.8405613001</v>
      </c>
      <c r="AH49">
        <v>231855.44577930999</v>
      </c>
    </row>
    <row r="50" spans="2:35">
      <c r="B50">
        <v>10054</v>
      </c>
      <c r="C50" t="s">
        <v>360</v>
      </c>
      <c r="D50" t="s">
        <v>361</v>
      </c>
      <c r="E50" t="s">
        <v>354</v>
      </c>
      <c r="F50">
        <v>507938.93739064003</v>
      </c>
      <c r="G50">
        <v>0</v>
      </c>
      <c r="H50">
        <v>4.8788075238443002E-2</v>
      </c>
      <c r="I50">
        <v>3.8430001543801003E-2</v>
      </c>
      <c r="J50" t="s">
        <v>130</v>
      </c>
      <c r="K50">
        <v>0.47537395999999998</v>
      </c>
      <c r="L50" t="s">
        <v>131</v>
      </c>
      <c r="M50">
        <v>0.20644114999999999</v>
      </c>
      <c r="N50" t="s">
        <v>362</v>
      </c>
      <c r="O50">
        <v>0.17998438999999999</v>
      </c>
      <c r="P50" t="s">
        <v>14</v>
      </c>
      <c r="Q50">
        <v>0.13820051</v>
      </c>
      <c r="S50">
        <v>1</v>
      </c>
      <c r="T50">
        <v>218000.77937810001</v>
      </c>
      <c r="U50">
        <v>100813.60321015</v>
      </c>
      <c r="V50">
        <v>93987.051493199993</v>
      </c>
      <c r="W50">
        <v>95137.503309189997</v>
      </c>
      <c r="X50">
        <v>4.4078300000000001E-2</v>
      </c>
      <c r="Y50">
        <v>4.6938050000000002E-2</v>
      </c>
      <c r="Z50">
        <v>5.000479E-2</v>
      </c>
      <c r="AA50">
        <v>6.6167429999999999E-2</v>
      </c>
      <c r="AB50">
        <v>3.2442110000000003E-2</v>
      </c>
      <c r="AC50">
        <v>4.0960120000000003E-2</v>
      </c>
      <c r="AD50">
        <v>4.0103720000000002E-2</v>
      </c>
      <c r="AE50">
        <v>5.3067599999999999E-2</v>
      </c>
      <c r="AF50">
        <v>4848786.1403360004</v>
      </c>
      <c r="AG50">
        <v>2105687.4282005001</v>
      </c>
      <c r="AH50">
        <v>1835830.0462525</v>
      </c>
      <c r="AI50">
        <v>1409637.0167680001</v>
      </c>
    </row>
    <row r="51" spans="2:35">
      <c r="B51">
        <v>10055</v>
      </c>
      <c r="C51" t="s">
        <v>363</v>
      </c>
      <c r="D51" t="s">
        <v>364</v>
      </c>
      <c r="E51" t="s">
        <v>354</v>
      </c>
      <c r="F51">
        <v>170833.53312489</v>
      </c>
      <c r="G51">
        <v>0</v>
      </c>
      <c r="H51">
        <v>5.75904E-2</v>
      </c>
      <c r="I51">
        <v>4.8288400000000002E-2</v>
      </c>
      <c r="J51" t="s">
        <v>130</v>
      </c>
      <c r="K51">
        <v>1</v>
      </c>
      <c r="S51">
        <v>1</v>
      </c>
      <c r="T51">
        <v>170833.53312489</v>
      </c>
      <c r="X51">
        <v>5.75904E-2</v>
      </c>
      <c r="AB51">
        <v>4.8288400000000002E-2</v>
      </c>
      <c r="AF51">
        <v>3367809.0176976998</v>
      </c>
    </row>
  </sheetData>
  <phoneticPr fontId="10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M322"/>
  <sheetViews>
    <sheetView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R86" sqref="R86"/>
    </sheetView>
  </sheetViews>
  <sheetFormatPr defaultRowHeight="12.75"/>
  <cols>
    <col min="1" max="1" width="14.5703125" style="366" customWidth="1"/>
    <col min="2" max="2" width="7.7109375" style="366" bestFit="1" customWidth="1"/>
    <col min="3" max="3" width="44.140625" style="366" customWidth="1"/>
    <col min="4" max="4" width="17.140625" style="366" customWidth="1"/>
    <col min="5" max="5" width="14.85546875" style="366" bestFit="1" customWidth="1"/>
    <col min="6" max="6" width="9.85546875" style="366" bestFit="1" customWidth="1"/>
    <col min="7" max="7" width="16.5703125" style="366" bestFit="1" customWidth="1"/>
    <col min="8" max="8" width="21.42578125" style="366" customWidth="1"/>
    <col min="9" max="9" width="11.7109375" style="366" bestFit="1" customWidth="1"/>
    <col min="10" max="10" width="11.5703125" style="366" bestFit="1" customWidth="1"/>
    <col min="11" max="11" width="7" style="366" bestFit="1" customWidth="1"/>
    <col min="12" max="12" width="10.42578125" style="366" bestFit="1" customWidth="1"/>
    <col min="13" max="13" width="10.85546875" style="366" bestFit="1" customWidth="1"/>
    <col min="14" max="14" width="22.85546875" style="366" bestFit="1" customWidth="1"/>
    <col min="15" max="15" width="10.7109375" style="366" bestFit="1" customWidth="1"/>
    <col min="16" max="16" width="12.5703125" style="366" bestFit="1" customWidth="1"/>
    <col min="17" max="17" width="13.28515625" style="366" bestFit="1" customWidth="1"/>
    <col min="18" max="18" width="19.42578125" style="366" bestFit="1" customWidth="1"/>
    <col min="19" max="19" width="23.5703125" style="366" bestFit="1" customWidth="1"/>
    <col min="20" max="20" width="18.28515625" style="366" bestFit="1" customWidth="1"/>
    <col min="21" max="21" width="12.85546875" style="366" bestFit="1" customWidth="1"/>
    <col min="22" max="22" width="15.7109375" style="366" bestFit="1" customWidth="1"/>
    <col min="23" max="23" width="12.28515625" style="366" bestFit="1" customWidth="1"/>
    <col min="24" max="24" width="17.140625" style="366" bestFit="1" customWidth="1"/>
    <col min="25" max="25" width="11.7109375" style="366" bestFit="1" customWidth="1"/>
    <col min="26" max="26" width="18" style="366" bestFit="1" customWidth="1"/>
    <col min="27" max="27" width="12.28515625" style="366" bestFit="1" customWidth="1"/>
    <col min="28" max="28" width="14.140625" style="366" bestFit="1" customWidth="1"/>
    <col min="29" max="29" width="16.140625" style="366" bestFit="1" customWidth="1"/>
    <col min="30" max="30" width="12.42578125" style="366" bestFit="1" customWidth="1"/>
    <col min="31" max="31" width="21" style="366" bestFit="1" customWidth="1"/>
    <col min="32" max="32" width="12.5703125" style="366" bestFit="1" customWidth="1"/>
    <col min="33" max="33" width="31" style="366" bestFit="1" customWidth="1"/>
    <col min="34" max="34" width="31.85546875" style="366" bestFit="1" customWidth="1"/>
    <col min="35" max="35" width="24.85546875" style="366" bestFit="1" customWidth="1"/>
    <col min="36" max="36" width="11.5703125" style="366" bestFit="1" customWidth="1"/>
    <col min="37" max="37" width="13.85546875" style="366" bestFit="1" customWidth="1"/>
    <col min="38" max="38" width="19.85546875" style="366" bestFit="1" customWidth="1"/>
    <col min="39" max="39" width="19.5703125" style="366" bestFit="1" customWidth="1"/>
    <col min="40" max="40" width="19.85546875" style="366" bestFit="1" customWidth="1"/>
    <col min="41" max="41" width="23.140625" style="366" bestFit="1" customWidth="1"/>
    <col min="42" max="42" width="12.28515625" style="366" bestFit="1" customWidth="1"/>
    <col min="43" max="43" width="24.140625" style="366" bestFit="1" customWidth="1"/>
    <col min="44" max="44" width="17" style="366" bestFit="1" customWidth="1"/>
    <col min="45" max="46" width="12.28515625" style="366" bestFit="1" customWidth="1"/>
    <col min="47" max="47" width="18.140625" style="366" bestFit="1" customWidth="1"/>
    <col min="48" max="49" width="12.28515625" style="366" bestFit="1" customWidth="1"/>
    <col min="50" max="50" width="36.42578125" style="366" bestFit="1" customWidth="1"/>
    <col min="51" max="51" width="31.7109375" style="366" bestFit="1" customWidth="1"/>
    <col min="52" max="52" width="16.28515625" style="366" bestFit="1" customWidth="1"/>
    <col min="53" max="53" width="11.5703125" style="366" bestFit="1" customWidth="1"/>
    <col min="54" max="54" width="18.28515625" style="366" bestFit="1" customWidth="1"/>
    <col min="55" max="55" width="13.28515625" style="366" bestFit="1" customWidth="1"/>
    <col min="56" max="56" width="16.5703125" style="366" bestFit="1" customWidth="1"/>
    <col min="57" max="57" width="12.7109375" style="366" bestFit="1" customWidth="1"/>
    <col min="58" max="58" width="15.28515625" style="366" bestFit="1" customWidth="1"/>
    <col min="59" max="59" width="12.5703125" style="366" bestFit="1" customWidth="1"/>
    <col min="60" max="60" width="15.7109375" style="366" bestFit="1" customWidth="1"/>
    <col min="61" max="61" width="14.5703125" style="366" bestFit="1" customWidth="1"/>
    <col min="62" max="62" width="16.5703125" style="366" bestFit="1" customWidth="1"/>
    <col min="63" max="63" width="24" style="366" bestFit="1" customWidth="1"/>
    <col min="64" max="64" width="26.140625" style="366" bestFit="1" customWidth="1"/>
    <col min="65" max="65" width="23.85546875" style="366" bestFit="1" customWidth="1"/>
    <col min="66" max="16384" width="9.140625" style="366"/>
  </cols>
  <sheetData>
    <row r="1" spans="1:65" s="365" customFormat="1">
      <c r="A1" s="365" t="s">
        <v>365</v>
      </c>
    </row>
    <row r="2" spans="1:65">
      <c r="A2" s="385" t="s">
        <v>366</v>
      </c>
      <c r="B2" s="366" t="s">
        <v>367</v>
      </c>
      <c r="C2" s="366" t="s">
        <v>368</v>
      </c>
      <c r="D2" s="366" t="s">
        <v>369</v>
      </c>
      <c r="E2" s="366" t="s">
        <v>95</v>
      </c>
      <c r="F2" s="366" t="s">
        <v>370</v>
      </c>
      <c r="G2" s="366" t="s">
        <v>371</v>
      </c>
      <c r="H2" s="366" t="s">
        <v>372</v>
      </c>
      <c r="I2" s="366" t="s">
        <v>373</v>
      </c>
      <c r="J2" s="366" t="s">
        <v>374</v>
      </c>
      <c r="K2" s="366" t="s">
        <v>375</v>
      </c>
      <c r="L2" s="366" t="s">
        <v>376</v>
      </c>
      <c r="M2" s="366" t="s">
        <v>377</v>
      </c>
      <c r="N2" s="366" t="s">
        <v>378</v>
      </c>
      <c r="O2" s="366" t="s">
        <v>379</v>
      </c>
      <c r="P2" s="366" t="s">
        <v>380</v>
      </c>
      <c r="Q2" s="366" t="s">
        <v>381</v>
      </c>
      <c r="R2" s="366" t="s">
        <v>382</v>
      </c>
      <c r="S2" s="366" t="s">
        <v>383</v>
      </c>
      <c r="T2" s="366" t="s">
        <v>384</v>
      </c>
      <c r="U2" s="366" t="s">
        <v>385</v>
      </c>
      <c r="V2" s="366" t="s">
        <v>386</v>
      </c>
      <c r="W2" s="366" t="s">
        <v>387</v>
      </c>
      <c r="X2" s="366" t="s">
        <v>388</v>
      </c>
      <c r="Y2" s="366" t="s">
        <v>389</v>
      </c>
      <c r="Z2" s="366" t="s">
        <v>390</v>
      </c>
      <c r="AA2" s="366" t="s">
        <v>391</v>
      </c>
      <c r="AB2" s="366" t="s">
        <v>392</v>
      </c>
      <c r="AC2" s="366" t="s">
        <v>393</v>
      </c>
      <c r="AD2" s="366" t="s">
        <v>394</v>
      </c>
      <c r="AE2" s="366" t="s">
        <v>395</v>
      </c>
      <c r="AF2" s="366" t="s">
        <v>396</v>
      </c>
      <c r="AG2" s="366" t="s">
        <v>397</v>
      </c>
      <c r="AH2" s="366" t="s">
        <v>398</v>
      </c>
      <c r="AI2" s="366" t="s">
        <v>399</v>
      </c>
      <c r="AJ2" s="366" t="s">
        <v>400</v>
      </c>
      <c r="AK2" s="366" t="s">
        <v>401</v>
      </c>
      <c r="AL2" s="366" t="s">
        <v>402</v>
      </c>
      <c r="AM2" s="366" t="s">
        <v>403</v>
      </c>
      <c r="AN2" s="366" t="s">
        <v>404</v>
      </c>
      <c r="AO2" s="366" t="s">
        <v>405</v>
      </c>
      <c r="AP2" s="366" t="s">
        <v>406</v>
      </c>
      <c r="AQ2" s="366" t="s">
        <v>407</v>
      </c>
      <c r="AR2" s="366" t="s">
        <v>408</v>
      </c>
      <c r="AS2" s="366" t="s">
        <v>409</v>
      </c>
      <c r="AT2" s="366" t="s">
        <v>410</v>
      </c>
      <c r="AU2" s="366" t="s">
        <v>411</v>
      </c>
      <c r="AV2" s="366" t="s">
        <v>412</v>
      </c>
      <c r="AW2" s="366" t="s">
        <v>413</v>
      </c>
      <c r="AX2" s="366" t="s">
        <v>414</v>
      </c>
      <c r="AY2" s="366" t="s">
        <v>415</v>
      </c>
      <c r="AZ2" s="366" t="s">
        <v>416</v>
      </c>
      <c r="BA2" s="366" t="s">
        <v>417</v>
      </c>
      <c r="BB2" s="366" t="s">
        <v>418</v>
      </c>
      <c r="BC2" s="366" t="s">
        <v>419</v>
      </c>
      <c r="BD2" s="366" t="s">
        <v>420</v>
      </c>
      <c r="BE2" s="366" t="s">
        <v>421</v>
      </c>
      <c r="BF2" s="366" t="s">
        <v>422</v>
      </c>
      <c r="BG2" s="366" t="s">
        <v>423</v>
      </c>
      <c r="BH2" s="366" t="s">
        <v>424</v>
      </c>
      <c r="BI2" s="366" t="s">
        <v>425</v>
      </c>
      <c r="BJ2" s="366" t="s">
        <v>426</v>
      </c>
      <c r="BK2" s="366" t="s">
        <v>427</v>
      </c>
      <c r="BL2" s="366" t="s">
        <v>428</v>
      </c>
      <c r="BM2" s="366" t="s">
        <v>429</v>
      </c>
    </row>
    <row r="3" spans="1:65" hidden="1">
      <c r="A3" s="366">
        <v>1</v>
      </c>
      <c r="B3" s="366" t="s">
        <v>44</v>
      </c>
      <c r="C3" s="366" t="s">
        <v>430</v>
      </c>
      <c r="D3" s="366">
        <v>1</v>
      </c>
      <c r="E3" s="366" t="s">
        <v>131</v>
      </c>
      <c r="F3" s="366">
        <v>1</v>
      </c>
      <c r="G3" s="366" t="s">
        <v>431</v>
      </c>
      <c r="H3" s="366" t="s">
        <v>432</v>
      </c>
      <c r="I3" s="366" t="s">
        <v>433</v>
      </c>
      <c r="N3" s="366" t="s">
        <v>434</v>
      </c>
      <c r="Q3" s="366" t="s">
        <v>435</v>
      </c>
      <c r="R3" s="366" t="s">
        <v>436</v>
      </c>
      <c r="U3" s="366">
        <v>0.95</v>
      </c>
      <c r="AA3" s="366">
        <v>816987.6</v>
      </c>
      <c r="AB3" s="366">
        <v>816987.6</v>
      </c>
      <c r="AD3" s="366">
        <v>91</v>
      </c>
      <c r="AE3" s="366">
        <v>246.63264268</v>
      </c>
      <c r="AI3" s="366">
        <v>53.823143090000002</v>
      </c>
      <c r="AL3" s="366">
        <v>26.114927080000001</v>
      </c>
      <c r="AM3" s="366">
        <v>-19.586195310000001</v>
      </c>
      <c r="AN3" s="366">
        <v>397.98451754000001</v>
      </c>
      <c r="AO3" s="366">
        <v>487.13654594000002</v>
      </c>
      <c r="AP3" s="366">
        <v>111.38479948</v>
      </c>
      <c r="AQ3" s="366">
        <v>301.88052141999998</v>
      </c>
      <c r="AR3" s="366">
        <v>36.6</v>
      </c>
      <c r="AS3" s="366">
        <v>36.6</v>
      </c>
      <c r="AT3" s="366">
        <v>29.901746159999998</v>
      </c>
      <c r="AX3" s="366">
        <v>7.5132939999999995E-2</v>
      </c>
      <c r="AZ3" s="366">
        <v>5.5E-2</v>
      </c>
      <c r="BB3" s="366">
        <v>629.27143778000004</v>
      </c>
      <c r="BC3" s="366">
        <v>454.30346938000002</v>
      </c>
      <c r="BD3" s="366">
        <v>435</v>
      </c>
      <c r="BI3" s="366">
        <v>0</v>
      </c>
      <c r="BK3" s="366">
        <v>0.29177628999999999</v>
      </c>
      <c r="BL3" s="366">
        <v>0.29177628999999999</v>
      </c>
      <c r="BM3" s="366">
        <v>116.12244416</v>
      </c>
    </row>
    <row r="4" spans="1:65" hidden="1">
      <c r="A4" s="366">
        <v>2</v>
      </c>
      <c r="B4" s="366" t="s">
        <v>44</v>
      </c>
      <c r="C4" s="366" t="s">
        <v>437</v>
      </c>
      <c r="D4" s="366">
        <v>1</v>
      </c>
      <c r="E4" s="366" t="s">
        <v>131</v>
      </c>
      <c r="F4" s="366">
        <v>1</v>
      </c>
      <c r="G4" s="366" t="s">
        <v>431</v>
      </c>
      <c r="H4" s="366" t="s">
        <v>432</v>
      </c>
      <c r="I4" s="366" t="s">
        <v>433</v>
      </c>
      <c r="N4" s="366" t="s">
        <v>438</v>
      </c>
      <c r="Q4" s="366" t="s">
        <v>439</v>
      </c>
      <c r="R4" s="366" t="s">
        <v>440</v>
      </c>
      <c r="U4" s="366">
        <v>0.99</v>
      </c>
      <c r="AA4" s="366">
        <v>160383.6</v>
      </c>
      <c r="AB4" s="366">
        <v>160383.6</v>
      </c>
      <c r="AD4" s="366">
        <v>35</v>
      </c>
      <c r="AE4" s="366">
        <v>23.770684469999999</v>
      </c>
      <c r="AI4" s="366">
        <v>8.4586310600000001</v>
      </c>
      <c r="AL4" s="366">
        <v>4.3468817700000004</v>
      </c>
      <c r="AM4" s="366">
        <v>-3.2601613299999999</v>
      </c>
      <c r="AN4" s="366">
        <v>68.316035970000001</v>
      </c>
      <c r="AO4" s="366">
        <v>425.95400013</v>
      </c>
      <c r="AP4" s="366">
        <v>218.22680123999999</v>
      </c>
      <c r="AQ4" s="366">
        <v>148.21144100000001</v>
      </c>
      <c r="AR4" s="366">
        <v>29.3</v>
      </c>
      <c r="AS4" s="366">
        <v>29.3</v>
      </c>
      <c r="AT4" s="366">
        <v>4.6992394800000001</v>
      </c>
      <c r="AX4" s="366">
        <v>6.8786769999999997E-2</v>
      </c>
      <c r="AZ4" s="366">
        <v>5.2499999999999998E-2</v>
      </c>
      <c r="BB4" s="366">
        <v>527.74963413</v>
      </c>
      <c r="BC4" s="366">
        <v>75.24390726</v>
      </c>
      <c r="BD4" s="366">
        <v>83</v>
      </c>
      <c r="BI4" s="366">
        <v>0</v>
      </c>
      <c r="BK4" s="366">
        <v>0.23898269</v>
      </c>
      <c r="BL4" s="366">
        <v>0.23898269</v>
      </c>
      <c r="BM4" s="366">
        <v>16.326350250000001</v>
      </c>
    </row>
    <row r="5" spans="1:65" hidden="1">
      <c r="A5" s="366">
        <v>3</v>
      </c>
      <c r="B5" s="366" t="s">
        <v>44</v>
      </c>
      <c r="C5" s="366" t="s">
        <v>441</v>
      </c>
      <c r="D5" s="366">
        <v>1</v>
      </c>
      <c r="E5" s="366" t="s">
        <v>131</v>
      </c>
      <c r="F5" s="366">
        <v>1</v>
      </c>
      <c r="G5" s="366" t="s">
        <v>442</v>
      </c>
      <c r="H5" s="366" t="s">
        <v>443</v>
      </c>
      <c r="I5" s="366" t="s">
        <v>433</v>
      </c>
      <c r="N5" s="366" t="s">
        <v>444</v>
      </c>
      <c r="Q5" s="366" t="s">
        <v>436</v>
      </c>
      <c r="R5" s="366" t="s">
        <v>445</v>
      </c>
      <c r="U5" s="366">
        <v>0.88</v>
      </c>
      <c r="AA5" s="366">
        <v>101500</v>
      </c>
      <c r="AB5" s="366">
        <v>101500</v>
      </c>
      <c r="AD5" s="366">
        <v>7.6124999999999998</v>
      </c>
      <c r="AE5" s="366">
        <v>29.3598125</v>
      </c>
      <c r="AI5" s="366">
        <v>2.0553750000000002</v>
      </c>
      <c r="AL5" s="366">
        <v>1.30181396</v>
      </c>
      <c r="AM5" s="366">
        <v>-0.97636047000000004</v>
      </c>
      <c r="AN5" s="366">
        <v>39.35314099</v>
      </c>
      <c r="AO5" s="366">
        <v>387.71567477999997</v>
      </c>
      <c r="AP5" s="366">
        <v>75</v>
      </c>
      <c r="AQ5" s="366">
        <v>289.25923645</v>
      </c>
      <c r="AR5" s="366">
        <v>26.600985219999998</v>
      </c>
      <c r="AS5" s="366">
        <v>27</v>
      </c>
      <c r="AT5" s="366">
        <v>2.7404999999999999</v>
      </c>
      <c r="AX5" s="366">
        <v>6.9638660000000005E-2</v>
      </c>
      <c r="AZ5" s="366">
        <v>5.2499999999999998E-2</v>
      </c>
      <c r="BB5" s="366">
        <v>486.32218845</v>
      </c>
      <c r="BC5" s="366">
        <v>43.880702130000003</v>
      </c>
      <c r="BD5" s="366">
        <v>0</v>
      </c>
      <c r="BI5" s="366">
        <v>0.05</v>
      </c>
      <c r="BK5" s="366">
        <v>0.25432686999999998</v>
      </c>
      <c r="BL5" s="366">
        <v>0.20432686999999999</v>
      </c>
      <c r="BM5" s="366">
        <v>8.0409040899999997</v>
      </c>
    </row>
    <row r="6" spans="1:65" hidden="1">
      <c r="A6" s="366">
        <v>4</v>
      </c>
      <c r="B6" s="366" t="s">
        <v>44</v>
      </c>
      <c r="C6" s="366" t="s">
        <v>446</v>
      </c>
      <c r="D6" s="366">
        <v>1</v>
      </c>
      <c r="E6" s="366" t="s">
        <v>131</v>
      </c>
      <c r="F6" s="366">
        <v>1</v>
      </c>
      <c r="G6" s="366" t="s">
        <v>431</v>
      </c>
      <c r="H6" s="366" t="s">
        <v>432</v>
      </c>
      <c r="I6" s="366" t="s">
        <v>433</v>
      </c>
      <c r="N6" s="366" t="s">
        <v>447</v>
      </c>
      <c r="Q6" s="366" t="s">
        <v>448</v>
      </c>
      <c r="R6" s="366" t="s">
        <v>449</v>
      </c>
      <c r="U6" s="366">
        <v>0.94</v>
      </c>
      <c r="AA6" s="366">
        <v>118404</v>
      </c>
      <c r="AB6" s="366">
        <v>118404</v>
      </c>
      <c r="AD6" s="366">
        <v>12</v>
      </c>
      <c r="AE6" s="366">
        <v>25.846449029999999</v>
      </c>
      <c r="AI6" s="366">
        <v>2.3071019399999999</v>
      </c>
      <c r="AL6" s="366">
        <v>1.17160361</v>
      </c>
      <c r="AM6" s="366">
        <v>-0.87870271</v>
      </c>
      <c r="AN6" s="366">
        <v>40.446451869999997</v>
      </c>
      <c r="AO6" s="366">
        <v>341.59700578000002</v>
      </c>
      <c r="AP6" s="366">
        <v>101.34792743</v>
      </c>
      <c r="AQ6" s="366">
        <v>218.29033673000001</v>
      </c>
      <c r="AR6" s="366">
        <v>21.65</v>
      </c>
      <c r="AS6" s="366">
        <v>21.65</v>
      </c>
      <c r="AT6" s="366">
        <v>2.5634465999999998</v>
      </c>
      <c r="AX6" s="366">
        <v>6.3378779999999996E-2</v>
      </c>
      <c r="AZ6" s="366">
        <v>4.7500000000000001E-2</v>
      </c>
      <c r="BB6" s="366">
        <v>431.00659450000001</v>
      </c>
      <c r="BC6" s="366">
        <v>45.906011620000001</v>
      </c>
      <c r="BD6" s="366">
        <v>18</v>
      </c>
      <c r="BI6" s="366">
        <v>0.05</v>
      </c>
      <c r="BK6" s="366">
        <v>0.26173996999999999</v>
      </c>
      <c r="BL6" s="366">
        <v>0.21173997</v>
      </c>
      <c r="BM6" s="366">
        <v>8.5641303499999992</v>
      </c>
    </row>
    <row r="7" spans="1:65" hidden="1">
      <c r="A7" s="366">
        <v>5</v>
      </c>
      <c r="B7" s="366" t="s">
        <v>44</v>
      </c>
      <c r="C7" s="366" t="s">
        <v>450</v>
      </c>
      <c r="D7" s="366">
        <v>0.5</v>
      </c>
      <c r="E7" s="366" t="s">
        <v>130</v>
      </c>
      <c r="F7" s="366">
        <v>1</v>
      </c>
      <c r="G7" s="366" t="s">
        <v>451</v>
      </c>
      <c r="H7" s="366" t="s">
        <v>443</v>
      </c>
      <c r="I7" s="366" t="s">
        <v>433</v>
      </c>
      <c r="N7" s="366" t="s">
        <v>221</v>
      </c>
      <c r="Q7" s="366" t="s">
        <v>452</v>
      </c>
      <c r="R7" s="366" t="s">
        <v>453</v>
      </c>
      <c r="U7" s="366">
        <v>0.92</v>
      </c>
      <c r="W7" s="366">
        <v>673600</v>
      </c>
      <c r="Y7" s="366">
        <v>13000</v>
      </c>
      <c r="AA7" s="366">
        <v>686600</v>
      </c>
      <c r="AB7" s="366">
        <v>343300</v>
      </c>
      <c r="AD7" s="366">
        <v>45.1</v>
      </c>
      <c r="AE7" s="366">
        <v>169.1824</v>
      </c>
      <c r="AI7" s="366">
        <v>49.435200000000002</v>
      </c>
      <c r="AL7" s="366">
        <v>25.829874520000001</v>
      </c>
      <c r="AM7" s="366">
        <v>-12.91493726</v>
      </c>
      <c r="AN7" s="366">
        <v>276.63253725999999</v>
      </c>
      <c r="AO7" s="366">
        <v>805.80407008999998</v>
      </c>
      <c r="AP7" s="366">
        <v>131.37197785999999</v>
      </c>
      <c r="AQ7" s="366">
        <v>492.81211767999997</v>
      </c>
      <c r="AR7" s="366">
        <v>64</v>
      </c>
      <c r="AS7" s="366">
        <v>64</v>
      </c>
      <c r="AT7" s="366">
        <v>21.9712</v>
      </c>
      <c r="AX7" s="366">
        <v>7.9423770000000005E-2</v>
      </c>
      <c r="AZ7" s="366">
        <v>4.3499999999999997E-2</v>
      </c>
      <c r="BB7" s="366">
        <v>1391.2665416699999</v>
      </c>
      <c r="BC7" s="366">
        <v>433.67940376000001</v>
      </c>
      <c r="BD7" s="366">
        <v>183</v>
      </c>
      <c r="BI7" s="366">
        <v>0</v>
      </c>
      <c r="BK7" s="366">
        <v>0.72655685999999997</v>
      </c>
      <c r="BL7" s="366">
        <v>0.72655685999999997</v>
      </c>
      <c r="BM7" s="366">
        <v>200.98926650000001</v>
      </c>
    </row>
    <row r="8" spans="1:65" hidden="1">
      <c r="A8" s="366">
        <v>6</v>
      </c>
      <c r="B8" s="366" t="s">
        <v>44</v>
      </c>
      <c r="C8" s="366" t="s">
        <v>454</v>
      </c>
      <c r="D8" s="366">
        <v>1</v>
      </c>
      <c r="E8" s="366" t="s">
        <v>130</v>
      </c>
      <c r="F8" s="366">
        <v>1</v>
      </c>
      <c r="G8" s="366" t="s">
        <v>451</v>
      </c>
      <c r="H8" s="366" t="s">
        <v>443</v>
      </c>
      <c r="I8" s="366" t="s">
        <v>433</v>
      </c>
      <c r="N8" s="366" t="s">
        <v>222</v>
      </c>
      <c r="Q8" s="366" t="s">
        <v>455</v>
      </c>
      <c r="R8" s="366" t="s">
        <v>456</v>
      </c>
      <c r="U8" s="366">
        <v>0.87</v>
      </c>
      <c r="W8" s="366">
        <v>259961.60000000001</v>
      </c>
      <c r="Y8" s="366">
        <v>15602</v>
      </c>
      <c r="AA8" s="366">
        <v>275666.03999999998</v>
      </c>
      <c r="AB8" s="366">
        <v>275666.03999999998</v>
      </c>
      <c r="AD8" s="366">
        <v>49</v>
      </c>
      <c r="AE8" s="366">
        <v>109.37673438</v>
      </c>
      <c r="AI8" s="366">
        <v>41.246531240000003</v>
      </c>
      <c r="AL8" s="366">
        <v>15.81946016</v>
      </c>
      <c r="AM8" s="366">
        <v>-11.864595120000001</v>
      </c>
      <c r="AN8" s="366">
        <v>203.57813066</v>
      </c>
      <c r="AO8" s="366">
        <v>738.49550223000006</v>
      </c>
      <c r="AP8" s="366">
        <v>177.75131096999999</v>
      </c>
      <c r="AQ8" s="366">
        <v>396.77261074</v>
      </c>
      <c r="AR8" s="366">
        <v>64.75</v>
      </c>
      <c r="AS8" s="366">
        <v>66.5</v>
      </c>
      <c r="AT8" s="366">
        <v>18.33179166</v>
      </c>
      <c r="AX8" s="366">
        <v>9.0047940000000007E-2</v>
      </c>
      <c r="AZ8" s="366">
        <v>5.2499999999999998E-2</v>
      </c>
      <c r="BB8" s="366">
        <v>1197.7935382200001</v>
      </c>
      <c r="BC8" s="366">
        <v>293.52741809999998</v>
      </c>
      <c r="BD8" s="366">
        <v>253</v>
      </c>
      <c r="BI8" s="366">
        <v>0.1</v>
      </c>
      <c r="BK8" s="366">
        <v>0.62193748999999998</v>
      </c>
      <c r="BL8" s="366">
        <v>0.52193749</v>
      </c>
      <c r="BM8" s="366">
        <v>106.25505769999999</v>
      </c>
    </row>
    <row r="9" spans="1:65" hidden="1">
      <c r="A9" s="366">
        <v>7</v>
      </c>
      <c r="B9" s="366" t="s">
        <v>44</v>
      </c>
      <c r="C9" s="366" t="s">
        <v>457</v>
      </c>
      <c r="D9" s="366">
        <v>1</v>
      </c>
      <c r="E9" s="366" t="s">
        <v>130</v>
      </c>
      <c r="F9" s="366">
        <v>1</v>
      </c>
      <c r="G9" s="366" t="s">
        <v>431</v>
      </c>
      <c r="H9" s="366" t="s">
        <v>432</v>
      </c>
      <c r="I9" s="366" t="s">
        <v>433</v>
      </c>
      <c r="N9" s="366" t="s">
        <v>222</v>
      </c>
      <c r="Q9" s="366" t="s">
        <v>452</v>
      </c>
      <c r="R9" s="366" t="s">
        <v>458</v>
      </c>
      <c r="U9" s="366">
        <v>0.93</v>
      </c>
      <c r="AA9" s="366">
        <v>227228.04</v>
      </c>
      <c r="AB9" s="366">
        <v>227228.04</v>
      </c>
      <c r="AD9" s="366">
        <v>97</v>
      </c>
      <c r="AE9" s="366">
        <v>41.406475759999999</v>
      </c>
      <c r="AI9" s="366">
        <v>31.187048489999999</v>
      </c>
      <c r="AL9" s="366">
        <v>6.7140449999999996</v>
      </c>
      <c r="AM9" s="366">
        <v>-5.0355337499999999</v>
      </c>
      <c r="AN9" s="366">
        <v>171.27203549999999</v>
      </c>
      <c r="AO9" s="366">
        <v>753.74516057000005</v>
      </c>
      <c r="AP9" s="366">
        <v>426.88393563</v>
      </c>
      <c r="AQ9" s="366">
        <v>182.224323</v>
      </c>
      <c r="AR9" s="366">
        <v>60.75</v>
      </c>
      <c r="AS9" s="366">
        <v>61</v>
      </c>
      <c r="AT9" s="366">
        <v>13.86091044</v>
      </c>
      <c r="AX9" s="366">
        <v>8.0929210000000001E-2</v>
      </c>
      <c r="AZ9" s="366">
        <v>5.5E-2</v>
      </c>
      <c r="BB9" s="366">
        <v>1048.78572964</v>
      </c>
      <c r="BC9" s="366">
        <v>224.45261529000001</v>
      </c>
      <c r="BD9" s="366">
        <v>228</v>
      </c>
      <c r="BI9" s="366">
        <v>0</v>
      </c>
      <c r="BK9" s="366">
        <v>0.39143278999999997</v>
      </c>
      <c r="BL9" s="366">
        <v>0.39143278999999997</v>
      </c>
      <c r="BM9" s="366">
        <v>67.041490229999994</v>
      </c>
    </row>
    <row r="10" spans="1:65" hidden="1">
      <c r="A10" s="366">
        <v>8</v>
      </c>
      <c r="B10" s="366" t="s">
        <v>44</v>
      </c>
      <c r="C10" s="366" t="s">
        <v>459</v>
      </c>
      <c r="D10" s="366">
        <v>1</v>
      </c>
      <c r="E10" s="366" t="s">
        <v>130</v>
      </c>
      <c r="F10" s="366">
        <v>1</v>
      </c>
      <c r="G10" s="366" t="s">
        <v>451</v>
      </c>
      <c r="H10" s="366" t="s">
        <v>443</v>
      </c>
      <c r="I10" s="366" t="s">
        <v>433</v>
      </c>
      <c r="N10" s="366" t="s">
        <v>221</v>
      </c>
      <c r="Q10" s="366" t="s">
        <v>460</v>
      </c>
      <c r="R10" s="366" t="s">
        <v>461</v>
      </c>
      <c r="U10" s="366">
        <v>0.84</v>
      </c>
      <c r="W10" s="366">
        <v>348600</v>
      </c>
      <c r="Y10" s="366">
        <v>30800</v>
      </c>
      <c r="AA10" s="366">
        <v>379400</v>
      </c>
      <c r="AB10" s="366">
        <v>379400</v>
      </c>
      <c r="AD10" s="366">
        <v>75.88</v>
      </c>
      <c r="AE10" s="366">
        <v>165.31524999999999</v>
      </c>
      <c r="AI10" s="366">
        <v>25.609500000000001</v>
      </c>
      <c r="AL10" s="366">
        <v>13.340237500000001</v>
      </c>
      <c r="AM10" s="366">
        <v>-10.005178129999999</v>
      </c>
      <c r="AN10" s="366">
        <v>270.13980937999997</v>
      </c>
      <c r="AO10" s="366">
        <v>712.01847488999999</v>
      </c>
      <c r="AP10" s="366">
        <v>200</v>
      </c>
      <c r="AQ10" s="366">
        <v>435.72812334999998</v>
      </c>
      <c r="AR10" s="366">
        <v>59</v>
      </c>
      <c r="AS10" s="366">
        <v>60</v>
      </c>
      <c r="AT10" s="366">
        <v>22.763999999999999</v>
      </c>
      <c r="AX10" s="366">
        <v>8.4267480000000006E-2</v>
      </c>
      <c r="AZ10" s="366">
        <v>4.7500000000000001E-2</v>
      </c>
      <c r="BB10" s="366">
        <v>1194.4755505799999</v>
      </c>
      <c r="BC10" s="366">
        <v>407.65602388999997</v>
      </c>
      <c r="BI10" s="366">
        <v>0.2</v>
      </c>
      <c r="BK10" s="366">
        <v>0.67759066999999995</v>
      </c>
      <c r="BL10" s="366">
        <v>0.47759066999999999</v>
      </c>
      <c r="BM10" s="366">
        <v>129.01625264</v>
      </c>
    </row>
    <row r="11" spans="1:65" hidden="1">
      <c r="A11" s="366">
        <v>9</v>
      </c>
      <c r="B11" s="366" t="s">
        <v>44</v>
      </c>
      <c r="C11" s="366" t="s">
        <v>462</v>
      </c>
      <c r="D11" s="366">
        <v>1</v>
      </c>
      <c r="E11" s="366" t="s">
        <v>130</v>
      </c>
      <c r="F11" s="366">
        <v>1</v>
      </c>
      <c r="G11" s="366" t="s">
        <v>1038</v>
      </c>
      <c r="H11" s="366" t="s">
        <v>558</v>
      </c>
      <c r="I11" s="366" t="s">
        <v>433</v>
      </c>
      <c r="N11" s="366" t="s">
        <v>222</v>
      </c>
      <c r="Q11" s="366" t="s">
        <v>463</v>
      </c>
      <c r="R11" s="366" t="s">
        <v>869</v>
      </c>
      <c r="S11" s="366" t="s">
        <v>614</v>
      </c>
      <c r="T11" s="366">
        <v>392</v>
      </c>
      <c r="U11" s="366">
        <v>0.89</v>
      </c>
      <c r="W11" s="366">
        <v>192700</v>
      </c>
      <c r="Y11" s="366">
        <v>41300</v>
      </c>
      <c r="AA11" s="366">
        <v>231900</v>
      </c>
      <c r="AB11" s="366">
        <v>231900</v>
      </c>
      <c r="AD11" s="366">
        <v>75.575161480000006</v>
      </c>
      <c r="AE11" s="366">
        <v>84.249607269999998</v>
      </c>
      <c r="AI11" s="366">
        <v>19.17523125</v>
      </c>
      <c r="AL11" s="366">
        <v>13.780547950000001</v>
      </c>
      <c r="AM11" s="366">
        <v>-10.335410960000001</v>
      </c>
      <c r="AN11" s="366">
        <v>182.44513699000001</v>
      </c>
      <c r="AO11" s="366">
        <v>786.74056484000005</v>
      </c>
      <c r="AP11" s="366">
        <v>325.89547857000002</v>
      </c>
      <c r="AQ11" s="366">
        <v>363.30145438</v>
      </c>
      <c r="AR11" s="366">
        <v>73.5</v>
      </c>
      <c r="AS11" s="366">
        <v>73.5</v>
      </c>
      <c r="AT11" s="366">
        <v>17.044650000000001</v>
      </c>
      <c r="AX11" s="366">
        <v>9.3423430000000002E-2</v>
      </c>
      <c r="AZ11" s="366">
        <v>4.2500000000000003E-2</v>
      </c>
      <c r="BB11" s="366">
        <v>1635.37755528</v>
      </c>
      <c r="BC11" s="366">
        <v>345.15475507000002</v>
      </c>
      <c r="BD11" s="366">
        <v>88</v>
      </c>
      <c r="BI11" s="366">
        <v>0.2</v>
      </c>
      <c r="BK11" s="366">
        <v>1.0786745099999999</v>
      </c>
      <c r="BL11" s="366">
        <v>0.87867450999999996</v>
      </c>
      <c r="BM11" s="366">
        <v>160.30989069</v>
      </c>
    </row>
    <row r="12" spans="1:65" hidden="1">
      <c r="A12" s="366">
        <v>10</v>
      </c>
      <c r="B12" s="366" t="s">
        <v>44</v>
      </c>
      <c r="C12" s="366" t="s">
        <v>465</v>
      </c>
      <c r="D12" s="366">
        <v>1</v>
      </c>
      <c r="E12" s="366" t="s">
        <v>304</v>
      </c>
      <c r="F12" s="366">
        <v>1</v>
      </c>
      <c r="G12" s="366" t="s">
        <v>500</v>
      </c>
      <c r="H12" s="366" t="s">
        <v>558</v>
      </c>
      <c r="I12" s="366" t="s">
        <v>433</v>
      </c>
      <c r="N12" s="366" t="s">
        <v>222</v>
      </c>
      <c r="Q12" s="366" t="s">
        <v>463</v>
      </c>
      <c r="R12" s="366" t="s">
        <v>870</v>
      </c>
      <c r="U12" s="366">
        <v>0.85</v>
      </c>
      <c r="X12" s="366">
        <v>108700</v>
      </c>
      <c r="AA12" s="366">
        <v>108700</v>
      </c>
      <c r="AB12" s="366">
        <v>108700</v>
      </c>
      <c r="AD12" s="366">
        <v>35.424838520000002</v>
      </c>
      <c r="AE12" s="366">
        <v>127.57516148000001</v>
      </c>
      <c r="AI12" s="366">
        <v>0</v>
      </c>
      <c r="AL12" s="366">
        <v>12.213835619999999</v>
      </c>
      <c r="AM12" s="366">
        <v>-12.213835619999999</v>
      </c>
      <c r="AN12" s="366">
        <v>163</v>
      </c>
      <c r="AO12" s="366">
        <v>1499.5400184</v>
      </c>
      <c r="AP12" s="366">
        <v>325.89547857000002</v>
      </c>
      <c r="AQ12" s="366">
        <v>1173.64453983</v>
      </c>
      <c r="AR12" s="366">
        <v>0</v>
      </c>
      <c r="AS12" s="366">
        <v>55.5</v>
      </c>
      <c r="AU12" s="366">
        <v>1067.30769231</v>
      </c>
      <c r="AX12" s="366">
        <v>0.05</v>
      </c>
      <c r="AZ12" s="366">
        <v>0.03</v>
      </c>
      <c r="BB12" s="366">
        <v>1850</v>
      </c>
      <c r="BC12" s="366">
        <v>201.095</v>
      </c>
      <c r="BI12" s="366">
        <v>0.05</v>
      </c>
      <c r="BK12" s="366">
        <v>0.23371165999999999</v>
      </c>
      <c r="BL12" s="366">
        <v>0.18371166</v>
      </c>
      <c r="BM12" s="366">
        <v>29.945</v>
      </c>
    </row>
    <row r="13" spans="1:65" hidden="1">
      <c r="A13" s="366">
        <v>11</v>
      </c>
      <c r="B13" s="366" t="s">
        <v>44</v>
      </c>
      <c r="C13" s="366" t="s">
        <v>332</v>
      </c>
      <c r="D13" s="366">
        <v>1</v>
      </c>
      <c r="E13" s="366" t="s">
        <v>130</v>
      </c>
      <c r="F13" s="366">
        <v>1</v>
      </c>
      <c r="G13" s="366" t="s">
        <v>1038</v>
      </c>
      <c r="H13" s="366" t="s">
        <v>558</v>
      </c>
      <c r="I13" s="366" t="s">
        <v>433</v>
      </c>
      <c r="N13" s="366" t="s">
        <v>221</v>
      </c>
      <c r="Q13" s="366" t="s">
        <v>469</v>
      </c>
      <c r="R13" s="366" t="s">
        <v>729</v>
      </c>
      <c r="S13" s="366" t="s">
        <v>614</v>
      </c>
      <c r="T13" s="366">
        <v>316</v>
      </c>
      <c r="U13" s="366">
        <v>1</v>
      </c>
      <c r="W13" s="366">
        <v>274800</v>
      </c>
      <c r="AA13" s="366">
        <v>274800</v>
      </c>
      <c r="AB13" s="366">
        <v>274800</v>
      </c>
      <c r="AD13" s="366">
        <v>40</v>
      </c>
      <c r="AE13" s="366">
        <v>118.53302499999999</v>
      </c>
      <c r="AI13" s="366">
        <v>17.466975000000001</v>
      </c>
      <c r="AL13" s="366">
        <v>10.451506849999999</v>
      </c>
      <c r="AM13" s="366">
        <v>-7.8386301400000002</v>
      </c>
      <c r="AN13" s="366">
        <v>178.61287670999999</v>
      </c>
      <c r="AO13" s="366">
        <v>649.97407827999996</v>
      </c>
      <c r="AP13" s="366">
        <v>145.56040757</v>
      </c>
      <c r="AQ13" s="366">
        <v>431.34288573999999</v>
      </c>
      <c r="AR13" s="366">
        <v>56.404657929999999</v>
      </c>
      <c r="AS13" s="366">
        <v>56.5</v>
      </c>
      <c r="AT13" s="366">
        <v>15.526199999999999</v>
      </c>
      <c r="AX13" s="366">
        <v>8.6926539999999997E-2</v>
      </c>
      <c r="AZ13" s="366">
        <v>4.7500000000000001E-2</v>
      </c>
      <c r="BB13" s="366">
        <v>1114.2610624900001</v>
      </c>
      <c r="BC13" s="366">
        <v>306.19893997000003</v>
      </c>
      <c r="BI13" s="366">
        <v>0</v>
      </c>
      <c r="BK13" s="366">
        <v>0.73052718000000005</v>
      </c>
      <c r="BL13" s="366">
        <v>0.73052718000000005</v>
      </c>
      <c r="BM13" s="366">
        <v>130.48156151000001</v>
      </c>
    </row>
    <row r="14" spans="1:65" hidden="1">
      <c r="A14" s="366">
        <v>12</v>
      </c>
      <c r="B14" s="366" t="s">
        <v>44</v>
      </c>
      <c r="C14" s="366" t="s">
        <v>471</v>
      </c>
      <c r="D14" s="366">
        <v>0.5</v>
      </c>
      <c r="E14" s="366" t="s">
        <v>130</v>
      </c>
      <c r="F14" s="366">
        <v>1</v>
      </c>
      <c r="G14" s="366" t="s">
        <v>1039</v>
      </c>
      <c r="H14" s="366" t="s">
        <v>432</v>
      </c>
      <c r="I14" s="366" t="s">
        <v>433</v>
      </c>
      <c r="N14" s="366" t="s">
        <v>222</v>
      </c>
      <c r="Q14" s="366" t="s">
        <v>436</v>
      </c>
      <c r="R14" s="366" t="s">
        <v>1040</v>
      </c>
      <c r="S14" s="366" t="s">
        <v>614</v>
      </c>
      <c r="T14" s="366">
        <v>405.1</v>
      </c>
      <c r="U14" s="366">
        <v>0.35</v>
      </c>
      <c r="W14" s="366">
        <v>481100</v>
      </c>
      <c r="Y14" s="366">
        <v>79500</v>
      </c>
      <c r="AA14" s="366">
        <v>560600</v>
      </c>
      <c r="AB14" s="366">
        <v>280300</v>
      </c>
      <c r="AD14" s="366">
        <v>86.391184569999993</v>
      </c>
      <c r="AE14" s="366">
        <v>145</v>
      </c>
      <c r="AI14" s="366">
        <v>23.334975</v>
      </c>
      <c r="AL14" s="366">
        <v>23.36152929</v>
      </c>
      <c r="AM14" s="366">
        <v>-17.52114697</v>
      </c>
      <c r="AN14" s="366">
        <v>260.5665419</v>
      </c>
      <c r="AO14" s="366">
        <v>929.59879378000005</v>
      </c>
      <c r="AP14" s="366">
        <v>308.20972019999999</v>
      </c>
      <c r="AQ14" s="366">
        <v>517.30288975999997</v>
      </c>
      <c r="AR14" s="366">
        <v>74.919728860000006</v>
      </c>
      <c r="AS14" s="366">
        <v>74</v>
      </c>
      <c r="AT14" s="366">
        <v>20.7422</v>
      </c>
      <c r="AX14" s="366">
        <v>7.9604229999999998E-2</v>
      </c>
      <c r="AZ14" s="366">
        <v>4.4999999999999998E-2</v>
      </c>
      <c r="BB14" s="366">
        <v>1555.0302075100001</v>
      </c>
      <c r="BC14" s="366">
        <v>435.87496716999999</v>
      </c>
      <c r="BI14" s="366">
        <v>0.1</v>
      </c>
      <c r="BK14" s="366">
        <v>0.67279714000000002</v>
      </c>
      <c r="BL14" s="366">
        <v>0.57279714000000004</v>
      </c>
      <c r="BM14" s="366">
        <v>149.25177108</v>
      </c>
    </row>
    <row r="15" spans="1:65" hidden="1">
      <c r="A15" s="366">
        <v>13</v>
      </c>
      <c r="B15" s="366" t="s">
        <v>44</v>
      </c>
      <c r="C15" s="366" t="s">
        <v>473</v>
      </c>
      <c r="D15" s="366">
        <v>0.5</v>
      </c>
      <c r="E15" s="366" t="s">
        <v>304</v>
      </c>
      <c r="F15" s="366">
        <v>1</v>
      </c>
      <c r="G15" s="366" t="s">
        <v>1038</v>
      </c>
      <c r="H15" s="366" t="s">
        <v>558</v>
      </c>
      <c r="I15" s="366" t="s">
        <v>468</v>
      </c>
      <c r="N15" s="366" t="s">
        <v>222</v>
      </c>
      <c r="Q15" s="366" t="s">
        <v>436</v>
      </c>
      <c r="R15" s="366" t="s">
        <v>653</v>
      </c>
      <c r="U15" s="366">
        <v>0.82</v>
      </c>
      <c r="X15" s="366">
        <v>166800</v>
      </c>
      <c r="AA15" s="366">
        <v>166800</v>
      </c>
      <c r="AB15" s="366">
        <v>83400</v>
      </c>
      <c r="AD15" s="366">
        <v>25.60881543</v>
      </c>
      <c r="AE15" s="366">
        <v>120.39118456999999</v>
      </c>
      <c r="AI15" s="366">
        <v>0</v>
      </c>
      <c r="AL15" s="366">
        <v>14.91</v>
      </c>
      <c r="AM15" s="366">
        <v>-11.182499999999999</v>
      </c>
      <c r="AN15" s="366">
        <v>149.72749999999999</v>
      </c>
      <c r="AO15" s="366">
        <v>1795.29376499</v>
      </c>
      <c r="AP15" s="366">
        <v>307.06013701000001</v>
      </c>
      <c r="AQ15" s="366">
        <v>1443.53938337</v>
      </c>
      <c r="AR15" s="366">
        <v>0</v>
      </c>
      <c r="AS15" s="366">
        <v>60</v>
      </c>
      <c r="AT15" s="366">
        <v>5.0039999999999996</v>
      </c>
      <c r="AU15" s="366">
        <v>1153.8461538500001</v>
      </c>
      <c r="AX15" s="366">
        <v>0.05</v>
      </c>
      <c r="AZ15" s="366">
        <v>0.03</v>
      </c>
      <c r="BB15" s="366">
        <v>1975</v>
      </c>
      <c r="BC15" s="366">
        <v>164.715</v>
      </c>
      <c r="BI15" s="366">
        <v>0.1</v>
      </c>
      <c r="BK15" s="366">
        <v>0.10009851</v>
      </c>
      <c r="BL15" s="366">
        <v>9.8510000000000004E-5</v>
      </c>
      <c r="BM15" s="366">
        <v>1.4749999999999999E-2</v>
      </c>
    </row>
    <row r="16" spans="1:65" hidden="1">
      <c r="A16" s="366">
        <v>14</v>
      </c>
      <c r="B16" s="366" t="s">
        <v>44</v>
      </c>
      <c r="C16" s="366" t="s">
        <v>475</v>
      </c>
      <c r="D16" s="366">
        <v>1</v>
      </c>
      <c r="E16" s="366" t="s">
        <v>130</v>
      </c>
      <c r="F16" s="366">
        <v>1</v>
      </c>
      <c r="G16" s="366" t="s">
        <v>1038</v>
      </c>
      <c r="H16" s="366" t="s">
        <v>558</v>
      </c>
      <c r="I16" s="366" t="s">
        <v>433</v>
      </c>
      <c r="N16" s="366" t="s">
        <v>222</v>
      </c>
      <c r="Q16" s="366" t="s">
        <v>476</v>
      </c>
      <c r="R16" s="366" t="s">
        <v>872</v>
      </c>
      <c r="S16" s="366" t="s">
        <v>614</v>
      </c>
      <c r="T16" s="366">
        <v>132</v>
      </c>
      <c r="U16" s="366">
        <v>0.9</v>
      </c>
      <c r="W16" s="366">
        <v>92800</v>
      </c>
      <c r="AA16" s="366">
        <v>92800</v>
      </c>
      <c r="AB16" s="366">
        <v>92800</v>
      </c>
      <c r="AD16" s="366">
        <v>20</v>
      </c>
      <c r="AE16" s="366">
        <v>39</v>
      </c>
      <c r="AI16" s="366">
        <v>7.2035999999999998</v>
      </c>
      <c r="AL16" s="366">
        <v>3.3101799999999999</v>
      </c>
      <c r="AM16" s="366">
        <v>-2.4826350000000001</v>
      </c>
      <c r="AN16" s="366">
        <v>67.031144999999995</v>
      </c>
      <c r="AO16" s="366">
        <v>722.31837284000005</v>
      </c>
      <c r="AP16" s="366">
        <v>215.51724138</v>
      </c>
      <c r="AQ16" s="366">
        <v>420.25862068999999</v>
      </c>
      <c r="AR16" s="366">
        <v>57.112068970000003</v>
      </c>
      <c r="AS16" s="366">
        <v>69</v>
      </c>
      <c r="AT16" s="366">
        <v>6.4032</v>
      </c>
      <c r="AX16" s="366">
        <v>9.5525739999999998E-2</v>
      </c>
      <c r="AZ16" s="366">
        <v>0.05</v>
      </c>
      <c r="BB16" s="366">
        <v>1304.96453901</v>
      </c>
      <c r="BC16" s="366">
        <v>108.29430922</v>
      </c>
      <c r="BI16" s="366">
        <v>0.15</v>
      </c>
      <c r="BK16" s="366">
        <v>0.80663346000000002</v>
      </c>
      <c r="BL16" s="366">
        <v>0.65663346</v>
      </c>
      <c r="BM16" s="366">
        <v>44.014892469999999</v>
      </c>
    </row>
    <row r="17" spans="1:65" hidden="1">
      <c r="A17" s="366">
        <v>15</v>
      </c>
      <c r="B17" s="366" t="s">
        <v>44</v>
      </c>
      <c r="C17" s="366" t="s">
        <v>478</v>
      </c>
      <c r="D17" s="366">
        <v>0.5</v>
      </c>
      <c r="E17" s="366" t="s">
        <v>131</v>
      </c>
      <c r="F17" s="366">
        <v>1</v>
      </c>
      <c r="G17" s="366" t="s">
        <v>1038</v>
      </c>
      <c r="H17" s="366" t="s">
        <v>558</v>
      </c>
      <c r="I17" s="366" t="s">
        <v>468</v>
      </c>
      <c r="N17" s="366" t="s">
        <v>222</v>
      </c>
      <c r="Q17" s="366" t="s">
        <v>469</v>
      </c>
      <c r="R17" s="366" t="s">
        <v>1041</v>
      </c>
      <c r="S17" s="366" t="s">
        <v>614</v>
      </c>
      <c r="T17" s="366">
        <v>162</v>
      </c>
      <c r="U17" s="366">
        <v>1</v>
      </c>
      <c r="AA17" s="366">
        <v>72500</v>
      </c>
      <c r="AB17" s="366">
        <v>36250</v>
      </c>
      <c r="AD17" s="366">
        <v>10</v>
      </c>
      <c r="AE17" s="366">
        <v>10</v>
      </c>
      <c r="AI17" s="366">
        <v>1.7943750000000001</v>
      </c>
      <c r="AL17" s="366">
        <v>1.6151721699999999</v>
      </c>
      <c r="AM17" s="366">
        <v>-1.2113791300000001</v>
      </c>
      <c r="AN17" s="366">
        <v>22.198168039999999</v>
      </c>
      <c r="AO17" s="366">
        <v>612.36325638000005</v>
      </c>
      <c r="AP17" s="366">
        <v>275.86206897</v>
      </c>
      <c r="AQ17" s="366">
        <v>275.86206897</v>
      </c>
      <c r="AR17" s="366">
        <v>55</v>
      </c>
      <c r="AS17" s="366">
        <v>55</v>
      </c>
      <c r="AT17" s="366">
        <v>1.9937499999999999</v>
      </c>
      <c r="AX17" s="366">
        <v>8.9815969999999995E-2</v>
      </c>
      <c r="AZ17" s="366">
        <v>4.4999999999999998E-2</v>
      </c>
      <c r="BB17" s="366">
        <v>1450</v>
      </c>
      <c r="BC17" s="366">
        <v>52.5625</v>
      </c>
      <c r="BI17" s="366">
        <v>0.15</v>
      </c>
      <c r="BK17" s="366">
        <v>1.36787558</v>
      </c>
      <c r="BL17" s="366">
        <v>1.2178755800000001</v>
      </c>
      <c r="BM17" s="366">
        <v>27.034606749999998</v>
      </c>
    </row>
    <row r="18" spans="1:65" hidden="1">
      <c r="A18" s="366">
        <v>16</v>
      </c>
      <c r="B18" s="366" t="s">
        <v>257</v>
      </c>
      <c r="C18" s="366" t="s">
        <v>480</v>
      </c>
      <c r="D18" s="366">
        <v>1</v>
      </c>
      <c r="E18" s="366" t="s">
        <v>131</v>
      </c>
      <c r="F18" s="366">
        <v>1</v>
      </c>
      <c r="G18" s="366" t="s">
        <v>1039</v>
      </c>
      <c r="H18" s="366" t="s">
        <v>432</v>
      </c>
      <c r="I18" s="366" t="s">
        <v>488</v>
      </c>
      <c r="N18" s="366" t="s">
        <v>482</v>
      </c>
      <c r="Q18" s="366" t="s">
        <v>895</v>
      </c>
      <c r="R18" s="366" t="s">
        <v>754</v>
      </c>
      <c r="U18" s="366">
        <v>0</v>
      </c>
      <c r="AA18" s="366">
        <v>440000</v>
      </c>
      <c r="AB18" s="366">
        <v>440000</v>
      </c>
      <c r="AE18" s="366">
        <v>180</v>
      </c>
      <c r="AI18" s="366">
        <v>11.88</v>
      </c>
      <c r="AL18" s="366">
        <v>11.17109589</v>
      </c>
      <c r="AM18" s="366">
        <v>-11.17109589</v>
      </c>
      <c r="AN18" s="366">
        <v>191.88</v>
      </c>
      <c r="AO18" s="366">
        <v>436.09090909000003</v>
      </c>
      <c r="AP18" s="366">
        <v>0</v>
      </c>
      <c r="AQ18" s="366">
        <v>409.09090909000003</v>
      </c>
      <c r="AS18" s="366">
        <v>30</v>
      </c>
      <c r="AT18" s="366">
        <v>13.2</v>
      </c>
      <c r="AX18" s="366">
        <v>6.8793000000000007E-2</v>
      </c>
      <c r="AZ18" s="366">
        <v>4.7500000000000001E-2</v>
      </c>
      <c r="BB18" s="366">
        <v>597.23777528999995</v>
      </c>
      <c r="BI18" s="366">
        <v>0.2</v>
      </c>
      <c r="BK18" s="366">
        <v>0.36952585999999998</v>
      </c>
      <c r="BL18" s="366">
        <v>0.16952586</v>
      </c>
      <c r="BM18" s="366">
        <v>32.528621129999998</v>
      </c>
    </row>
    <row r="19" spans="1:65" hidden="1">
      <c r="A19" s="366">
        <v>17</v>
      </c>
      <c r="B19" s="366" t="s">
        <v>257</v>
      </c>
      <c r="C19" s="366" t="s">
        <v>485</v>
      </c>
      <c r="D19" s="366">
        <v>1</v>
      </c>
      <c r="E19" s="366" t="s">
        <v>131</v>
      </c>
      <c r="F19" s="366">
        <v>1</v>
      </c>
      <c r="G19" s="366" t="s">
        <v>1039</v>
      </c>
      <c r="H19" s="366" t="s">
        <v>432</v>
      </c>
      <c r="I19" s="366" t="s">
        <v>486</v>
      </c>
      <c r="N19" s="366" t="s">
        <v>482</v>
      </c>
      <c r="Q19" s="366" t="s">
        <v>885</v>
      </c>
      <c r="R19" s="366" t="s">
        <v>484</v>
      </c>
      <c r="U19" s="366">
        <v>0</v>
      </c>
      <c r="AA19" s="366">
        <v>225000</v>
      </c>
      <c r="AB19" s="366">
        <v>225000</v>
      </c>
      <c r="AE19" s="366">
        <v>95</v>
      </c>
      <c r="AI19" s="366">
        <v>6.0750000000000002</v>
      </c>
      <c r="AL19" s="366">
        <v>5.0468270500000001</v>
      </c>
      <c r="AM19" s="366">
        <v>-5.0468270500000001</v>
      </c>
      <c r="AN19" s="366">
        <v>101.075</v>
      </c>
      <c r="AO19" s="366">
        <v>449.22222221999999</v>
      </c>
      <c r="AP19" s="366">
        <v>0</v>
      </c>
      <c r="AQ19" s="366">
        <v>422.22222221999999</v>
      </c>
      <c r="AS19" s="366">
        <v>30</v>
      </c>
      <c r="AT19" s="366">
        <v>6.75</v>
      </c>
      <c r="AX19" s="366">
        <v>6.6782090000000002E-2</v>
      </c>
      <c r="AZ19" s="366">
        <v>4.7500000000000001E-2</v>
      </c>
      <c r="BB19" s="366">
        <v>597.23777528999995</v>
      </c>
      <c r="BC19" s="366">
        <v>134.37849944000001</v>
      </c>
      <c r="BI19" s="366">
        <v>0.2</v>
      </c>
      <c r="BK19" s="366">
        <v>0.32949295000000001</v>
      </c>
      <c r="BL19" s="366">
        <v>0.12949295</v>
      </c>
      <c r="BM19" s="366">
        <v>13.08849944</v>
      </c>
    </row>
    <row r="20" spans="1:65" hidden="1">
      <c r="A20" s="366">
        <v>18</v>
      </c>
      <c r="B20" s="366" t="s">
        <v>257</v>
      </c>
      <c r="C20" s="366" t="s">
        <v>487</v>
      </c>
      <c r="D20" s="366">
        <v>1</v>
      </c>
      <c r="E20" s="366" t="s">
        <v>131</v>
      </c>
      <c r="F20" s="366">
        <v>1</v>
      </c>
      <c r="G20" s="366" t="s">
        <v>1039</v>
      </c>
      <c r="H20" s="366" t="s">
        <v>432</v>
      </c>
      <c r="I20" s="366" t="s">
        <v>488</v>
      </c>
      <c r="N20" s="366" t="s">
        <v>489</v>
      </c>
      <c r="Q20" s="366" t="s">
        <v>644</v>
      </c>
      <c r="R20" s="366" t="s">
        <v>1042</v>
      </c>
      <c r="U20" s="366">
        <v>0</v>
      </c>
      <c r="AA20" s="366">
        <v>500000</v>
      </c>
      <c r="AB20" s="366">
        <v>500000</v>
      </c>
      <c r="AE20" s="366">
        <v>225</v>
      </c>
      <c r="AI20" s="366">
        <v>14.4</v>
      </c>
      <c r="AL20" s="366">
        <v>16.446452050000001</v>
      </c>
      <c r="AM20" s="366">
        <v>-16.446452050000001</v>
      </c>
      <c r="AN20" s="366">
        <v>239.4</v>
      </c>
      <c r="AO20" s="366">
        <v>478.8</v>
      </c>
      <c r="AP20" s="366">
        <v>0</v>
      </c>
      <c r="AQ20" s="366">
        <v>450</v>
      </c>
      <c r="AS20" s="366">
        <v>32</v>
      </c>
      <c r="AT20" s="366">
        <v>16</v>
      </c>
      <c r="AX20" s="366">
        <v>6.6833749999999997E-2</v>
      </c>
      <c r="AZ20" s="366">
        <v>4.7500000000000001E-2</v>
      </c>
      <c r="BB20" s="366">
        <v>637.05362697999999</v>
      </c>
      <c r="BI20" s="366">
        <v>0.2</v>
      </c>
      <c r="BK20" s="366">
        <v>0.33052135999999999</v>
      </c>
      <c r="BL20" s="366">
        <v>0.13052136</v>
      </c>
      <c r="BM20" s="366">
        <v>31.246813490000001</v>
      </c>
    </row>
    <row r="21" spans="1:65" hidden="1">
      <c r="A21" s="366">
        <v>19</v>
      </c>
      <c r="B21" s="366" t="s">
        <v>257</v>
      </c>
      <c r="C21" s="366" t="s">
        <v>491</v>
      </c>
      <c r="D21" s="366">
        <v>1</v>
      </c>
      <c r="E21" s="366" t="s">
        <v>131</v>
      </c>
      <c r="F21" s="366">
        <v>1</v>
      </c>
      <c r="G21" s="366" t="s">
        <v>1039</v>
      </c>
      <c r="H21" s="366" t="s">
        <v>432</v>
      </c>
      <c r="I21" s="366" t="s">
        <v>488</v>
      </c>
      <c r="N21" s="366" t="s">
        <v>492</v>
      </c>
      <c r="Q21" s="366" t="s">
        <v>1042</v>
      </c>
      <c r="R21" s="366" t="s">
        <v>1043</v>
      </c>
      <c r="U21" s="366">
        <v>0</v>
      </c>
      <c r="AA21" s="366">
        <v>475000</v>
      </c>
      <c r="AB21" s="366">
        <v>475000</v>
      </c>
      <c r="AE21" s="366">
        <v>200</v>
      </c>
      <c r="AI21" s="366">
        <v>11.97</v>
      </c>
      <c r="AL21" s="366">
        <v>15.912268490000001</v>
      </c>
      <c r="AM21" s="366">
        <v>-15.912268490000001</v>
      </c>
      <c r="AN21" s="366">
        <v>211.97</v>
      </c>
      <c r="AO21" s="366">
        <v>446.25263158000001</v>
      </c>
      <c r="AP21" s="366">
        <v>0</v>
      </c>
      <c r="AQ21" s="366">
        <v>421.05263158000002</v>
      </c>
      <c r="AS21" s="366">
        <v>28</v>
      </c>
      <c r="AT21" s="366">
        <v>13.3</v>
      </c>
      <c r="AX21" s="366">
        <v>6.2744729999999999E-2</v>
      </c>
      <c r="AZ21" s="366">
        <v>4.7500000000000001E-2</v>
      </c>
      <c r="BB21" s="366">
        <v>557.42192360000001</v>
      </c>
      <c r="BC21" s="366">
        <v>264.77541371000001</v>
      </c>
      <c r="BI21" s="366">
        <v>0.2</v>
      </c>
      <c r="BK21" s="366">
        <v>0.24911738999999999</v>
      </c>
      <c r="BL21" s="366">
        <v>4.9117389999999997E-2</v>
      </c>
      <c r="BM21" s="366">
        <v>10.41141371</v>
      </c>
    </row>
    <row r="22" spans="1:65" hidden="1">
      <c r="A22" s="366">
        <v>20</v>
      </c>
      <c r="B22" s="366" t="s">
        <v>257</v>
      </c>
      <c r="C22" s="366" t="s">
        <v>493</v>
      </c>
      <c r="D22" s="366">
        <v>1</v>
      </c>
      <c r="E22" s="366" t="s">
        <v>131</v>
      </c>
      <c r="F22" s="366">
        <v>1</v>
      </c>
      <c r="G22" s="366" t="s">
        <v>1039</v>
      </c>
      <c r="H22" s="366" t="s">
        <v>432</v>
      </c>
      <c r="I22" s="366" t="s">
        <v>468</v>
      </c>
      <c r="N22" s="366" t="s">
        <v>494</v>
      </c>
      <c r="Q22" s="366" t="s">
        <v>698</v>
      </c>
      <c r="R22" s="366" t="s">
        <v>745</v>
      </c>
      <c r="U22" s="366">
        <v>0.6</v>
      </c>
      <c r="AA22" s="366">
        <v>380000</v>
      </c>
      <c r="AB22" s="366">
        <v>380000</v>
      </c>
      <c r="AE22" s="366">
        <v>178</v>
      </c>
      <c r="AI22" s="366">
        <v>11.115</v>
      </c>
      <c r="AL22" s="366">
        <v>12.59039589</v>
      </c>
      <c r="AM22" s="366">
        <v>-12.59039589</v>
      </c>
      <c r="AN22" s="366">
        <v>189.11500000000001</v>
      </c>
      <c r="AO22" s="366">
        <v>497.67105263000002</v>
      </c>
      <c r="AP22" s="366">
        <v>0</v>
      </c>
      <c r="AQ22" s="366">
        <v>468.42105263000002</v>
      </c>
      <c r="AS22" s="366">
        <v>32.5</v>
      </c>
      <c r="AT22" s="366">
        <v>12.35</v>
      </c>
      <c r="AX22" s="366">
        <v>6.5304180000000003E-2</v>
      </c>
      <c r="AZ22" s="366">
        <v>4.7500000000000001E-2</v>
      </c>
      <c r="BB22" s="366">
        <v>647.00758989999997</v>
      </c>
      <c r="BC22" s="366">
        <v>245.86288415999999</v>
      </c>
      <c r="BI22" s="366">
        <v>0.15</v>
      </c>
      <c r="BK22" s="366">
        <v>0.30007076999999999</v>
      </c>
      <c r="BL22" s="366">
        <v>0.15007076999999999</v>
      </c>
      <c r="BM22" s="366">
        <v>28.38063416</v>
      </c>
    </row>
    <row r="23" spans="1:65" hidden="1">
      <c r="A23" s="366">
        <v>21</v>
      </c>
      <c r="B23" s="366" t="s">
        <v>257</v>
      </c>
      <c r="C23" s="366" t="s">
        <v>497</v>
      </c>
      <c r="D23" s="366">
        <v>1</v>
      </c>
      <c r="E23" s="366" t="s">
        <v>131</v>
      </c>
      <c r="F23" s="366">
        <v>0</v>
      </c>
      <c r="G23" s="366" t="s">
        <v>467</v>
      </c>
      <c r="H23" s="366" t="s">
        <v>432</v>
      </c>
      <c r="I23" s="366" t="s">
        <v>1034</v>
      </c>
      <c r="N23" s="366" t="s">
        <v>498</v>
      </c>
      <c r="Q23" s="366" t="s">
        <v>566</v>
      </c>
      <c r="R23" s="366" t="s">
        <v>855</v>
      </c>
      <c r="U23" s="366">
        <v>0</v>
      </c>
      <c r="AA23" s="366">
        <v>322000</v>
      </c>
      <c r="AB23" s="366">
        <v>322000</v>
      </c>
      <c r="AE23" s="366">
        <v>80</v>
      </c>
      <c r="AI23" s="366">
        <v>5.4</v>
      </c>
      <c r="AL23" s="366">
        <v>2.1349999999999998</v>
      </c>
      <c r="AM23" s="366">
        <v>-2.1349999999999998</v>
      </c>
      <c r="AN23" s="366">
        <v>81</v>
      </c>
      <c r="AO23" s="366">
        <v>251.55279503</v>
      </c>
      <c r="AP23" s="366">
        <v>0</v>
      </c>
      <c r="AQ23" s="366">
        <v>248.44720497</v>
      </c>
      <c r="AS23" s="366">
        <v>30</v>
      </c>
      <c r="AT23" s="366">
        <v>6</v>
      </c>
      <c r="AX23" s="366">
        <v>7.4074070000000006E-2</v>
      </c>
      <c r="AZ23" s="366">
        <v>5.5E-2</v>
      </c>
      <c r="BB23" s="366">
        <v>515.79626048</v>
      </c>
      <c r="BI23" s="366">
        <v>0.15</v>
      </c>
      <c r="BK23" s="366">
        <v>0.27357101</v>
      </c>
      <c r="BL23" s="366">
        <v>0.12357101</v>
      </c>
      <c r="BM23" s="366">
        <v>10.009252099999999</v>
      </c>
    </row>
    <row r="24" spans="1:65" hidden="1">
      <c r="A24" s="366">
        <v>22</v>
      </c>
      <c r="B24" s="366" t="s">
        <v>3</v>
      </c>
      <c r="C24" s="366" t="s">
        <v>501</v>
      </c>
      <c r="D24" s="366">
        <v>0.5</v>
      </c>
      <c r="E24" s="366" t="s">
        <v>130</v>
      </c>
      <c r="F24" s="366">
        <v>1</v>
      </c>
      <c r="G24" s="366" t="s">
        <v>502</v>
      </c>
      <c r="H24" s="366" t="s">
        <v>432</v>
      </c>
      <c r="I24" s="366" t="s">
        <v>433</v>
      </c>
      <c r="N24" s="366" t="s">
        <v>221</v>
      </c>
      <c r="Q24" s="366" t="s">
        <v>503</v>
      </c>
      <c r="R24" s="366" t="s">
        <v>504</v>
      </c>
      <c r="U24" s="366">
        <v>1</v>
      </c>
      <c r="AB24" s="366">
        <v>355000</v>
      </c>
      <c r="AD24" s="366">
        <v>54</v>
      </c>
      <c r="AE24" s="366">
        <v>172</v>
      </c>
      <c r="AI24" s="366">
        <v>25.975349999999999</v>
      </c>
      <c r="AL24" s="366">
        <v>28</v>
      </c>
      <c r="AM24" s="366">
        <v>1.9263874599999999</v>
      </c>
      <c r="AN24" s="366">
        <v>281.90173745999999</v>
      </c>
      <c r="AO24" s="366">
        <v>794.08940128999996</v>
      </c>
      <c r="AP24" s="366">
        <v>152.11267606000001</v>
      </c>
      <c r="AQ24" s="366">
        <v>484.50704224999998</v>
      </c>
      <c r="AR24" s="366">
        <v>54.2</v>
      </c>
      <c r="AS24" s="366">
        <v>54.2</v>
      </c>
      <c r="AT24" s="366">
        <v>19.241</v>
      </c>
      <c r="AX24" s="366">
        <v>6.8254280000000001E-2</v>
      </c>
      <c r="AZ24" s="366">
        <v>0.04</v>
      </c>
      <c r="BB24" s="366">
        <v>1281.32387707</v>
      </c>
      <c r="BC24" s="366">
        <v>416.38797635999998</v>
      </c>
      <c r="BD24" s="366">
        <v>163</v>
      </c>
      <c r="BI24" s="366">
        <v>7.4999999999999997E-2</v>
      </c>
      <c r="BK24" s="366">
        <v>0.61357634999999999</v>
      </c>
      <c r="BL24" s="366">
        <v>0.53857635000000004</v>
      </c>
      <c r="BM24" s="366">
        <v>151.82560859</v>
      </c>
    </row>
    <row r="25" spans="1:65" hidden="1">
      <c r="A25" s="366">
        <v>23</v>
      </c>
      <c r="B25" s="366" t="s">
        <v>3</v>
      </c>
      <c r="C25" s="366" t="s">
        <v>505</v>
      </c>
      <c r="D25" s="366">
        <v>0.5</v>
      </c>
      <c r="E25" s="366" t="s">
        <v>130</v>
      </c>
      <c r="F25" s="366">
        <v>1</v>
      </c>
      <c r="G25" s="366" t="s">
        <v>502</v>
      </c>
      <c r="H25" s="366" t="s">
        <v>443</v>
      </c>
      <c r="I25" s="366" t="s">
        <v>433</v>
      </c>
      <c r="N25" s="366" t="s">
        <v>221</v>
      </c>
      <c r="Q25" s="366" t="s">
        <v>503</v>
      </c>
      <c r="R25" s="366" t="s">
        <v>445</v>
      </c>
      <c r="U25" s="366">
        <v>0.55000000000000004</v>
      </c>
      <c r="AB25" s="366">
        <v>302500</v>
      </c>
      <c r="AD25" s="366">
        <v>39</v>
      </c>
      <c r="AE25" s="366">
        <v>162</v>
      </c>
      <c r="AI25" s="366">
        <v>42.879375000000003</v>
      </c>
      <c r="AL25" s="366">
        <v>33</v>
      </c>
      <c r="AM25" s="366">
        <v>-6</v>
      </c>
      <c r="AN25" s="366">
        <v>270.87937499999998</v>
      </c>
      <c r="AO25" s="366">
        <v>895.46900826000001</v>
      </c>
      <c r="AP25" s="366">
        <v>128.92561982999999</v>
      </c>
      <c r="AQ25" s="366">
        <v>535.53719007999996</v>
      </c>
      <c r="AR25" s="366">
        <v>62.5</v>
      </c>
      <c r="AS25" s="366">
        <v>63</v>
      </c>
      <c r="AT25" s="366">
        <v>19.057500000000001</v>
      </c>
      <c r="AX25" s="366">
        <v>7.0354189999999997E-2</v>
      </c>
      <c r="AZ25" s="366">
        <v>4.2500000000000003E-2</v>
      </c>
      <c r="BB25" s="366">
        <v>1401.7521902399999</v>
      </c>
      <c r="BC25" s="366">
        <v>385.91503755000002</v>
      </c>
      <c r="BD25" s="366">
        <v>159</v>
      </c>
      <c r="BI25" s="366">
        <v>0</v>
      </c>
      <c r="BK25" s="366">
        <v>0.56538325</v>
      </c>
      <c r="BL25" s="366">
        <v>0.56538325</v>
      </c>
      <c r="BM25" s="366">
        <v>153.15066254999999</v>
      </c>
    </row>
    <row r="26" spans="1:65" hidden="1">
      <c r="A26" s="366">
        <v>24</v>
      </c>
      <c r="B26" s="366" t="s">
        <v>3</v>
      </c>
      <c r="C26" s="366" t="s">
        <v>506</v>
      </c>
      <c r="D26" s="366">
        <v>1</v>
      </c>
      <c r="E26" s="366" t="s">
        <v>130</v>
      </c>
      <c r="F26" s="366">
        <v>1</v>
      </c>
      <c r="G26" s="366" t="s">
        <v>431</v>
      </c>
      <c r="H26" s="366" t="s">
        <v>432</v>
      </c>
      <c r="I26" s="366" t="s">
        <v>433</v>
      </c>
      <c r="N26" s="366" t="s">
        <v>222</v>
      </c>
      <c r="Q26" s="366" t="s">
        <v>455</v>
      </c>
      <c r="R26" s="366" t="s">
        <v>507</v>
      </c>
      <c r="U26" s="366">
        <v>0.85074627000000003</v>
      </c>
      <c r="AA26" s="366">
        <v>380000</v>
      </c>
      <c r="AB26" s="366">
        <v>380000</v>
      </c>
      <c r="AD26" s="366">
        <v>29</v>
      </c>
      <c r="AE26" s="366">
        <v>232</v>
      </c>
      <c r="AI26" s="366">
        <v>51.3</v>
      </c>
      <c r="AL26" s="366">
        <v>33</v>
      </c>
      <c r="AM26" s="366">
        <v>-88.4</v>
      </c>
      <c r="AN26" s="366">
        <v>256.89999999999998</v>
      </c>
      <c r="AO26" s="366">
        <v>676.05263158000002</v>
      </c>
      <c r="AP26" s="366">
        <v>76.315789469999999</v>
      </c>
      <c r="AQ26" s="366">
        <v>610.52631579000001</v>
      </c>
      <c r="AR26" s="366">
        <v>52</v>
      </c>
      <c r="AS26" s="366">
        <v>60</v>
      </c>
      <c r="AT26" s="366">
        <v>22.8</v>
      </c>
      <c r="AX26" s="366">
        <v>8.8750490000000001E-2</v>
      </c>
      <c r="AZ26" s="366">
        <v>4.7500000000000001E-2</v>
      </c>
      <c r="BB26" s="366">
        <v>1194.4755505799999</v>
      </c>
      <c r="BC26" s="366">
        <v>408.30070921999999</v>
      </c>
      <c r="BD26" s="366">
        <v>277</v>
      </c>
      <c r="BI26" s="366">
        <v>0</v>
      </c>
      <c r="BK26" s="366">
        <v>0.76683811000000002</v>
      </c>
      <c r="BL26" s="366">
        <v>0.76683811000000002</v>
      </c>
      <c r="BM26" s="366">
        <v>197.00070922</v>
      </c>
    </row>
    <row r="27" spans="1:65" hidden="1">
      <c r="A27" s="366">
        <v>25</v>
      </c>
      <c r="B27" s="366" t="s">
        <v>3</v>
      </c>
      <c r="C27" s="366" t="s">
        <v>508</v>
      </c>
      <c r="D27" s="366">
        <v>0.5</v>
      </c>
      <c r="E27" s="366" t="s">
        <v>130</v>
      </c>
      <c r="F27" s="366">
        <v>1</v>
      </c>
      <c r="G27" s="366" t="s">
        <v>431</v>
      </c>
      <c r="H27" s="366" t="s">
        <v>432</v>
      </c>
      <c r="I27" s="366" t="s">
        <v>433</v>
      </c>
      <c r="N27" s="366" t="s">
        <v>221</v>
      </c>
      <c r="Q27" s="366" t="s">
        <v>503</v>
      </c>
      <c r="R27" s="366" t="s">
        <v>509</v>
      </c>
      <c r="U27" s="366">
        <v>0.51428571000000001</v>
      </c>
      <c r="AA27" s="366">
        <v>142000</v>
      </c>
      <c r="AB27" s="366">
        <v>71000</v>
      </c>
      <c r="AD27" s="366">
        <v>19</v>
      </c>
      <c r="AE27" s="366">
        <v>17</v>
      </c>
      <c r="AI27" s="366">
        <v>8.3070000000000004</v>
      </c>
      <c r="AL27" s="366">
        <v>6</v>
      </c>
      <c r="AM27" s="366">
        <v>0</v>
      </c>
      <c r="AN27" s="366">
        <v>50.307000000000002</v>
      </c>
      <c r="AO27" s="366">
        <v>708.54929576999996</v>
      </c>
      <c r="AP27" s="366">
        <v>267.60563380000002</v>
      </c>
      <c r="AQ27" s="366">
        <v>239.43661972000001</v>
      </c>
      <c r="AR27" s="366">
        <v>49.295774649999998</v>
      </c>
      <c r="AS27" s="366">
        <v>52</v>
      </c>
      <c r="AT27" s="366">
        <v>3.6920000000000002</v>
      </c>
      <c r="AX27" s="366">
        <v>7.3389389999999999E-2</v>
      </c>
      <c r="AZ27" s="366">
        <v>5.5E-2</v>
      </c>
      <c r="BB27" s="366">
        <v>894.04685148999999</v>
      </c>
      <c r="BC27" s="366">
        <v>56.09332646</v>
      </c>
      <c r="BI27" s="366">
        <v>0.1</v>
      </c>
      <c r="BK27" s="366">
        <v>0.26179908000000002</v>
      </c>
      <c r="BL27" s="366">
        <v>0.16179908000000001</v>
      </c>
      <c r="BM27" s="366">
        <v>8.1396264600000006</v>
      </c>
    </row>
    <row r="28" spans="1:65" hidden="1">
      <c r="A28" s="366">
        <v>26</v>
      </c>
      <c r="B28" s="366" t="s">
        <v>3</v>
      </c>
      <c r="C28" s="366" t="s">
        <v>510</v>
      </c>
      <c r="D28" s="366">
        <v>1</v>
      </c>
      <c r="E28" s="366" t="s">
        <v>130</v>
      </c>
      <c r="F28" s="366">
        <v>1</v>
      </c>
      <c r="G28" s="366" t="s">
        <v>431</v>
      </c>
      <c r="H28" s="366" t="s">
        <v>432</v>
      </c>
      <c r="I28" s="366" t="s">
        <v>433</v>
      </c>
      <c r="N28" s="366" t="s">
        <v>222</v>
      </c>
      <c r="Q28" s="366" t="s">
        <v>455</v>
      </c>
      <c r="R28" s="366" t="s">
        <v>507</v>
      </c>
      <c r="U28" s="366">
        <v>0.50515463999999999</v>
      </c>
      <c r="AA28" s="366">
        <v>134000</v>
      </c>
      <c r="AB28" s="366">
        <v>134000</v>
      </c>
      <c r="AD28" s="366">
        <v>29</v>
      </c>
      <c r="AE28" s="366">
        <v>65</v>
      </c>
      <c r="AI28" s="366">
        <v>24.12</v>
      </c>
      <c r="AL28" s="366">
        <v>15</v>
      </c>
      <c r="AM28" s="366">
        <v>-14.45</v>
      </c>
      <c r="AN28" s="366">
        <v>118.67</v>
      </c>
      <c r="AO28" s="366">
        <v>885.59701493</v>
      </c>
      <c r="AP28" s="366">
        <v>216.41791044999999</v>
      </c>
      <c r="AQ28" s="366">
        <v>485.07462686999997</v>
      </c>
      <c r="AR28" s="366">
        <v>60.150375940000004</v>
      </c>
      <c r="AS28" s="366">
        <v>80</v>
      </c>
      <c r="AT28" s="366">
        <v>10.72</v>
      </c>
      <c r="AX28" s="366">
        <v>9.0334540000000005E-2</v>
      </c>
      <c r="AZ28" s="366">
        <v>4.7500000000000001E-2</v>
      </c>
      <c r="BB28" s="366">
        <v>1592.6340674400001</v>
      </c>
      <c r="BC28" s="366">
        <v>191.97296503999999</v>
      </c>
      <c r="BD28" s="366">
        <v>149</v>
      </c>
      <c r="BI28" s="366">
        <v>0.05</v>
      </c>
      <c r="BK28" s="366">
        <v>0.79837334999999998</v>
      </c>
      <c r="BL28" s="366">
        <v>0.74837335000000005</v>
      </c>
      <c r="BM28" s="366">
        <v>88.809465040000006</v>
      </c>
    </row>
    <row r="29" spans="1:65" hidden="1">
      <c r="A29" s="366">
        <v>27</v>
      </c>
      <c r="B29" s="366" t="s">
        <v>3</v>
      </c>
      <c r="C29" s="366" t="s">
        <v>511</v>
      </c>
      <c r="D29" s="366">
        <v>1</v>
      </c>
      <c r="E29" s="366" t="s">
        <v>130</v>
      </c>
      <c r="F29" s="366">
        <v>1</v>
      </c>
      <c r="G29" s="366" t="s">
        <v>431</v>
      </c>
      <c r="H29" s="366" t="s">
        <v>432</v>
      </c>
      <c r="I29" s="366" t="s">
        <v>433</v>
      </c>
      <c r="N29" s="366" t="s">
        <v>222</v>
      </c>
      <c r="Q29" s="366" t="s">
        <v>512</v>
      </c>
      <c r="R29" s="366" t="s">
        <v>449</v>
      </c>
      <c r="U29" s="366">
        <v>0</v>
      </c>
      <c r="AA29" s="366">
        <v>76000</v>
      </c>
      <c r="AB29" s="366">
        <v>76000</v>
      </c>
      <c r="AD29" s="366">
        <v>18</v>
      </c>
      <c r="AE29" s="366">
        <v>36</v>
      </c>
      <c r="AI29" s="366">
        <v>9.8324999999999996</v>
      </c>
      <c r="AL29" s="366">
        <v>4</v>
      </c>
      <c r="AM29" s="366">
        <v>-10.33935308</v>
      </c>
      <c r="AN29" s="366">
        <v>57.493146920000001</v>
      </c>
      <c r="AO29" s="366">
        <v>756.48877522999999</v>
      </c>
      <c r="AP29" s="366">
        <v>236.84210526000001</v>
      </c>
      <c r="AQ29" s="366">
        <v>473.68421052999997</v>
      </c>
      <c r="AR29" s="366">
        <v>50</v>
      </c>
      <c r="AS29" s="366">
        <v>57.5</v>
      </c>
      <c r="AT29" s="366">
        <v>4.37</v>
      </c>
      <c r="AX29" s="366">
        <v>7.6009060000000003E-2</v>
      </c>
      <c r="AZ29" s="366">
        <v>5.2499999999999998E-2</v>
      </c>
      <c r="BB29" s="366">
        <v>1035.68614207</v>
      </c>
      <c r="BC29" s="366">
        <v>69.972146800000004</v>
      </c>
      <c r="BD29" s="366">
        <v>44</v>
      </c>
      <c r="BI29" s="366">
        <v>0.15</v>
      </c>
      <c r="BK29" s="366">
        <v>0.36907006999999997</v>
      </c>
      <c r="BL29" s="366">
        <v>0.21907007000000001</v>
      </c>
      <c r="BM29" s="366">
        <v>12.59502784</v>
      </c>
    </row>
    <row r="30" spans="1:65" hidden="1">
      <c r="A30" s="366">
        <v>28</v>
      </c>
      <c r="B30" s="366" t="s">
        <v>3</v>
      </c>
      <c r="C30" s="366" t="s">
        <v>513</v>
      </c>
      <c r="D30" s="366">
        <v>1</v>
      </c>
      <c r="E30" s="366" t="s">
        <v>130</v>
      </c>
      <c r="F30" s="366">
        <v>1</v>
      </c>
      <c r="G30" s="366" t="s">
        <v>431</v>
      </c>
      <c r="H30" s="366" t="s">
        <v>432</v>
      </c>
      <c r="I30" s="366" t="s">
        <v>433</v>
      </c>
      <c r="N30" s="366" t="s">
        <v>222</v>
      </c>
      <c r="Q30" s="366" t="s">
        <v>514</v>
      </c>
      <c r="R30" s="366" t="s">
        <v>449</v>
      </c>
      <c r="U30" s="366">
        <v>0</v>
      </c>
      <c r="AA30" s="366">
        <v>93000</v>
      </c>
      <c r="AB30" s="366">
        <v>93000</v>
      </c>
      <c r="AD30" s="366">
        <v>41</v>
      </c>
      <c r="AE30" s="366">
        <v>24</v>
      </c>
      <c r="AI30" s="366">
        <v>14.072062499999999</v>
      </c>
      <c r="AL30" s="366">
        <v>4</v>
      </c>
      <c r="AM30" s="366">
        <v>0</v>
      </c>
      <c r="AN30" s="366">
        <v>83.072062500000001</v>
      </c>
      <c r="AO30" s="366">
        <v>893.24798386999998</v>
      </c>
      <c r="AP30" s="366">
        <v>440.86021505000002</v>
      </c>
      <c r="AQ30" s="366">
        <v>258.06451613000002</v>
      </c>
      <c r="AR30" s="366">
        <v>53.25</v>
      </c>
      <c r="AS30" s="366">
        <v>67.25</v>
      </c>
      <c r="AT30" s="366">
        <v>6.2542499999999999</v>
      </c>
      <c r="AX30" s="366">
        <v>7.528704E-2</v>
      </c>
      <c r="AZ30" s="366">
        <v>3.9E-2</v>
      </c>
      <c r="BB30" s="366">
        <v>1630.5995029400001</v>
      </c>
      <c r="BC30" s="366">
        <v>139.13725377</v>
      </c>
      <c r="BD30" s="366">
        <v>49</v>
      </c>
      <c r="BI30" s="366">
        <v>0.15</v>
      </c>
      <c r="BK30" s="366">
        <v>0.82547236000000002</v>
      </c>
      <c r="BL30" s="366">
        <v>0.67547235999999999</v>
      </c>
      <c r="BM30" s="366">
        <v>56.112881899999998</v>
      </c>
    </row>
    <row r="31" spans="1:65" hidden="1">
      <c r="A31" s="366">
        <v>29</v>
      </c>
      <c r="B31" s="366" t="s">
        <v>3</v>
      </c>
      <c r="C31" s="366" t="s">
        <v>515</v>
      </c>
      <c r="D31" s="366">
        <v>1</v>
      </c>
      <c r="E31" s="366" t="s">
        <v>131</v>
      </c>
      <c r="F31" s="366">
        <v>1</v>
      </c>
      <c r="G31" s="366" t="s">
        <v>502</v>
      </c>
      <c r="H31" s="366" t="s">
        <v>443</v>
      </c>
      <c r="I31" s="366" t="s">
        <v>433</v>
      </c>
      <c r="N31" s="366" t="s">
        <v>515</v>
      </c>
      <c r="Q31" s="366" t="s">
        <v>516</v>
      </c>
      <c r="R31" s="366" t="s">
        <v>517</v>
      </c>
      <c r="U31" s="366">
        <v>0.91666667000000002</v>
      </c>
      <c r="AA31" s="366">
        <v>305000</v>
      </c>
      <c r="AB31" s="366">
        <v>305000</v>
      </c>
      <c r="AD31" s="366">
        <v>11</v>
      </c>
      <c r="AE31" s="366">
        <v>68</v>
      </c>
      <c r="AI31" s="366">
        <v>4.3920000000000003</v>
      </c>
      <c r="AL31" s="366">
        <v>8</v>
      </c>
      <c r="AM31" s="366">
        <v>0</v>
      </c>
      <c r="AN31" s="366">
        <v>91.391999999999996</v>
      </c>
      <c r="AO31" s="366">
        <v>299.64590163999998</v>
      </c>
      <c r="AP31" s="366">
        <v>36.06557377</v>
      </c>
      <c r="AQ31" s="366">
        <v>222.95081966999999</v>
      </c>
      <c r="AR31" s="366">
        <v>16</v>
      </c>
      <c r="AS31" s="366">
        <v>16</v>
      </c>
      <c r="AT31" s="366">
        <v>4.88</v>
      </c>
      <c r="AX31" s="366">
        <v>5.3396359999999997E-2</v>
      </c>
      <c r="AZ31" s="366">
        <v>0.05</v>
      </c>
      <c r="BB31" s="366">
        <v>302.60047280999999</v>
      </c>
      <c r="BC31" s="366">
        <v>82.533144210000003</v>
      </c>
      <c r="BI31" s="366">
        <v>0.15</v>
      </c>
      <c r="BK31" s="366">
        <v>9.8602099999999995E-3</v>
      </c>
      <c r="BL31" s="366">
        <v>-0.14013978999999999</v>
      </c>
      <c r="BM31" s="366">
        <v>-12.80765579</v>
      </c>
    </row>
    <row r="32" spans="1:65" hidden="1">
      <c r="A32" s="366">
        <v>30</v>
      </c>
      <c r="B32" s="366" t="s">
        <v>3</v>
      </c>
      <c r="C32" s="366" t="s">
        <v>1044</v>
      </c>
      <c r="D32" s="366">
        <v>1</v>
      </c>
      <c r="E32" s="366" t="s">
        <v>130</v>
      </c>
      <c r="F32" s="366">
        <v>1</v>
      </c>
      <c r="G32" s="366" t="s">
        <v>1045</v>
      </c>
      <c r="H32" s="366" t="s">
        <v>558</v>
      </c>
      <c r="I32" s="366" t="s">
        <v>433</v>
      </c>
      <c r="M32" s="366" t="s">
        <v>108</v>
      </c>
      <c r="N32" s="366" t="s">
        <v>222</v>
      </c>
      <c r="Q32" s="366" t="s">
        <v>440</v>
      </c>
      <c r="R32" s="366" t="s">
        <v>1046</v>
      </c>
      <c r="S32" s="366" t="s">
        <v>762</v>
      </c>
      <c r="U32" s="366">
        <v>0</v>
      </c>
      <c r="W32" s="366">
        <v>51000</v>
      </c>
      <c r="AA32" s="366">
        <v>51000</v>
      </c>
      <c r="AB32" s="366">
        <v>51000</v>
      </c>
      <c r="AD32" s="366">
        <v>40</v>
      </c>
      <c r="AE32" s="366">
        <v>77.666666669999998</v>
      </c>
      <c r="AI32" s="366">
        <v>11.4</v>
      </c>
      <c r="AL32" s="366">
        <v>9.8214429200000009</v>
      </c>
      <c r="AM32" s="366">
        <v>0</v>
      </c>
      <c r="AN32" s="366">
        <v>138.88810959</v>
      </c>
      <c r="AO32" s="366">
        <v>2723.2962664500001</v>
      </c>
      <c r="AP32" s="366">
        <v>784.31372549000002</v>
      </c>
      <c r="AQ32" s="366">
        <v>1522.87581699</v>
      </c>
      <c r="AR32" s="366">
        <v>31</v>
      </c>
      <c r="AS32" s="366">
        <v>31</v>
      </c>
      <c r="AT32" s="366">
        <v>5.5</v>
      </c>
      <c r="AZ32" s="366">
        <v>3.7499999999999999E-2</v>
      </c>
      <c r="BB32" s="366">
        <v>3158.5492227999998</v>
      </c>
      <c r="BC32" s="366">
        <v>161.08601035999999</v>
      </c>
      <c r="BI32" s="366">
        <v>0.15</v>
      </c>
      <c r="BK32" s="366">
        <v>0.15982578</v>
      </c>
      <c r="BL32" s="366">
        <v>9.8257799999999992E-3</v>
      </c>
      <c r="BM32" s="366">
        <v>1.3646843399999999</v>
      </c>
    </row>
    <row r="33" spans="1:65" hidden="1">
      <c r="A33" s="366">
        <v>31</v>
      </c>
      <c r="B33" s="366" t="s">
        <v>3</v>
      </c>
      <c r="C33" s="366" t="s">
        <v>331</v>
      </c>
      <c r="D33" s="366">
        <v>1</v>
      </c>
      <c r="E33" s="366" t="s">
        <v>130</v>
      </c>
      <c r="F33" s="366">
        <v>1</v>
      </c>
      <c r="G33" s="366" t="s">
        <v>500</v>
      </c>
      <c r="H33" s="366" t="s">
        <v>558</v>
      </c>
      <c r="I33" s="366" t="s">
        <v>433</v>
      </c>
      <c r="N33" s="366" t="s">
        <v>222</v>
      </c>
      <c r="Q33" s="366" t="s">
        <v>469</v>
      </c>
      <c r="R33" s="366" t="s">
        <v>791</v>
      </c>
      <c r="U33" s="366">
        <v>0</v>
      </c>
      <c r="AA33" s="366">
        <v>29000</v>
      </c>
      <c r="AB33" s="366">
        <v>29000</v>
      </c>
      <c r="AD33" s="366">
        <v>11</v>
      </c>
      <c r="AE33" s="366">
        <v>12</v>
      </c>
      <c r="AI33" s="366">
        <v>1.9575</v>
      </c>
      <c r="AL33" s="366">
        <v>1.14530993</v>
      </c>
      <c r="AM33" s="366">
        <v>-1.14530993</v>
      </c>
      <c r="AN33" s="366">
        <v>24.9575</v>
      </c>
      <c r="AO33" s="366">
        <v>860.60344827999995</v>
      </c>
      <c r="AP33" s="366">
        <v>379.31034483000002</v>
      </c>
      <c r="AQ33" s="366">
        <v>413.79310344999999</v>
      </c>
      <c r="AR33" s="366">
        <v>58.620689659999996</v>
      </c>
      <c r="AS33" s="366">
        <v>60</v>
      </c>
      <c r="AT33" s="366">
        <v>1.74</v>
      </c>
      <c r="AX33" s="366">
        <v>6.9718520000000006E-2</v>
      </c>
      <c r="AZ33" s="366">
        <v>4.2500000000000003E-2</v>
      </c>
      <c r="BB33" s="366">
        <v>1335.0020859399999</v>
      </c>
      <c r="BC33" s="366">
        <v>35.235060490000002</v>
      </c>
      <c r="BI33" s="366">
        <v>0.2</v>
      </c>
      <c r="BK33" s="366">
        <v>0.55123953000000003</v>
      </c>
      <c r="BL33" s="366">
        <v>0.35123953000000002</v>
      </c>
      <c r="BM33" s="366">
        <v>8.7660604899999992</v>
      </c>
    </row>
    <row r="34" spans="1:65" hidden="1">
      <c r="A34" s="366">
        <v>32</v>
      </c>
      <c r="B34" s="366" t="s">
        <v>3</v>
      </c>
      <c r="C34" s="366" t="s">
        <v>873</v>
      </c>
      <c r="D34" s="366">
        <v>1</v>
      </c>
      <c r="E34" s="366" t="s">
        <v>518</v>
      </c>
      <c r="F34" s="366">
        <v>1</v>
      </c>
      <c r="G34" s="366" t="s">
        <v>500</v>
      </c>
      <c r="H34" s="366" t="s">
        <v>558</v>
      </c>
      <c r="I34" s="366" t="s">
        <v>481</v>
      </c>
      <c r="M34" s="366" t="s">
        <v>108</v>
      </c>
      <c r="N34" s="366" t="s">
        <v>533</v>
      </c>
      <c r="Q34" s="366" t="s">
        <v>571</v>
      </c>
      <c r="R34" s="366" t="s">
        <v>1047</v>
      </c>
      <c r="U34" s="366">
        <v>0</v>
      </c>
      <c r="AA34" s="366">
        <v>340000</v>
      </c>
      <c r="AB34" s="366">
        <v>340000</v>
      </c>
      <c r="AD34" s="366">
        <v>80</v>
      </c>
      <c r="AE34" s="366">
        <v>163.25</v>
      </c>
      <c r="AI34" s="366">
        <v>12.75</v>
      </c>
      <c r="AL34" s="366">
        <v>18.112876709999998</v>
      </c>
      <c r="AM34" s="366">
        <v>-18.112876709999998</v>
      </c>
      <c r="AN34" s="366">
        <v>256</v>
      </c>
      <c r="AO34" s="366">
        <v>752.94117646999996</v>
      </c>
      <c r="AP34" s="366">
        <v>235.29411765</v>
      </c>
      <c r="AQ34" s="366">
        <v>480.14705881999998</v>
      </c>
      <c r="AS34" s="366">
        <v>50</v>
      </c>
      <c r="AT34" s="366">
        <v>17</v>
      </c>
      <c r="AX34" s="366">
        <v>6.640625E-2</v>
      </c>
      <c r="AZ34" s="366">
        <v>4.7500000000000001E-2</v>
      </c>
      <c r="BB34" s="366">
        <v>995.39629215000002</v>
      </c>
      <c r="BI34" s="366">
        <v>0.2</v>
      </c>
      <c r="BK34" s="366">
        <v>0.32201069999999998</v>
      </c>
      <c r="BL34" s="366">
        <v>0.1220107</v>
      </c>
      <c r="BM34" s="366">
        <v>31.23473933</v>
      </c>
    </row>
    <row r="35" spans="1:65" hidden="1">
      <c r="A35" s="366">
        <v>33</v>
      </c>
      <c r="B35" s="366" t="s">
        <v>3</v>
      </c>
      <c r="C35" s="366" t="s">
        <v>520</v>
      </c>
      <c r="D35" s="366">
        <v>1</v>
      </c>
      <c r="E35" s="366" t="s">
        <v>518</v>
      </c>
      <c r="F35" s="366">
        <v>1</v>
      </c>
      <c r="G35" s="366" t="s">
        <v>500</v>
      </c>
      <c r="H35" s="366" t="s">
        <v>558</v>
      </c>
      <c r="I35" s="366" t="s">
        <v>488</v>
      </c>
      <c r="M35" s="366" t="s">
        <v>108</v>
      </c>
      <c r="N35" s="366" t="s">
        <v>521</v>
      </c>
      <c r="Q35" s="366" t="s">
        <v>874</v>
      </c>
      <c r="R35" s="366" t="s">
        <v>1048</v>
      </c>
      <c r="U35" s="366">
        <v>0</v>
      </c>
      <c r="X35" s="366">
        <v>3850000</v>
      </c>
      <c r="Y35" s="366">
        <v>1650000</v>
      </c>
      <c r="AA35" s="366">
        <v>5500000</v>
      </c>
      <c r="AB35" s="366">
        <v>5500000</v>
      </c>
      <c r="AD35" s="366">
        <v>250</v>
      </c>
      <c r="AE35" s="366">
        <v>1925</v>
      </c>
      <c r="AI35" s="366">
        <v>61.875</v>
      </c>
      <c r="AL35" s="366">
        <v>433.58604451999997</v>
      </c>
      <c r="AM35" s="366">
        <v>0</v>
      </c>
      <c r="AN35" s="366">
        <v>2670.4610445200001</v>
      </c>
      <c r="AO35" s="366">
        <v>485.53837172999999</v>
      </c>
      <c r="AP35" s="366">
        <v>45.454545449999998</v>
      </c>
      <c r="AQ35" s="366">
        <v>350</v>
      </c>
      <c r="AS35" s="366">
        <v>25</v>
      </c>
      <c r="AT35" s="366">
        <v>137.5</v>
      </c>
      <c r="AZ35" s="366">
        <v>5.5E-2</v>
      </c>
      <c r="BB35" s="366">
        <v>669</v>
      </c>
      <c r="BC35" s="366">
        <v>3404.5</v>
      </c>
      <c r="BI35" s="366">
        <v>0.25</v>
      </c>
      <c r="BK35" s="366">
        <v>0.37785196999999998</v>
      </c>
      <c r="BL35" s="366">
        <v>0.12785197000000001</v>
      </c>
      <c r="BM35" s="366">
        <v>341.42369435000001</v>
      </c>
    </row>
    <row r="36" spans="1:65" hidden="1">
      <c r="A36" s="366">
        <v>34</v>
      </c>
      <c r="B36" s="366" t="s">
        <v>3</v>
      </c>
      <c r="C36" s="366" t="s">
        <v>523</v>
      </c>
      <c r="D36" s="366">
        <v>1</v>
      </c>
      <c r="E36" s="366" t="s">
        <v>130</v>
      </c>
      <c r="F36" s="366">
        <v>1</v>
      </c>
      <c r="G36" s="366" t="s">
        <v>500</v>
      </c>
      <c r="H36" s="366" t="s">
        <v>558</v>
      </c>
      <c r="I36" s="366" t="s">
        <v>481</v>
      </c>
      <c r="M36" s="366" t="s">
        <v>108</v>
      </c>
      <c r="N36" s="366" t="s">
        <v>222</v>
      </c>
      <c r="Q36" s="366" t="s">
        <v>738</v>
      </c>
      <c r="R36" s="366" t="s">
        <v>1049</v>
      </c>
      <c r="U36" s="366">
        <v>0</v>
      </c>
      <c r="AA36" s="366">
        <v>240000</v>
      </c>
      <c r="AB36" s="366">
        <v>240000</v>
      </c>
      <c r="AD36" s="366">
        <v>60</v>
      </c>
      <c r="AE36" s="366">
        <v>150.44999999999999</v>
      </c>
      <c r="AI36" s="366">
        <v>17.55</v>
      </c>
      <c r="AL36" s="366">
        <v>14.460821920000001</v>
      </c>
      <c r="AM36" s="366">
        <v>-14.460821920000001</v>
      </c>
      <c r="AN36" s="366">
        <v>228</v>
      </c>
      <c r="AO36" s="366">
        <v>950</v>
      </c>
      <c r="AP36" s="366">
        <v>250</v>
      </c>
      <c r="AQ36" s="366">
        <v>626.875</v>
      </c>
      <c r="AS36" s="366">
        <v>65</v>
      </c>
      <c r="AT36" s="366">
        <v>15.6</v>
      </c>
      <c r="AX36" s="366">
        <v>6.8421049999999997E-2</v>
      </c>
      <c r="AZ36" s="366">
        <v>4.7500000000000001E-2</v>
      </c>
      <c r="BB36" s="366">
        <v>1294.01517979</v>
      </c>
      <c r="BC36" s="366">
        <v>310.56364315000002</v>
      </c>
      <c r="BI36" s="366">
        <v>0.2</v>
      </c>
      <c r="BK36" s="366">
        <v>0.36212124000000001</v>
      </c>
      <c r="BL36" s="366">
        <v>0.16212124</v>
      </c>
      <c r="BM36" s="366">
        <v>36.963643150000003</v>
      </c>
    </row>
    <row r="37" spans="1:65" hidden="1">
      <c r="A37" s="366">
        <v>35</v>
      </c>
      <c r="B37" s="366" t="s">
        <v>3</v>
      </c>
      <c r="C37" s="366" t="s">
        <v>525</v>
      </c>
      <c r="D37" s="366">
        <v>1</v>
      </c>
      <c r="E37" s="366" t="s">
        <v>130</v>
      </c>
      <c r="F37" s="366">
        <v>1</v>
      </c>
      <c r="G37" s="366" t="s">
        <v>1045</v>
      </c>
      <c r="H37" s="366" t="s">
        <v>558</v>
      </c>
      <c r="I37" s="366" t="s">
        <v>468</v>
      </c>
      <c r="M37" s="366" t="s">
        <v>108</v>
      </c>
      <c r="N37" s="366" t="s">
        <v>222</v>
      </c>
      <c r="Q37" s="366" t="s">
        <v>526</v>
      </c>
      <c r="R37" s="366" t="s">
        <v>633</v>
      </c>
      <c r="S37" s="366" t="s">
        <v>614</v>
      </c>
      <c r="T37" s="366">
        <v>111</v>
      </c>
      <c r="U37" s="366">
        <v>0</v>
      </c>
      <c r="AA37" s="366">
        <v>147000</v>
      </c>
      <c r="AB37" s="366">
        <v>147000</v>
      </c>
      <c r="AD37" s="366">
        <v>36</v>
      </c>
      <c r="AE37" s="366">
        <v>82</v>
      </c>
      <c r="AI37" s="366">
        <v>10.574999999999999</v>
      </c>
      <c r="AL37" s="366">
        <v>7.7497260299999997</v>
      </c>
      <c r="AM37" s="366">
        <v>-7.7497260299999997</v>
      </c>
      <c r="AN37" s="366">
        <v>128.57499999999999</v>
      </c>
      <c r="AO37" s="366">
        <v>874.65986395000004</v>
      </c>
      <c r="AP37" s="366">
        <v>240</v>
      </c>
      <c r="AQ37" s="366">
        <v>557.82312924999997</v>
      </c>
      <c r="AS37" s="366">
        <v>63.945578230000002</v>
      </c>
      <c r="AT37" s="366">
        <v>9.4</v>
      </c>
      <c r="AX37" s="366">
        <v>7.3109080000000007E-2</v>
      </c>
      <c r="AZ37" s="366">
        <v>4.7500000000000001E-2</v>
      </c>
      <c r="BB37" s="366">
        <v>1273.02382941</v>
      </c>
      <c r="BC37" s="366">
        <v>187.13450291999999</v>
      </c>
      <c r="BI37" s="366">
        <v>0.2</v>
      </c>
      <c r="BK37" s="366">
        <v>0.45545015</v>
      </c>
      <c r="BL37" s="366">
        <v>0.25545014999999999</v>
      </c>
      <c r="BM37" s="366">
        <v>32.844502919999996</v>
      </c>
    </row>
    <row r="38" spans="1:65" hidden="1">
      <c r="A38" s="366">
        <v>36</v>
      </c>
      <c r="B38" s="366" t="s">
        <v>3</v>
      </c>
      <c r="C38" s="366" t="s">
        <v>527</v>
      </c>
      <c r="D38" s="366">
        <v>1</v>
      </c>
      <c r="E38" s="366" t="s">
        <v>304</v>
      </c>
      <c r="F38" s="366">
        <v>1</v>
      </c>
      <c r="G38" s="366" t="s">
        <v>528</v>
      </c>
      <c r="H38" s="366" t="s">
        <v>432</v>
      </c>
      <c r="I38" s="366" t="s">
        <v>433</v>
      </c>
      <c r="N38" s="366" t="s">
        <v>222</v>
      </c>
      <c r="Q38" s="366" t="s">
        <v>436</v>
      </c>
      <c r="R38" s="366" t="s">
        <v>469</v>
      </c>
      <c r="U38" s="366">
        <v>0</v>
      </c>
      <c r="AA38" s="366">
        <v>24000</v>
      </c>
      <c r="AB38" s="366">
        <v>24000</v>
      </c>
      <c r="AE38" s="366">
        <v>23.47826087</v>
      </c>
      <c r="AI38" s="366">
        <v>0</v>
      </c>
      <c r="AL38" s="366">
        <v>0.58695651999999998</v>
      </c>
      <c r="AM38" s="366">
        <v>0</v>
      </c>
      <c r="AN38" s="366">
        <v>24.065217390000001</v>
      </c>
      <c r="AO38" s="366">
        <v>1002.7173913</v>
      </c>
      <c r="AQ38" s="366">
        <v>978.26086956999995</v>
      </c>
      <c r="AT38" s="366">
        <v>0</v>
      </c>
      <c r="AX38" s="366">
        <v>0.05</v>
      </c>
      <c r="AZ38" s="366">
        <v>0.04</v>
      </c>
      <c r="BB38" s="366">
        <v>1425</v>
      </c>
      <c r="BI38" s="366">
        <v>0.1</v>
      </c>
      <c r="BK38" s="366">
        <v>0.42113821000000001</v>
      </c>
      <c r="BL38" s="366">
        <v>0.32113820999999998</v>
      </c>
      <c r="BM38" s="366">
        <v>7.7282608699999997</v>
      </c>
    </row>
    <row r="39" spans="1:65" hidden="1">
      <c r="A39" s="366">
        <v>37</v>
      </c>
      <c r="B39" s="366" t="s">
        <v>3</v>
      </c>
      <c r="C39" s="366" t="s">
        <v>529</v>
      </c>
      <c r="D39" s="366">
        <v>1</v>
      </c>
      <c r="E39" s="366" t="s">
        <v>304</v>
      </c>
      <c r="F39" s="366">
        <v>1</v>
      </c>
      <c r="G39" s="366" t="s">
        <v>1045</v>
      </c>
      <c r="H39" s="366" t="s">
        <v>558</v>
      </c>
      <c r="I39" s="366" t="s">
        <v>433</v>
      </c>
      <c r="M39" s="366" t="s">
        <v>108</v>
      </c>
      <c r="N39" s="366" t="s">
        <v>222</v>
      </c>
      <c r="Q39" s="366" t="s">
        <v>499</v>
      </c>
      <c r="R39" s="366" t="s">
        <v>855</v>
      </c>
      <c r="S39" s="366" t="s">
        <v>614</v>
      </c>
      <c r="T39" s="366">
        <v>55</v>
      </c>
      <c r="U39" s="366">
        <v>0.11111111</v>
      </c>
      <c r="AA39" s="366">
        <v>32000</v>
      </c>
      <c r="AB39" s="366">
        <v>32000</v>
      </c>
      <c r="AD39" s="366">
        <v>30</v>
      </c>
      <c r="AE39" s="366">
        <v>30</v>
      </c>
      <c r="AI39" s="366">
        <v>0</v>
      </c>
      <c r="AL39" s="366">
        <v>5.0013698599999996</v>
      </c>
      <c r="AM39" s="366">
        <v>0</v>
      </c>
      <c r="AN39" s="366">
        <v>65.001369859999997</v>
      </c>
      <c r="AO39" s="366">
        <v>2031.2928082200001</v>
      </c>
      <c r="AQ39" s="366">
        <v>937.5</v>
      </c>
      <c r="AS39" s="366">
        <v>55</v>
      </c>
      <c r="AT39" s="366">
        <v>1.76</v>
      </c>
      <c r="AZ39" s="366">
        <v>2.5000000000000001E-2</v>
      </c>
      <c r="BB39" s="366">
        <v>2200</v>
      </c>
      <c r="BC39" s="366">
        <v>70.400000000000006</v>
      </c>
      <c r="BI39" s="366">
        <v>0.2</v>
      </c>
      <c r="BK39" s="366">
        <v>8.3054100000000006E-2</v>
      </c>
      <c r="BL39" s="366">
        <v>-0.11694590000000001</v>
      </c>
      <c r="BM39" s="366">
        <v>-7.6016438400000004</v>
      </c>
    </row>
    <row r="40" spans="1:65" hidden="1">
      <c r="A40" s="366">
        <v>38</v>
      </c>
      <c r="B40" s="366" t="s">
        <v>3</v>
      </c>
      <c r="C40" s="366" t="s">
        <v>531</v>
      </c>
      <c r="D40" s="366">
        <v>1</v>
      </c>
      <c r="E40" s="366" t="s">
        <v>304</v>
      </c>
      <c r="F40" s="366">
        <v>1</v>
      </c>
      <c r="G40" s="366" t="s">
        <v>1045</v>
      </c>
      <c r="H40" s="366" t="s">
        <v>558</v>
      </c>
      <c r="I40" s="366" t="s">
        <v>433</v>
      </c>
      <c r="N40" s="366" t="s">
        <v>222</v>
      </c>
      <c r="Q40" s="366" t="s">
        <v>507</v>
      </c>
      <c r="R40" s="366" t="s">
        <v>855</v>
      </c>
      <c r="S40" s="366" t="s">
        <v>614</v>
      </c>
      <c r="T40" s="366">
        <v>16</v>
      </c>
      <c r="U40" s="366">
        <v>0.72</v>
      </c>
      <c r="AA40" s="366">
        <v>25000</v>
      </c>
      <c r="AB40" s="366">
        <v>25000</v>
      </c>
      <c r="AD40" s="366">
        <v>33</v>
      </c>
      <c r="AE40" s="366">
        <v>10</v>
      </c>
      <c r="AI40" s="366">
        <v>0</v>
      </c>
      <c r="AL40" s="366">
        <v>3.8552739699999998</v>
      </c>
      <c r="AM40" s="366">
        <v>0</v>
      </c>
      <c r="AN40" s="366">
        <v>46.855273969999999</v>
      </c>
      <c r="AO40" s="366">
        <v>1874.2109588999999</v>
      </c>
      <c r="AQ40" s="366">
        <v>400</v>
      </c>
      <c r="AS40" s="366">
        <v>56.375</v>
      </c>
      <c r="AT40" s="366">
        <v>1.409375</v>
      </c>
      <c r="AX40" s="366">
        <v>0.05</v>
      </c>
      <c r="AZ40" s="366">
        <v>2.75E-2</v>
      </c>
      <c r="BB40" s="366">
        <v>2050</v>
      </c>
      <c r="BC40" s="366">
        <v>51.25</v>
      </c>
      <c r="BI40" s="366">
        <v>0.15</v>
      </c>
      <c r="BK40" s="366">
        <v>9.3793630000000003E-2</v>
      </c>
      <c r="BL40" s="366">
        <v>-5.6206369999999999E-2</v>
      </c>
      <c r="BM40" s="366">
        <v>-2.63356507</v>
      </c>
    </row>
    <row r="41" spans="1:65" hidden="1">
      <c r="A41" s="366">
        <v>39</v>
      </c>
      <c r="B41" s="366" t="s">
        <v>3</v>
      </c>
      <c r="C41" s="366" t="s">
        <v>532</v>
      </c>
      <c r="D41" s="366">
        <v>0.5</v>
      </c>
      <c r="E41" s="366" t="s">
        <v>304</v>
      </c>
      <c r="F41" s="366">
        <v>1</v>
      </c>
      <c r="G41" s="366" t="s">
        <v>1045</v>
      </c>
      <c r="H41" s="366" t="s">
        <v>558</v>
      </c>
      <c r="I41" s="366" t="s">
        <v>433</v>
      </c>
      <c r="M41" s="366" t="s">
        <v>108</v>
      </c>
      <c r="N41" s="366" t="s">
        <v>533</v>
      </c>
      <c r="Q41" s="366" t="s">
        <v>499</v>
      </c>
      <c r="R41" s="366" t="s">
        <v>530</v>
      </c>
      <c r="S41" s="366" t="s">
        <v>762</v>
      </c>
      <c r="U41" s="366">
        <v>0.69620252999999999</v>
      </c>
      <c r="AA41" s="366">
        <v>221000</v>
      </c>
      <c r="AB41" s="366">
        <v>110500</v>
      </c>
      <c r="AD41" s="366">
        <v>8</v>
      </c>
      <c r="AE41" s="366">
        <v>56</v>
      </c>
      <c r="AI41" s="366">
        <v>0</v>
      </c>
      <c r="AL41" s="366">
        <v>4.4624657499999998</v>
      </c>
      <c r="AM41" s="366">
        <v>0</v>
      </c>
      <c r="AN41" s="366">
        <v>68.462465750000007</v>
      </c>
      <c r="AO41" s="366">
        <v>619.56982582000001</v>
      </c>
      <c r="AQ41" s="366">
        <v>506.78733032000002</v>
      </c>
      <c r="AS41" s="366">
        <v>25.1875</v>
      </c>
      <c r="AT41" s="366">
        <v>2.7832187500000001</v>
      </c>
      <c r="AX41" s="366">
        <v>5.5E-2</v>
      </c>
      <c r="AZ41" s="366">
        <v>3.2500000000000001E-2</v>
      </c>
      <c r="BB41" s="366">
        <v>775</v>
      </c>
      <c r="BC41" s="366">
        <v>80.071062499999996</v>
      </c>
      <c r="BI41" s="366">
        <v>0.15</v>
      </c>
      <c r="BK41" s="366">
        <v>0.25086788999999998</v>
      </c>
      <c r="BL41" s="366">
        <v>0.10086789</v>
      </c>
      <c r="BM41" s="366">
        <v>6.9056643800000002</v>
      </c>
    </row>
    <row r="42" spans="1:65" hidden="1">
      <c r="A42" s="366">
        <v>40</v>
      </c>
      <c r="B42" s="366" t="s">
        <v>3</v>
      </c>
      <c r="C42" s="366" t="s">
        <v>534</v>
      </c>
      <c r="D42" s="366">
        <v>0.5</v>
      </c>
      <c r="E42" s="366" t="s">
        <v>304</v>
      </c>
      <c r="F42" s="366">
        <v>1</v>
      </c>
      <c r="G42" s="366" t="s">
        <v>871</v>
      </c>
      <c r="H42" s="366" t="s">
        <v>432</v>
      </c>
      <c r="I42" s="366" t="s">
        <v>486</v>
      </c>
      <c r="M42" s="366" t="s">
        <v>108</v>
      </c>
      <c r="N42" s="366" t="s">
        <v>533</v>
      </c>
      <c r="Q42" s="366" t="s">
        <v>1050</v>
      </c>
      <c r="R42" s="366" t="s">
        <v>875</v>
      </c>
      <c r="U42" s="366">
        <v>0</v>
      </c>
      <c r="AA42" s="366">
        <v>145000</v>
      </c>
      <c r="AB42" s="366">
        <v>72500</v>
      </c>
      <c r="AD42" s="366">
        <v>20</v>
      </c>
      <c r="AE42" s="366">
        <v>38</v>
      </c>
      <c r="AI42" s="366">
        <v>0</v>
      </c>
      <c r="AL42" s="366">
        <v>3.98849315</v>
      </c>
      <c r="AM42" s="366">
        <v>0</v>
      </c>
      <c r="AN42" s="366">
        <v>61.988493149999996</v>
      </c>
      <c r="AO42" s="366">
        <v>855.01369863000002</v>
      </c>
      <c r="AQ42" s="366">
        <v>524.13793103</v>
      </c>
      <c r="AS42" s="366">
        <v>36.225000000000001</v>
      </c>
      <c r="AT42" s="366">
        <v>2.6263125</v>
      </c>
      <c r="AZ42" s="366">
        <v>3.5000000000000003E-2</v>
      </c>
      <c r="BB42" s="366">
        <v>1035</v>
      </c>
      <c r="BC42" s="366">
        <v>69.784875</v>
      </c>
      <c r="BI42" s="366">
        <v>0.15</v>
      </c>
      <c r="BK42" s="366">
        <v>0.21050691999999999</v>
      </c>
      <c r="BL42" s="366">
        <v>6.0506919999999999E-2</v>
      </c>
      <c r="BM42" s="366">
        <v>3.7507328800000002</v>
      </c>
    </row>
    <row r="43" spans="1:65" hidden="1">
      <c r="A43" s="366">
        <v>41</v>
      </c>
      <c r="B43" s="366" t="s">
        <v>3</v>
      </c>
      <c r="C43" s="366" t="s">
        <v>535</v>
      </c>
      <c r="D43" s="366">
        <v>0.5</v>
      </c>
      <c r="E43" s="366" t="s">
        <v>131</v>
      </c>
      <c r="F43" s="366">
        <v>1</v>
      </c>
      <c r="G43" s="366" t="s">
        <v>431</v>
      </c>
      <c r="H43" s="366" t="s">
        <v>432</v>
      </c>
      <c r="I43" s="366" t="s">
        <v>433</v>
      </c>
      <c r="N43" s="366" t="s">
        <v>536</v>
      </c>
      <c r="Q43" s="366" t="s">
        <v>503</v>
      </c>
      <c r="R43" s="366" t="s">
        <v>463</v>
      </c>
      <c r="U43" s="366">
        <v>0.375</v>
      </c>
      <c r="AA43" s="366">
        <v>1360000</v>
      </c>
      <c r="AB43" s="366">
        <v>680000</v>
      </c>
      <c r="AD43" s="366">
        <v>32</v>
      </c>
      <c r="AE43" s="366">
        <v>74</v>
      </c>
      <c r="AI43" s="366">
        <v>15.1776</v>
      </c>
      <c r="AL43" s="366">
        <v>4</v>
      </c>
      <c r="AM43" s="366">
        <v>2.5734698100000002</v>
      </c>
      <c r="AN43" s="366">
        <v>127.75106981</v>
      </c>
      <c r="AO43" s="366">
        <v>187.86922031</v>
      </c>
      <c r="AP43" s="366">
        <v>47.058823529999998</v>
      </c>
      <c r="AQ43" s="366">
        <v>108.82352941000001</v>
      </c>
      <c r="AR43" s="366">
        <v>12.4</v>
      </c>
      <c r="AS43" s="366">
        <v>12.4</v>
      </c>
      <c r="AT43" s="366">
        <v>8.4320000000000004</v>
      </c>
      <c r="AX43" s="366">
        <v>6.6003359999999997E-2</v>
      </c>
      <c r="AZ43" s="366">
        <v>7.2499999999999995E-2</v>
      </c>
      <c r="BB43" s="366">
        <v>161.73473547</v>
      </c>
      <c r="BC43" s="366">
        <v>93.115620120000003</v>
      </c>
      <c r="BI43" s="366">
        <v>0.2</v>
      </c>
      <c r="BK43" s="366">
        <v>-0.13910998999999999</v>
      </c>
      <c r="BL43" s="366">
        <v>-0.33910998999999997</v>
      </c>
      <c r="BM43" s="366">
        <v>-43.321663649999998</v>
      </c>
    </row>
    <row r="44" spans="1:65" hidden="1">
      <c r="A44" s="366">
        <v>42</v>
      </c>
      <c r="B44" s="366" t="s">
        <v>3</v>
      </c>
      <c r="C44" s="366" t="s">
        <v>537</v>
      </c>
      <c r="D44" s="366">
        <v>0.5</v>
      </c>
      <c r="E44" s="366" t="s">
        <v>131</v>
      </c>
      <c r="F44" s="366">
        <v>1</v>
      </c>
      <c r="G44" s="366" t="s">
        <v>431</v>
      </c>
      <c r="H44" s="366" t="s">
        <v>432</v>
      </c>
      <c r="I44" s="366" t="s">
        <v>433</v>
      </c>
      <c r="N44" s="366" t="s">
        <v>538</v>
      </c>
      <c r="Q44" s="366" t="s">
        <v>503</v>
      </c>
      <c r="R44" s="366" t="s">
        <v>539</v>
      </c>
      <c r="U44" s="366">
        <v>1</v>
      </c>
      <c r="AA44" s="366">
        <v>73000</v>
      </c>
      <c r="AB44" s="366">
        <v>36500</v>
      </c>
      <c r="AD44" s="366">
        <v>0</v>
      </c>
      <c r="AE44" s="366">
        <v>10</v>
      </c>
      <c r="AI44" s="366">
        <v>0</v>
      </c>
      <c r="AL44" s="366">
        <v>0</v>
      </c>
      <c r="AM44" s="366">
        <v>0</v>
      </c>
      <c r="AN44" s="366">
        <v>10</v>
      </c>
      <c r="AO44" s="366">
        <v>273.97260274000001</v>
      </c>
      <c r="AP44" s="366">
        <v>0</v>
      </c>
      <c r="AQ44" s="366">
        <v>273.97260274000001</v>
      </c>
      <c r="AR44" s="366">
        <v>16.5</v>
      </c>
      <c r="AS44" s="366">
        <v>16.5</v>
      </c>
      <c r="AT44" s="366">
        <v>0.60224999999999995</v>
      </c>
      <c r="AX44" s="366">
        <v>6.0225000000000001E-2</v>
      </c>
      <c r="AZ44" s="366">
        <v>0.05</v>
      </c>
      <c r="BB44" s="366">
        <v>312.05673759000001</v>
      </c>
      <c r="BC44" s="366">
        <v>10.18557092</v>
      </c>
      <c r="BI44" s="366">
        <v>0.05</v>
      </c>
      <c r="BK44" s="366">
        <v>0.13900709</v>
      </c>
      <c r="BL44" s="366">
        <v>8.9007089999999997E-2</v>
      </c>
      <c r="BM44" s="366">
        <v>0.89007091999999999</v>
      </c>
    </row>
    <row r="45" spans="1:65" hidden="1">
      <c r="A45" s="366">
        <v>43</v>
      </c>
      <c r="B45" s="366" t="s">
        <v>136</v>
      </c>
      <c r="C45" s="366" t="s">
        <v>540</v>
      </c>
      <c r="D45" s="366">
        <v>1</v>
      </c>
      <c r="E45" s="366" t="s">
        <v>131</v>
      </c>
      <c r="F45" s="366">
        <v>1</v>
      </c>
      <c r="G45" s="366" t="s">
        <v>528</v>
      </c>
      <c r="H45" s="366" t="s">
        <v>432</v>
      </c>
      <c r="I45" s="366" t="s">
        <v>433</v>
      </c>
      <c r="N45" s="366" t="s">
        <v>541</v>
      </c>
      <c r="Q45" s="366" t="s">
        <v>435</v>
      </c>
      <c r="R45" s="366" t="s">
        <v>542</v>
      </c>
      <c r="U45" s="366">
        <v>0.93</v>
      </c>
      <c r="AA45" s="366">
        <v>656604</v>
      </c>
      <c r="AB45" s="366">
        <v>656604</v>
      </c>
      <c r="AD45" s="366">
        <v>45.454545449999998</v>
      </c>
      <c r="AE45" s="366">
        <v>309.29910967000001</v>
      </c>
      <c r="AI45" s="366">
        <v>30.492689760000001</v>
      </c>
      <c r="AL45" s="366">
        <v>29.701188479999999</v>
      </c>
      <c r="AM45" s="366">
        <v>-29.701188479999999</v>
      </c>
      <c r="AN45" s="366">
        <v>385.24634487999998</v>
      </c>
      <c r="AO45" s="366">
        <v>586.72555280999995</v>
      </c>
      <c r="AP45" s="366">
        <v>69.226726389999996</v>
      </c>
      <c r="AQ45" s="366">
        <v>471.05882642</v>
      </c>
      <c r="AR45" s="366">
        <v>43</v>
      </c>
      <c r="AS45" s="366">
        <v>43</v>
      </c>
      <c r="AT45" s="366">
        <v>28.233972000000001</v>
      </c>
      <c r="AX45" s="366">
        <v>7.3288099999999995E-2</v>
      </c>
      <c r="AZ45" s="366">
        <v>5.1999999999999998E-2</v>
      </c>
      <c r="BB45" s="366">
        <v>781.96035643000005</v>
      </c>
      <c r="BC45" s="366">
        <v>456.97035387</v>
      </c>
      <c r="BD45" s="366">
        <v>229</v>
      </c>
      <c r="BI45" s="366">
        <v>0.05</v>
      </c>
      <c r="BK45" s="366">
        <v>0.33275320000000003</v>
      </c>
      <c r="BL45" s="366">
        <v>0.28275319999999998</v>
      </c>
      <c r="BM45" s="366">
        <v>108.92963575</v>
      </c>
    </row>
    <row r="46" spans="1:65" hidden="1">
      <c r="A46" s="366">
        <v>44</v>
      </c>
      <c r="B46" s="366" t="s">
        <v>136</v>
      </c>
      <c r="C46" s="366" t="s">
        <v>543</v>
      </c>
      <c r="D46" s="366">
        <v>0.5</v>
      </c>
      <c r="E46" s="366" t="s">
        <v>131</v>
      </c>
      <c r="F46" s="366">
        <v>1</v>
      </c>
      <c r="G46" s="366" t="s">
        <v>1039</v>
      </c>
      <c r="H46" s="366" t="s">
        <v>432</v>
      </c>
      <c r="I46" s="366" t="s">
        <v>481</v>
      </c>
      <c r="N46" s="366" t="s">
        <v>544</v>
      </c>
      <c r="Q46" s="366" t="s">
        <v>738</v>
      </c>
      <c r="R46" s="366" t="s">
        <v>1051</v>
      </c>
      <c r="U46" s="366">
        <v>0</v>
      </c>
      <c r="AA46" s="366">
        <v>2152780</v>
      </c>
      <c r="AB46" s="366">
        <v>1076390</v>
      </c>
      <c r="AD46" s="366">
        <v>125</v>
      </c>
      <c r="AE46" s="366">
        <v>485</v>
      </c>
      <c r="AI46" s="366">
        <v>49.5</v>
      </c>
      <c r="AL46" s="366">
        <v>42.420890409999998</v>
      </c>
      <c r="AM46" s="366">
        <v>0</v>
      </c>
      <c r="AN46" s="366">
        <v>701.92089040999997</v>
      </c>
      <c r="AO46" s="366">
        <v>652.10647666</v>
      </c>
      <c r="AP46" s="366">
        <v>116.12891238</v>
      </c>
      <c r="AQ46" s="366">
        <v>450.58018005000002</v>
      </c>
      <c r="AR46" s="366">
        <v>37.161251960000001</v>
      </c>
      <c r="AS46" s="366">
        <v>37.161251960000001</v>
      </c>
      <c r="AT46" s="366">
        <v>40</v>
      </c>
      <c r="AX46" s="366">
        <v>5.6986479999999999E-2</v>
      </c>
      <c r="AZ46" s="366">
        <v>4.4999999999999998E-2</v>
      </c>
      <c r="BB46" s="366">
        <v>780.90363988000001</v>
      </c>
      <c r="BI46" s="366">
        <v>0.25</v>
      </c>
      <c r="BK46" s="366">
        <v>0.19750941</v>
      </c>
      <c r="BL46" s="366">
        <v>-5.2490589999999997E-2</v>
      </c>
      <c r="BM46" s="366">
        <v>-36.844244089999997</v>
      </c>
    </row>
    <row r="47" spans="1:65" hidden="1">
      <c r="A47" s="366">
        <v>45</v>
      </c>
      <c r="B47" s="366" t="s">
        <v>136</v>
      </c>
      <c r="C47" s="366" t="s">
        <v>547</v>
      </c>
      <c r="D47" s="366">
        <v>1</v>
      </c>
      <c r="E47" s="366" t="s">
        <v>131</v>
      </c>
      <c r="F47" s="366">
        <v>1</v>
      </c>
      <c r="G47" s="366" t="s">
        <v>1052</v>
      </c>
      <c r="H47" s="366" t="s">
        <v>558</v>
      </c>
      <c r="I47" s="366" t="s">
        <v>468</v>
      </c>
      <c r="N47" s="366" t="s">
        <v>548</v>
      </c>
      <c r="Q47" s="366" t="s">
        <v>740</v>
      </c>
      <c r="R47" s="366" t="s">
        <v>522</v>
      </c>
      <c r="S47" s="366" t="s">
        <v>791</v>
      </c>
      <c r="U47" s="366">
        <v>0.5</v>
      </c>
      <c r="AA47" s="366">
        <v>107640</v>
      </c>
      <c r="AB47" s="366">
        <v>107640</v>
      </c>
      <c r="AD47" s="366">
        <v>0</v>
      </c>
      <c r="AE47" s="366">
        <v>41.768695999999998</v>
      </c>
      <c r="AI47" s="366">
        <v>5.2313039999999997</v>
      </c>
      <c r="AL47" s="366">
        <v>1.0442174</v>
      </c>
      <c r="AM47" s="366">
        <v>-1.0442174</v>
      </c>
      <c r="AN47" s="366">
        <v>47</v>
      </c>
      <c r="AO47" s="366">
        <v>436.64065403000001</v>
      </c>
      <c r="AP47" s="366">
        <v>0</v>
      </c>
      <c r="AQ47" s="366">
        <v>388.04065402999998</v>
      </c>
      <c r="AR47" s="366">
        <v>0</v>
      </c>
      <c r="AS47" s="366">
        <v>27</v>
      </c>
      <c r="AT47" s="366">
        <v>2.9062800000000002</v>
      </c>
      <c r="AX47" s="366">
        <v>6.183574E-2</v>
      </c>
      <c r="AZ47" s="366">
        <v>5.2499999999999998E-2</v>
      </c>
      <c r="BB47" s="366">
        <v>486.32218845</v>
      </c>
      <c r="BI47" s="366">
        <v>0.15</v>
      </c>
      <c r="BK47" s="366">
        <v>0.11378128</v>
      </c>
      <c r="BL47" s="366">
        <v>-3.6218720000000003E-2</v>
      </c>
      <c r="BM47" s="366">
        <v>-1.70227964</v>
      </c>
    </row>
    <row r="48" spans="1:65" hidden="1">
      <c r="A48" s="366">
        <v>46</v>
      </c>
      <c r="B48" s="366" t="s">
        <v>136</v>
      </c>
      <c r="C48" s="366" t="s">
        <v>497</v>
      </c>
      <c r="D48" s="366">
        <v>1</v>
      </c>
      <c r="E48" s="366" t="s">
        <v>131</v>
      </c>
      <c r="F48" s="366">
        <v>1</v>
      </c>
      <c r="G48" s="366" t="s">
        <v>431</v>
      </c>
      <c r="H48" s="366" t="s">
        <v>432</v>
      </c>
      <c r="I48" s="366" t="s">
        <v>433</v>
      </c>
      <c r="N48" s="366" t="s">
        <v>550</v>
      </c>
      <c r="Q48" s="366" t="s">
        <v>551</v>
      </c>
      <c r="R48" s="366" t="s">
        <v>552</v>
      </c>
      <c r="U48" s="366">
        <v>0.66532557999999997</v>
      </c>
      <c r="AA48" s="366">
        <v>462852</v>
      </c>
      <c r="AB48" s="366">
        <v>462852</v>
      </c>
      <c r="AD48" s="366">
        <v>0</v>
      </c>
      <c r="AE48" s="366">
        <v>56.2</v>
      </c>
      <c r="AI48" s="366">
        <v>3.6</v>
      </c>
      <c r="AL48" s="366">
        <v>1.2933698600000001</v>
      </c>
      <c r="AM48" s="366">
        <v>-1.2933698600000001</v>
      </c>
      <c r="AN48" s="366">
        <v>59.8</v>
      </c>
      <c r="AO48" s="366">
        <v>129.19896641</v>
      </c>
      <c r="AP48" s="366">
        <v>0</v>
      </c>
      <c r="AQ48" s="366">
        <v>121.42110221</v>
      </c>
      <c r="AR48" s="366">
        <v>12.963107000000001</v>
      </c>
      <c r="AS48" s="366">
        <v>12.963107000000001</v>
      </c>
      <c r="AT48" s="366">
        <v>6</v>
      </c>
      <c r="AX48" s="366">
        <v>0.10033445000000001</v>
      </c>
      <c r="AZ48" s="366">
        <v>6.5000000000000002E-2</v>
      </c>
      <c r="BB48" s="366">
        <v>188.58857243</v>
      </c>
      <c r="BI48" s="366">
        <v>0.15</v>
      </c>
      <c r="BK48" s="366">
        <v>0.45967554999999999</v>
      </c>
      <c r="BL48" s="366">
        <v>0.30967555000000002</v>
      </c>
      <c r="BM48" s="366">
        <v>18.518597929999999</v>
      </c>
    </row>
    <row r="49" spans="1:65" hidden="1">
      <c r="A49" s="366">
        <v>47</v>
      </c>
      <c r="B49" s="366" t="s">
        <v>136</v>
      </c>
      <c r="C49" s="366" t="s">
        <v>553</v>
      </c>
      <c r="D49" s="366">
        <v>1</v>
      </c>
      <c r="E49" s="366" t="s">
        <v>131</v>
      </c>
      <c r="F49" s="366">
        <v>1</v>
      </c>
      <c r="G49" s="366" t="s">
        <v>528</v>
      </c>
      <c r="H49" s="366" t="s">
        <v>432</v>
      </c>
      <c r="I49" s="366" t="s">
        <v>433</v>
      </c>
      <c r="N49" s="366" t="s">
        <v>554</v>
      </c>
      <c r="Q49" s="366" t="s">
        <v>555</v>
      </c>
      <c r="R49" s="366" t="s">
        <v>476</v>
      </c>
      <c r="U49" s="366">
        <v>0.87</v>
      </c>
      <c r="AA49" s="366">
        <v>52743.6</v>
      </c>
      <c r="AB49" s="366">
        <v>52743.6</v>
      </c>
      <c r="AD49" s="366">
        <v>0</v>
      </c>
      <c r="AE49" s="366">
        <v>9</v>
      </c>
      <c r="AI49" s="366">
        <v>0.54</v>
      </c>
      <c r="AL49" s="366">
        <v>0.11219178</v>
      </c>
      <c r="AM49" s="366">
        <v>-0.11219178</v>
      </c>
      <c r="AN49" s="366">
        <v>9.5399999999999991</v>
      </c>
      <c r="AO49" s="366">
        <v>180.87502559999999</v>
      </c>
      <c r="AP49" s="366">
        <v>0</v>
      </c>
      <c r="AQ49" s="366">
        <v>170.6368166</v>
      </c>
      <c r="AR49" s="366">
        <v>17.06368166</v>
      </c>
      <c r="AS49" s="366">
        <v>17.06368166</v>
      </c>
      <c r="AT49" s="366">
        <v>0.9</v>
      </c>
      <c r="AX49" s="366">
        <v>9.4339619999999999E-2</v>
      </c>
      <c r="AZ49" s="366">
        <v>6.5000000000000002E-2</v>
      </c>
      <c r="BB49" s="366">
        <v>248.24414125999999</v>
      </c>
      <c r="BI49" s="366">
        <v>0.1</v>
      </c>
      <c r="BK49" s="366">
        <v>0.37246223000000001</v>
      </c>
      <c r="BL49" s="366">
        <v>0.27246223000000003</v>
      </c>
      <c r="BM49" s="366">
        <v>2.59928969</v>
      </c>
    </row>
    <row r="50" spans="1:65" hidden="1">
      <c r="A50" s="366">
        <v>48</v>
      </c>
      <c r="B50" s="366" t="s">
        <v>136</v>
      </c>
      <c r="C50" s="366" t="s">
        <v>556</v>
      </c>
      <c r="D50" s="366">
        <v>1</v>
      </c>
      <c r="E50" s="366" t="s">
        <v>131</v>
      </c>
      <c r="F50" s="366">
        <v>1</v>
      </c>
      <c r="G50" s="366" t="s">
        <v>557</v>
      </c>
      <c r="H50" s="366" t="s">
        <v>558</v>
      </c>
      <c r="I50" s="366" t="s">
        <v>433</v>
      </c>
      <c r="N50" s="366" t="s">
        <v>559</v>
      </c>
      <c r="Q50" s="366" t="s">
        <v>499</v>
      </c>
      <c r="R50" s="366" t="s">
        <v>560</v>
      </c>
      <c r="U50" s="366">
        <v>0.65</v>
      </c>
      <c r="AA50" s="366">
        <v>156078</v>
      </c>
      <c r="AB50" s="366">
        <v>156078</v>
      </c>
      <c r="AD50" s="366">
        <v>0</v>
      </c>
      <c r="AE50" s="366">
        <v>27.324999999999999</v>
      </c>
      <c r="AI50" s="366">
        <v>1.35</v>
      </c>
      <c r="AL50" s="366">
        <v>1.4223972600000001</v>
      </c>
      <c r="AM50" s="366">
        <v>-1.4223972600000001</v>
      </c>
      <c r="AN50" s="366">
        <v>28.675000000000001</v>
      </c>
      <c r="AO50" s="366">
        <v>183.72224144</v>
      </c>
      <c r="AP50" s="366">
        <v>0</v>
      </c>
      <c r="AQ50" s="366">
        <v>175.07272004999999</v>
      </c>
      <c r="AR50" s="366">
        <v>14.41586899</v>
      </c>
      <c r="AS50" s="366">
        <v>14.41586899</v>
      </c>
      <c r="AT50" s="366">
        <v>2.25</v>
      </c>
      <c r="AX50" s="366">
        <v>7.8465560000000004E-2</v>
      </c>
      <c r="AZ50" s="366">
        <v>5.2499999999999998E-2</v>
      </c>
      <c r="BB50" s="366">
        <v>259.65766500000001</v>
      </c>
      <c r="BI50" s="366">
        <v>0.1</v>
      </c>
      <c r="BK50" s="366">
        <v>0.41331644000000001</v>
      </c>
      <c r="BL50" s="366">
        <v>0.31331643999999997</v>
      </c>
      <c r="BM50" s="366">
        <v>8.9843490399999997</v>
      </c>
    </row>
    <row r="51" spans="1:65" hidden="1">
      <c r="A51" s="366">
        <v>49</v>
      </c>
      <c r="B51" s="366" t="s">
        <v>136</v>
      </c>
      <c r="C51" s="366" t="s">
        <v>561</v>
      </c>
      <c r="D51" s="366">
        <v>0.5</v>
      </c>
      <c r="E51" s="366" t="s">
        <v>131</v>
      </c>
      <c r="F51" s="366">
        <v>1</v>
      </c>
      <c r="G51" s="366" t="s">
        <v>467</v>
      </c>
      <c r="H51" s="366" t="s">
        <v>432</v>
      </c>
      <c r="I51" s="366" t="s">
        <v>433</v>
      </c>
      <c r="N51" s="366" t="s">
        <v>492</v>
      </c>
      <c r="Q51" s="366" t="s">
        <v>507</v>
      </c>
      <c r="R51" s="366" t="s">
        <v>552</v>
      </c>
      <c r="U51" s="366">
        <v>0.97</v>
      </c>
      <c r="AA51" s="366">
        <v>117327.6</v>
      </c>
      <c r="AB51" s="366">
        <v>58663.8</v>
      </c>
      <c r="AD51" s="366">
        <v>0</v>
      </c>
      <c r="AE51" s="366">
        <v>11.1</v>
      </c>
      <c r="AI51" s="366">
        <v>1.8</v>
      </c>
      <c r="AL51" s="366">
        <v>0.48505479000000001</v>
      </c>
      <c r="AM51" s="366">
        <v>-0.48505479000000001</v>
      </c>
      <c r="AN51" s="366">
        <v>12.9</v>
      </c>
      <c r="AO51" s="366">
        <v>219.89710861</v>
      </c>
      <c r="AP51" s="366">
        <v>0</v>
      </c>
      <c r="AQ51" s="366">
        <v>189.21379113</v>
      </c>
      <c r="AR51" s="366">
        <v>17.046287490000001</v>
      </c>
      <c r="AS51" s="366">
        <v>17.046287490000001</v>
      </c>
      <c r="AT51" s="366">
        <v>1</v>
      </c>
      <c r="AX51" s="366">
        <v>7.7519379999999999E-2</v>
      </c>
      <c r="AZ51" s="366">
        <v>0.05</v>
      </c>
      <c r="BB51" s="366">
        <v>322.38841587000002</v>
      </c>
      <c r="BI51" s="366">
        <v>0.05</v>
      </c>
      <c r="BK51" s="366">
        <v>0.46608756000000001</v>
      </c>
      <c r="BL51" s="366">
        <v>0.41608756000000002</v>
      </c>
      <c r="BM51" s="366">
        <v>5.3675295500000004</v>
      </c>
    </row>
    <row r="52" spans="1:65" hidden="1">
      <c r="A52" s="366">
        <v>50</v>
      </c>
      <c r="B52" s="366" t="s">
        <v>136</v>
      </c>
      <c r="C52" s="366" t="s">
        <v>562</v>
      </c>
      <c r="D52" s="366">
        <v>1</v>
      </c>
      <c r="E52" s="366" t="s">
        <v>131</v>
      </c>
      <c r="F52" s="366">
        <v>1</v>
      </c>
      <c r="G52" s="366" t="s">
        <v>557</v>
      </c>
      <c r="H52" s="366" t="s">
        <v>558</v>
      </c>
      <c r="I52" s="366" t="s">
        <v>433</v>
      </c>
      <c r="N52" s="366" t="s">
        <v>563</v>
      </c>
      <c r="Q52" s="366" t="s">
        <v>476</v>
      </c>
      <c r="R52" s="366" t="s">
        <v>564</v>
      </c>
      <c r="U52" s="366">
        <v>0.62</v>
      </c>
      <c r="AA52" s="366">
        <v>168994.8</v>
      </c>
      <c r="AB52" s="366">
        <v>168994.8</v>
      </c>
      <c r="AD52" s="366">
        <v>0</v>
      </c>
      <c r="AE52" s="366">
        <v>35.1</v>
      </c>
      <c r="AI52" s="366">
        <v>1.8</v>
      </c>
      <c r="AL52" s="366">
        <v>1.09867808</v>
      </c>
      <c r="AM52" s="366">
        <v>-1.09867808</v>
      </c>
      <c r="AN52" s="366">
        <v>36.9</v>
      </c>
      <c r="AO52" s="366">
        <v>218.34991373</v>
      </c>
      <c r="AP52" s="366">
        <v>0</v>
      </c>
      <c r="AQ52" s="366">
        <v>207.69869842</v>
      </c>
      <c r="AR52" s="366">
        <v>17.752025509999999</v>
      </c>
      <c r="AS52" s="366">
        <v>17.752025509999999</v>
      </c>
      <c r="AT52" s="366">
        <v>3</v>
      </c>
      <c r="AX52" s="366">
        <v>8.1300810000000001E-2</v>
      </c>
      <c r="AZ52" s="366">
        <v>5.5E-2</v>
      </c>
      <c r="BB52" s="366">
        <v>305.21427906000002</v>
      </c>
      <c r="BI52" s="366">
        <v>0.1</v>
      </c>
      <c r="BK52" s="366">
        <v>0.39782183999999998</v>
      </c>
      <c r="BL52" s="366">
        <v>0.29782184</v>
      </c>
      <c r="BM52" s="366">
        <v>10.98962605</v>
      </c>
    </row>
    <row r="53" spans="1:65" hidden="1">
      <c r="A53" s="366">
        <v>51</v>
      </c>
      <c r="B53" s="366" t="s">
        <v>136</v>
      </c>
      <c r="C53" s="366" t="s">
        <v>876</v>
      </c>
      <c r="D53" s="366">
        <v>1</v>
      </c>
      <c r="E53" s="366" t="s">
        <v>131</v>
      </c>
      <c r="F53" s="366">
        <v>1</v>
      </c>
      <c r="G53" s="366" t="s">
        <v>1052</v>
      </c>
      <c r="H53" s="366" t="s">
        <v>558</v>
      </c>
      <c r="I53" s="366" t="s">
        <v>481</v>
      </c>
      <c r="N53" s="366" t="s">
        <v>565</v>
      </c>
      <c r="Q53" s="366" t="s">
        <v>1053</v>
      </c>
      <c r="R53" s="366" t="s">
        <v>1054</v>
      </c>
      <c r="U53" s="366">
        <v>0</v>
      </c>
      <c r="AA53" s="366">
        <v>344448</v>
      </c>
      <c r="AB53" s="366">
        <v>344448</v>
      </c>
      <c r="AD53" s="366">
        <v>0</v>
      </c>
      <c r="AE53" s="366">
        <v>15.676</v>
      </c>
      <c r="AI53" s="366">
        <v>0.64800000000000002</v>
      </c>
      <c r="AL53" s="366">
        <v>1.2347534200000001</v>
      </c>
      <c r="AM53" s="366">
        <v>-1.2347534200000001</v>
      </c>
      <c r="AN53" s="366">
        <v>16.324000000000002</v>
      </c>
      <c r="AO53" s="366">
        <v>47.391768859999999</v>
      </c>
      <c r="AP53" s="366">
        <v>0</v>
      </c>
      <c r="AQ53" s="366">
        <v>45.510497960000002</v>
      </c>
      <c r="AR53" s="366">
        <v>0</v>
      </c>
      <c r="AS53" s="366">
        <v>3.48383501</v>
      </c>
      <c r="AT53" s="366">
        <v>1.2</v>
      </c>
      <c r="AX53" s="366">
        <v>7.3511389999999996E-2</v>
      </c>
      <c r="AZ53" s="366">
        <v>5.2499999999999998E-2</v>
      </c>
      <c r="BB53" s="366">
        <v>62.750602370000003</v>
      </c>
      <c r="BI53" s="366">
        <v>0.15</v>
      </c>
      <c r="BK53" s="366">
        <v>0.32408229999999999</v>
      </c>
      <c r="BL53" s="366">
        <v>0.1740823</v>
      </c>
      <c r="BM53" s="366">
        <v>2.84171949</v>
      </c>
    </row>
    <row r="54" spans="1:65" hidden="1">
      <c r="A54" s="366">
        <v>52</v>
      </c>
      <c r="B54" s="366" t="s">
        <v>136</v>
      </c>
      <c r="C54" s="366" t="s">
        <v>568</v>
      </c>
      <c r="D54" s="366">
        <v>1</v>
      </c>
      <c r="E54" s="366" t="s">
        <v>131</v>
      </c>
      <c r="F54" s="366">
        <v>1</v>
      </c>
      <c r="G54" s="366" t="s">
        <v>1052</v>
      </c>
      <c r="H54" s="366" t="s">
        <v>558</v>
      </c>
      <c r="I54" s="366" t="s">
        <v>468</v>
      </c>
      <c r="N54" s="366" t="s">
        <v>569</v>
      </c>
      <c r="Q54" s="366" t="s">
        <v>479</v>
      </c>
      <c r="R54" s="366" t="s">
        <v>545</v>
      </c>
      <c r="U54" s="366">
        <v>0</v>
      </c>
      <c r="AA54" s="366">
        <v>215280</v>
      </c>
      <c r="AB54" s="366">
        <v>215280</v>
      </c>
      <c r="AD54" s="366">
        <v>0</v>
      </c>
      <c r="AE54" s="366">
        <v>25.43</v>
      </c>
      <c r="AI54" s="366">
        <v>1.1399999999999999</v>
      </c>
      <c r="AL54" s="366">
        <v>0.2090137</v>
      </c>
      <c r="AM54" s="366">
        <v>-0.2090137</v>
      </c>
      <c r="AN54" s="366">
        <v>26.57</v>
      </c>
      <c r="AO54" s="366">
        <v>123.42066146000001</v>
      </c>
      <c r="AP54" s="366">
        <v>0</v>
      </c>
      <c r="AQ54" s="366">
        <v>118.12523226</v>
      </c>
      <c r="AR54" s="366">
        <v>0</v>
      </c>
      <c r="AS54" s="366">
        <v>8.8257153499999994</v>
      </c>
      <c r="AT54" s="366">
        <v>1.9</v>
      </c>
      <c r="AX54" s="366">
        <v>7.1509219999999998E-2</v>
      </c>
      <c r="AZ54" s="366">
        <v>5.8500000000000003E-2</v>
      </c>
      <c r="BB54" s="366">
        <v>142.66376266</v>
      </c>
      <c r="BI54" s="366">
        <v>0.15</v>
      </c>
      <c r="BK54" s="366">
        <v>0.15591474999999999</v>
      </c>
      <c r="BL54" s="366">
        <v>5.9147499999999999E-3</v>
      </c>
      <c r="BM54" s="366">
        <v>0.15715483</v>
      </c>
    </row>
    <row r="55" spans="1:65" hidden="1">
      <c r="A55" s="366">
        <v>53</v>
      </c>
      <c r="B55" s="366" t="s">
        <v>136</v>
      </c>
      <c r="C55" s="366" t="s">
        <v>570</v>
      </c>
      <c r="D55" s="366">
        <v>0.41</v>
      </c>
      <c r="E55" s="366" t="s">
        <v>131</v>
      </c>
      <c r="F55" s="366">
        <v>0</v>
      </c>
      <c r="G55" s="366" t="s">
        <v>1039</v>
      </c>
      <c r="H55" s="366" t="s">
        <v>432</v>
      </c>
      <c r="I55" s="366" t="s">
        <v>468</v>
      </c>
      <c r="N55" s="366" t="s">
        <v>108</v>
      </c>
      <c r="Q55" s="366" t="s">
        <v>740</v>
      </c>
      <c r="R55" s="366" t="s">
        <v>571</v>
      </c>
      <c r="U55" s="366">
        <v>0</v>
      </c>
      <c r="AA55" s="366">
        <v>96876</v>
      </c>
      <c r="AB55" s="366">
        <v>39719.160000000003</v>
      </c>
      <c r="AD55" s="366">
        <v>0</v>
      </c>
      <c r="AE55" s="366">
        <v>20</v>
      </c>
      <c r="AI55" s="366">
        <v>1.1759999999999999</v>
      </c>
      <c r="AL55" s="366">
        <v>0.70684932</v>
      </c>
      <c r="AM55" s="366">
        <v>-0.70684932</v>
      </c>
      <c r="AN55" s="366">
        <v>21.175999999999998</v>
      </c>
      <c r="AO55" s="366">
        <v>533.14319839999996</v>
      </c>
      <c r="AP55" s="366">
        <v>0</v>
      </c>
      <c r="AQ55" s="366">
        <v>503.53532149</v>
      </c>
      <c r="AR55" s="366">
        <v>0</v>
      </c>
      <c r="AS55" s="366">
        <v>35.247472500000001</v>
      </c>
      <c r="AT55" s="366">
        <v>1.4</v>
      </c>
      <c r="AX55" s="366">
        <v>6.6112580000000004E-2</v>
      </c>
      <c r="AZ55" s="366">
        <v>5.2499999999999998E-2</v>
      </c>
      <c r="BB55" s="366">
        <v>634.87510984000005</v>
      </c>
      <c r="BI55" s="366">
        <v>0.15</v>
      </c>
      <c r="BK55" s="366">
        <v>0.19081535999999999</v>
      </c>
      <c r="BL55" s="366">
        <v>4.0815360000000002E-2</v>
      </c>
      <c r="BM55" s="366">
        <v>0.86430607000000004</v>
      </c>
    </row>
    <row r="56" spans="1:65" hidden="1">
      <c r="A56" s="366">
        <v>54</v>
      </c>
      <c r="B56" s="366" t="s">
        <v>136</v>
      </c>
      <c r="C56" s="366" t="s">
        <v>572</v>
      </c>
      <c r="D56" s="366">
        <v>1</v>
      </c>
      <c r="E56" s="366" t="s">
        <v>131</v>
      </c>
      <c r="F56" s="366">
        <v>1</v>
      </c>
      <c r="G56" s="366" t="s">
        <v>1039</v>
      </c>
      <c r="H56" s="366" t="s">
        <v>432</v>
      </c>
      <c r="I56" s="366" t="s">
        <v>468</v>
      </c>
      <c r="N56" s="366" t="s">
        <v>573</v>
      </c>
      <c r="Q56" s="366" t="s">
        <v>607</v>
      </c>
      <c r="R56" s="366" t="s">
        <v>545</v>
      </c>
      <c r="S56" s="366" t="s">
        <v>794</v>
      </c>
      <c r="T56" s="366">
        <v>58</v>
      </c>
      <c r="U56" s="366">
        <v>0.91</v>
      </c>
      <c r="AA56" s="366">
        <v>182988</v>
      </c>
      <c r="AB56" s="366">
        <v>182988</v>
      </c>
      <c r="AD56" s="366">
        <v>0</v>
      </c>
      <c r="AE56" s="366">
        <v>75.099999999999994</v>
      </c>
      <c r="AI56" s="366">
        <v>9.9</v>
      </c>
      <c r="AL56" s="366">
        <v>4.0636301399999999</v>
      </c>
      <c r="AM56" s="366">
        <v>-4.0636301399999999</v>
      </c>
      <c r="AN56" s="366">
        <v>85</v>
      </c>
      <c r="AO56" s="366">
        <v>464.51133407999998</v>
      </c>
      <c r="AP56" s="366">
        <v>0</v>
      </c>
      <c r="AQ56" s="366">
        <v>410.40942575000003</v>
      </c>
      <c r="AR56" s="366">
        <v>30.056615730000001</v>
      </c>
      <c r="AS56" s="366">
        <v>30.056615730000001</v>
      </c>
      <c r="AT56" s="366">
        <v>5.5</v>
      </c>
      <c r="AX56" s="366">
        <v>6.4705879999999993E-2</v>
      </c>
      <c r="AZ56" s="366">
        <v>0.05</v>
      </c>
      <c r="BB56" s="366">
        <v>568.44663327000001</v>
      </c>
      <c r="BC56" s="366">
        <v>104.01891252999999</v>
      </c>
      <c r="BI56" s="366">
        <v>0.1</v>
      </c>
      <c r="BK56" s="366">
        <v>0.22375191</v>
      </c>
      <c r="BL56" s="366">
        <v>0.12375191000000001</v>
      </c>
      <c r="BM56" s="366">
        <v>10.51891253</v>
      </c>
    </row>
    <row r="57" spans="1:65" hidden="1">
      <c r="A57" s="366">
        <v>55</v>
      </c>
      <c r="B57" s="366" t="s">
        <v>136</v>
      </c>
      <c r="C57" s="366" t="s">
        <v>574</v>
      </c>
      <c r="D57" s="366">
        <v>1</v>
      </c>
      <c r="E57" s="366" t="s">
        <v>131</v>
      </c>
      <c r="F57" s="366">
        <v>1</v>
      </c>
      <c r="G57" s="366" t="s">
        <v>1052</v>
      </c>
      <c r="H57" s="366" t="s">
        <v>558</v>
      </c>
      <c r="I57" s="366" t="s">
        <v>468</v>
      </c>
      <c r="N57" s="366" t="s">
        <v>575</v>
      </c>
      <c r="Q57" s="366" t="s">
        <v>740</v>
      </c>
      <c r="R57" s="366" t="s">
        <v>571</v>
      </c>
      <c r="U57" s="366">
        <v>0</v>
      </c>
      <c r="AA57" s="366">
        <v>74271.600000000006</v>
      </c>
      <c r="AB57" s="366">
        <v>74271.600000000006</v>
      </c>
      <c r="AD57" s="366">
        <v>0</v>
      </c>
      <c r="AE57" s="366">
        <v>24.594999999999999</v>
      </c>
      <c r="AI57" s="366">
        <v>0.81</v>
      </c>
      <c r="AL57" s="366">
        <v>0.86924794999999999</v>
      </c>
      <c r="AM57" s="366">
        <v>-0.86924794999999999</v>
      </c>
      <c r="AN57" s="366">
        <v>25.405000000000001</v>
      </c>
      <c r="AO57" s="366">
        <v>342.05537514000002</v>
      </c>
      <c r="AP57" s="366">
        <v>0</v>
      </c>
      <c r="AQ57" s="366">
        <v>331.14945685999999</v>
      </c>
      <c r="AR57" s="366">
        <v>0</v>
      </c>
      <c r="AS57" s="366">
        <v>20.196144960000002</v>
      </c>
      <c r="AT57" s="366">
        <v>1.5</v>
      </c>
      <c r="AX57" s="366">
        <v>5.9043499999999999E-2</v>
      </c>
      <c r="AZ57" s="366">
        <v>4.2500000000000003E-2</v>
      </c>
      <c r="BB57" s="366">
        <v>449.36492749000001</v>
      </c>
      <c r="BI57" s="366">
        <v>0.2</v>
      </c>
      <c r="BK57" s="366">
        <v>0.31371981999999998</v>
      </c>
      <c r="BL57" s="366">
        <v>0.11371982</v>
      </c>
      <c r="BM57" s="366">
        <v>2.8890521499999999</v>
      </c>
    </row>
    <row r="58" spans="1:65" hidden="1">
      <c r="A58" s="366">
        <v>56</v>
      </c>
      <c r="B58" s="366" t="s">
        <v>136</v>
      </c>
      <c r="C58" s="366" t="s">
        <v>576</v>
      </c>
      <c r="D58" s="366">
        <v>1</v>
      </c>
      <c r="E58" s="366" t="s">
        <v>131</v>
      </c>
      <c r="F58" s="366">
        <v>1</v>
      </c>
      <c r="G58" s="366" t="s">
        <v>557</v>
      </c>
      <c r="H58" s="366" t="s">
        <v>558</v>
      </c>
      <c r="I58" s="366" t="s">
        <v>433</v>
      </c>
      <c r="N58" s="366" t="s">
        <v>577</v>
      </c>
      <c r="Q58" s="366" t="s">
        <v>507</v>
      </c>
      <c r="R58" s="366" t="s">
        <v>500</v>
      </c>
      <c r="U58" s="366">
        <v>0.62</v>
      </c>
      <c r="AA58" s="366">
        <v>256183.2</v>
      </c>
      <c r="AB58" s="366">
        <v>256183.2</v>
      </c>
      <c r="AD58" s="366">
        <v>0</v>
      </c>
      <c r="AE58" s="366">
        <v>61.08</v>
      </c>
      <c r="AI58" s="366">
        <v>2.16</v>
      </c>
      <c r="AL58" s="366">
        <v>3.8195917800000001</v>
      </c>
      <c r="AM58" s="366">
        <v>-3.8195917800000001</v>
      </c>
      <c r="AN58" s="366">
        <v>63.24</v>
      </c>
      <c r="AO58" s="366">
        <v>246.85459467999999</v>
      </c>
      <c r="AP58" s="366">
        <v>0</v>
      </c>
      <c r="AQ58" s="366">
        <v>238.42312845000001</v>
      </c>
      <c r="AR58" s="366">
        <v>15.613826359999999</v>
      </c>
      <c r="AS58" s="366">
        <v>15.613826359999999</v>
      </c>
      <c r="AT58" s="366">
        <v>4</v>
      </c>
      <c r="AX58" s="366">
        <v>6.3251109999999999E-2</v>
      </c>
      <c r="AZ58" s="366">
        <v>5.2499999999999998E-2</v>
      </c>
      <c r="BB58" s="366">
        <v>281.23519270999998</v>
      </c>
      <c r="BI58" s="366">
        <v>0.1</v>
      </c>
      <c r="BK58" s="366">
        <v>0.13927469000000001</v>
      </c>
      <c r="BL58" s="366">
        <v>3.9274690000000001E-2</v>
      </c>
      <c r="BM58" s="366">
        <v>2.4837316199999999</v>
      </c>
    </row>
    <row r="59" spans="1:65" hidden="1">
      <c r="A59" s="366">
        <v>57</v>
      </c>
      <c r="B59" s="366" t="s">
        <v>136</v>
      </c>
      <c r="C59" s="366" t="s">
        <v>578</v>
      </c>
      <c r="D59" s="366">
        <v>1</v>
      </c>
      <c r="E59" s="366" t="s">
        <v>131</v>
      </c>
      <c r="F59" s="366">
        <v>1</v>
      </c>
      <c r="G59" s="366" t="s">
        <v>467</v>
      </c>
      <c r="H59" s="366" t="s">
        <v>432</v>
      </c>
      <c r="I59" s="366" t="s">
        <v>433</v>
      </c>
      <c r="N59" s="366" t="s">
        <v>579</v>
      </c>
      <c r="Q59" s="366" t="s">
        <v>470</v>
      </c>
      <c r="R59" s="366" t="s">
        <v>794</v>
      </c>
      <c r="U59" s="366">
        <v>0.3</v>
      </c>
      <c r="AA59" s="366">
        <v>344448</v>
      </c>
      <c r="AB59" s="366">
        <v>344448</v>
      </c>
      <c r="AD59" s="366">
        <v>0</v>
      </c>
      <c r="AE59" s="366">
        <v>112.16</v>
      </c>
      <c r="AI59" s="366">
        <v>4.32</v>
      </c>
      <c r="AL59" s="366">
        <v>0.22278355999999999</v>
      </c>
      <c r="AM59" s="366">
        <v>-0.22278355999999999</v>
      </c>
      <c r="AN59" s="366">
        <v>116.48</v>
      </c>
      <c r="AO59" s="366">
        <v>338.16425120999997</v>
      </c>
      <c r="AP59" s="366">
        <v>0</v>
      </c>
      <c r="AQ59" s="366">
        <v>325.62244519000001</v>
      </c>
      <c r="AR59" s="366">
        <v>26</v>
      </c>
      <c r="AS59" s="366">
        <v>23.225566700000002</v>
      </c>
      <c r="AT59" s="366">
        <v>8</v>
      </c>
      <c r="AX59" s="366">
        <v>6.8681320000000004E-2</v>
      </c>
      <c r="AZ59" s="366">
        <v>5.2999999999999999E-2</v>
      </c>
      <c r="BB59" s="366">
        <v>414.39077040000001</v>
      </c>
      <c r="BI59" s="366">
        <v>0.15</v>
      </c>
      <c r="BK59" s="366">
        <v>0.22541270999999999</v>
      </c>
      <c r="BL59" s="366">
        <v>7.5412709999999994E-2</v>
      </c>
      <c r="BM59" s="366">
        <v>8.7840720799999996</v>
      </c>
    </row>
    <row r="60" spans="1:65" hidden="1">
      <c r="A60" s="366">
        <v>58</v>
      </c>
      <c r="B60" s="366" t="s">
        <v>136</v>
      </c>
      <c r="C60" s="366" t="s">
        <v>580</v>
      </c>
      <c r="D60" s="366">
        <v>1</v>
      </c>
      <c r="E60" s="366" t="s">
        <v>131</v>
      </c>
      <c r="F60" s="366">
        <v>1</v>
      </c>
      <c r="G60" s="366" t="s">
        <v>431</v>
      </c>
      <c r="H60" s="366" t="s">
        <v>432</v>
      </c>
      <c r="I60" s="366" t="s">
        <v>433</v>
      </c>
      <c r="N60" s="366" t="s">
        <v>581</v>
      </c>
      <c r="Q60" s="366" t="s">
        <v>582</v>
      </c>
      <c r="R60" s="366" t="s">
        <v>499</v>
      </c>
      <c r="U60" s="366">
        <v>0.83</v>
      </c>
      <c r="AA60" s="366">
        <v>122709.6</v>
      </c>
      <c r="AB60" s="366">
        <v>122709.6</v>
      </c>
      <c r="AD60" s="366">
        <v>0</v>
      </c>
      <c r="AE60" s="366">
        <v>14.17</v>
      </c>
      <c r="AI60" s="366">
        <v>2.34</v>
      </c>
      <c r="AL60" s="366">
        <v>0.44354041</v>
      </c>
      <c r="AM60" s="366">
        <v>-0.44354041</v>
      </c>
      <c r="AN60" s="366">
        <v>16.510000000000002</v>
      </c>
      <c r="AO60" s="366">
        <v>134.54530045000001</v>
      </c>
      <c r="AP60" s="366">
        <v>0</v>
      </c>
      <c r="AQ60" s="366">
        <v>115.47588779</v>
      </c>
      <c r="AR60" s="366">
        <v>0</v>
      </c>
      <c r="AS60" s="366">
        <v>10.59411815</v>
      </c>
      <c r="AT60" s="366">
        <v>1.3</v>
      </c>
      <c r="AX60" s="366">
        <v>7.8740160000000003E-2</v>
      </c>
      <c r="AZ60" s="366">
        <v>6.5000000000000002E-2</v>
      </c>
      <c r="BB60" s="366">
        <v>154.12428653000001</v>
      </c>
      <c r="BI60" s="366">
        <v>0.15</v>
      </c>
      <c r="BK60" s="366">
        <v>0.14551966</v>
      </c>
      <c r="BL60" s="366">
        <v>-4.4803400000000002E-3</v>
      </c>
      <c r="BM60" s="366">
        <v>-7.3970449999999993E-2</v>
      </c>
    </row>
    <row r="61" spans="1:65" hidden="1">
      <c r="A61" s="366">
        <v>59</v>
      </c>
      <c r="B61" s="366" t="s">
        <v>136</v>
      </c>
      <c r="C61" s="366" t="s">
        <v>583</v>
      </c>
      <c r="D61" s="366">
        <v>1</v>
      </c>
      <c r="E61" s="366" t="s">
        <v>131</v>
      </c>
      <c r="F61" s="366">
        <v>1</v>
      </c>
      <c r="G61" s="366" t="s">
        <v>1039</v>
      </c>
      <c r="H61" s="366" t="s">
        <v>432</v>
      </c>
      <c r="I61" s="366" t="s">
        <v>433</v>
      </c>
      <c r="N61" s="366" t="s">
        <v>434</v>
      </c>
      <c r="Q61" s="366" t="s">
        <v>476</v>
      </c>
      <c r="R61" s="366" t="s">
        <v>855</v>
      </c>
      <c r="S61" s="366" t="s">
        <v>794</v>
      </c>
      <c r="T61" s="366">
        <v>170</v>
      </c>
      <c r="U61" s="366">
        <v>0.74</v>
      </c>
      <c r="AA61" s="366">
        <v>381045.6</v>
      </c>
      <c r="AB61" s="366">
        <v>381045.6</v>
      </c>
      <c r="AD61" s="366">
        <v>0</v>
      </c>
      <c r="AE61" s="366">
        <v>147.37</v>
      </c>
      <c r="AI61" s="366">
        <v>19.260000000000002</v>
      </c>
      <c r="AL61" s="366">
        <v>9.5285808200000002</v>
      </c>
      <c r="AM61" s="366">
        <v>-9.5285808200000002</v>
      </c>
      <c r="AN61" s="366">
        <v>166.63</v>
      </c>
      <c r="AO61" s="366">
        <v>437.29674348999998</v>
      </c>
      <c r="AP61" s="366">
        <v>0</v>
      </c>
      <c r="AQ61" s="366">
        <v>386.75161187999998</v>
      </c>
      <c r="AR61" s="366">
        <v>28.080628669999999</v>
      </c>
      <c r="AS61" s="366">
        <v>28.080628669999999</v>
      </c>
      <c r="AT61" s="366">
        <v>10.7</v>
      </c>
      <c r="AX61" s="366">
        <v>6.4214129999999994E-2</v>
      </c>
      <c r="AZ61" s="366">
        <v>4.7500000000000001E-2</v>
      </c>
      <c r="BB61" s="366">
        <v>559.02707319000001</v>
      </c>
      <c r="BC61" s="366">
        <v>213.01480652000001</v>
      </c>
      <c r="BI61" s="366">
        <v>0.1</v>
      </c>
      <c r="BK61" s="366">
        <v>0.27837008000000002</v>
      </c>
      <c r="BL61" s="366">
        <v>0.17837007999999999</v>
      </c>
      <c r="BM61" s="366">
        <v>29.721806520000001</v>
      </c>
    </row>
    <row r="62" spans="1:65" hidden="1">
      <c r="A62" s="366">
        <v>60</v>
      </c>
      <c r="B62" s="366" t="s">
        <v>136</v>
      </c>
      <c r="C62" s="366" t="s">
        <v>584</v>
      </c>
      <c r="D62" s="366">
        <v>1</v>
      </c>
      <c r="E62" s="366" t="s">
        <v>131</v>
      </c>
      <c r="F62" s="366">
        <v>1</v>
      </c>
      <c r="G62" s="366" t="s">
        <v>1039</v>
      </c>
      <c r="H62" s="366" t="s">
        <v>432</v>
      </c>
      <c r="I62" s="366" t="s">
        <v>481</v>
      </c>
      <c r="N62" s="366" t="s">
        <v>434</v>
      </c>
      <c r="Q62" s="366" t="s">
        <v>571</v>
      </c>
      <c r="R62" s="366" t="s">
        <v>585</v>
      </c>
      <c r="U62" s="366">
        <v>0</v>
      </c>
      <c r="AA62" s="366">
        <v>785764.7</v>
      </c>
      <c r="AB62" s="366">
        <v>785764.7</v>
      </c>
      <c r="AD62" s="366">
        <v>0</v>
      </c>
      <c r="AE62" s="366">
        <v>300</v>
      </c>
      <c r="AI62" s="366">
        <v>37.799999999999997</v>
      </c>
      <c r="AL62" s="366">
        <v>22.520547950000001</v>
      </c>
      <c r="AM62" s="366">
        <v>-22.520547950000001</v>
      </c>
      <c r="AN62" s="366">
        <v>337.8</v>
      </c>
      <c r="AO62" s="366">
        <v>429.89968879999998</v>
      </c>
      <c r="AP62" s="366">
        <v>0</v>
      </c>
      <c r="AQ62" s="366">
        <v>381.79368455000002</v>
      </c>
      <c r="AR62" s="366">
        <v>0</v>
      </c>
      <c r="AS62" s="366">
        <v>26.72555792</v>
      </c>
      <c r="AT62" s="366">
        <v>21</v>
      </c>
      <c r="AX62" s="366">
        <v>6.216696E-2</v>
      </c>
      <c r="AZ62" s="366">
        <v>4.7500000000000001E-2</v>
      </c>
      <c r="BB62" s="366">
        <v>532.05042515000002</v>
      </c>
      <c r="BI62" s="366">
        <v>0.25</v>
      </c>
      <c r="BK62" s="366">
        <v>0.23761528000000001</v>
      </c>
      <c r="BL62" s="366">
        <v>-1.238472E-2</v>
      </c>
      <c r="BM62" s="366">
        <v>-4.1835573000000004</v>
      </c>
    </row>
    <row r="63" spans="1:65" hidden="1">
      <c r="A63" s="366">
        <v>61</v>
      </c>
      <c r="B63" s="366" t="s">
        <v>136</v>
      </c>
      <c r="C63" s="366" t="s">
        <v>586</v>
      </c>
      <c r="D63" s="366">
        <v>0.5</v>
      </c>
      <c r="E63" s="366" t="s">
        <v>518</v>
      </c>
      <c r="F63" s="366">
        <v>1</v>
      </c>
      <c r="G63" s="366" t="s">
        <v>1039</v>
      </c>
      <c r="H63" s="366" t="s">
        <v>432</v>
      </c>
      <c r="I63" s="366" t="s">
        <v>488</v>
      </c>
      <c r="N63" s="366" t="s">
        <v>108</v>
      </c>
      <c r="Q63" s="366" t="s">
        <v>659</v>
      </c>
      <c r="R63" s="366" t="s">
        <v>1051</v>
      </c>
      <c r="U63" s="366">
        <v>0</v>
      </c>
      <c r="AA63" s="366">
        <v>726563.25</v>
      </c>
      <c r="AB63" s="366">
        <v>363281.625</v>
      </c>
      <c r="AD63" s="366">
        <v>50</v>
      </c>
      <c r="AE63" s="366">
        <v>105</v>
      </c>
      <c r="AI63" s="366">
        <v>5.25</v>
      </c>
      <c r="AL63" s="366">
        <v>7.8821917800000003</v>
      </c>
      <c r="AM63" s="366">
        <v>-7.8821917800000003</v>
      </c>
      <c r="AN63" s="366">
        <v>160.25</v>
      </c>
      <c r="AO63" s="366">
        <v>441.11782421999999</v>
      </c>
      <c r="AP63" s="366">
        <v>137.63426652999999</v>
      </c>
      <c r="AQ63" s="366">
        <v>289.03195971000002</v>
      </c>
      <c r="AR63" s="366">
        <v>0</v>
      </c>
      <c r="AS63" s="366">
        <v>0</v>
      </c>
      <c r="AT63" s="366">
        <v>3.5</v>
      </c>
      <c r="AZ63" s="366">
        <v>0</v>
      </c>
      <c r="BB63" s="366">
        <v>550</v>
      </c>
      <c r="BI63" s="366">
        <v>0.25</v>
      </c>
      <c r="BK63" s="366">
        <v>0.24683241</v>
      </c>
      <c r="BL63" s="366">
        <v>-3.1675900000000001E-3</v>
      </c>
      <c r="BM63" s="366">
        <v>-0.50760625000000004</v>
      </c>
    </row>
    <row r="64" spans="1:65" hidden="1">
      <c r="A64" s="366">
        <v>62</v>
      </c>
      <c r="B64" s="366" t="s">
        <v>136</v>
      </c>
      <c r="C64" s="366" t="s">
        <v>877</v>
      </c>
      <c r="D64" s="366">
        <v>0.41</v>
      </c>
      <c r="E64" s="366" t="s">
        <v>131</v>
      </c>
      <c r="F64" s="366">
        <v>1</v>
      </c>
      <c r="G64" s="366" t="s">
        <v>1039</v>
      </c>
      <c r="H64" s="366" t="s">
        <v>432</v>
      </c>
      <c r="I64" s="366" t="s">
        <v>481</v>
      </c>
      <c r="N64" s="366" t="s">
        <v>108</v>
      </c>
      <c r="Q64" s="366" t="s">
        <v>587</v>
      </c>
      <c r="R64" s="366" t="s">
        <v>1054</v>
      </c>
      <c r="U64" s="366">
        <v>0.26</v>
      </c>
      <c r="AA64" s="366">
        <v>968760</v>
      </c>
      <c r="AB64" s="366">
        <v>397191.6</v>
      </c>
      <c r="AD64" s="366">
        <v>20.5</v>
      </c>
      <c r="AE64" s="366">
        <v>525</v>
      </c>
      <c r="AI64" s="366">
        <v>25.2</v>
      </c>
      <c r="AL64" s="366">
        <v>39.410958899999997</v>
      </c>
      <c r="AM64" s="366">
        <v>-39.410958899999997</v>
      </c>
      <c r="AN64" s="366">
        <v>570.70000000000005</v>
      </c>
      <c r="AO64" s="366">
        <v>1436.83803988</v>
      </c>
      <c r="AP64" s="366">
        <v>51.61237045</v>
      </c>
      <c r="AQ64" s="366">
        <v>1321.7802189199999</v>
      </c>
      <c r="AR64" s="366">
        <v>0</v>
      </c>
      <c r="AS64" s="366">
        <v>75.530298220000006</v>
      </c>
      <c r="AT64" s="366">
        <v>30</v>
      </c>
      <c r="AX64" s="366">
        <v>5.2567019999999999E-2</v>
      </c>
      <c r="AZ64" s="366">
        <v>4.2500000000000003E-2</v>
      </c>
      <c r="BB64" s="366">
        <v>1680.55176134</v>
      </c>
      <c r="BI64" s="366">
        <v>0.2</v>
      </c>
      <c r="BK64" s="366">
        <v>0.16961809</v>
      </c>
      <c r="BL64" s="366">
        <v>-3.0381910000000002E-2</v>
      </c>
      <c r="BM64" s="366">
        <v>-17.33895703</v>
      </c>
    </row>
    <row r="65" spans="1:65" hidden="1">
      <c r="A65" s="366">
        <v>63</v>
      </c>
      <c r="B65" s="366" t="s">
        <v>47</v>
      </c>
      <c r="C65" s="366" t="s">
        <v>588</v>
      </c>
      <c r="D65" s="366">
        <v>0.5</v>
      </c>
      <c r="E65" s="366" t="s">
        <v>304</v>
      </c>
      <c r="F65" s="366">
        <v>1</v>
      </c>
      <c r="G65" s="366" t="s">
        <v>467</v>
      </c>
      <c r="H65" s="366" t="s">
        <v>432</v>
      </c>
      <c r="I65" s="366" t="s">
        <v>468</v>
      </c>
      <c r="N65" s="366" t="s">
        <v>589</v>
      </c>
      <c r="Q65" s="366" t="s">
        <v>476</v>
      </c>
      <c r="R65" s="366" t="s">
        <v>546</v>
      </c>
      <c r="U65" s="366">
        <v>0.44</v>
      </c>
      <c r="AA65" s="366">
        <v>718000</v>
      </c>
      <c r="AB65" s="366">
        <v>359000</v>
      </c>
      <c r="AD65" s="366">
        <v>65.599999999999994</v>
      </c>
      <c r="AE65" s="366">
        <v>240</v>
      </c>
      <c r="AI65" s="366">
        <v>0</v>
      </c>
      <c r="AL65" s="366">
        <v>17.26027397</v>
      </c>
      <c r="AM65" s="366">
        <v>0</v>
      </c>
      <c r="AN65" s="366">
        <v>322.86027396999998</v>
      </c>
      <c r="AO65" s="366">
        <v>899.33223948</v>
      </c>
      <c r="AP65" s="366">
        <v>182.72980501000001</v>
      </c>
      <c r="AQ65" s="366">
        <v>668.52367688000004</v>
      </c>
      <c r="AR65" s="366">
        <v>0</v>
      </c>
      <c r="AS65" s="366">
        <v>0</v>
      </c>
      <c r="AT65" s="366">
        <v>0</v>
      </c>
      <c r="AV65" s="366">
        <v>105.30074257</v>
      </c>
      <c r="AW65" s="366">
        <v>1020.5</v>
      </c>
      <c r="AX65" s="366">
        <v>0</v>
      </c>
      <c r="AZ65" s="366">
        <v>3.2500000000000001E-2</v>
      </c>
      <c r="BB65" s="366">
        <v>1142.4000000000001</v>
      </c>
      <c r="BC65" s="366">
        <v>410.1216</v>
      </c>
      <c r="BI65" s="366">
        <v>0.2</v>
      </c>
      <c r="BK65" s="366">
        <v>0.27027582</v>
      </c>
      <c r="BL65" s="366">
        <v>7.0275820000000003E-2</v>
      </c>
      <c r="BM65" s="366">
        <v>22.689271229999999</v>
      </c>
    </row>
    <row r="66" spans="1:65" hidden="1">
      <c r="A66" s="366">
        <v>64</v>
      </c>
      <c r="B66" s="366" t="s">
        <v>47</v>
      </c>
      <c r="C66" s="366" t="s">
        <v>590</v>
      </c>
      <c r="D66" s="366">
        <v>1</v>
      </c>
      <c r="E66" s="366" t="s">
        <v>304</v>
      </c>
      <c r="F66" s="366">
        <v>1</v>
      </c>
      <c r="G66" s="366" t="s">
        <v>467</v>
      </c>
      <c r="H66" s="366" t="s">
        <v>432</v>
      </c>
      <c r="I66" s="366" t="s">
        <v>468</v>
      </c>
      <c r="N66" s="366" t="s">
        <v>591</v>
      </c>
      <c r="Q66" s="366" t="s">
        <v>592</v>
      </c>
      <c r="R66" s="366" t="s">
        <v>496</v>
      </c>
      <c r="U66" s="366">
        <v>0</v>
      </c>
      <c r="AA66" s="366">
        <v>100000</v>
      </c>
      <c r="AB66" s="366">
        <v>100000</v>
      </c>
      <c r="AD66" s="366">
        <v>89.95</v>
      </c>
      <c r="AE66" s="366">
        <v>90</v>
      </c>
      <c r="AI66" s="366">
        <v>2.7</v>
      </c>
      <c r="AL66" s="366">
        <v>6.69452055</v>
      </c>
      <c r="AN66" s="366">
        <v>189.34452055</v>
      </c>
      <c r="AO66" s="366">
        <v>1893.4452054799999</v>
      </c>
      <c r="AP66" s="366">
        <v>899.5</v>
      </c>
      <c r="AQ66" s="366">
        <v>900</v>
      </c>
      <c r="AR66" s="366">
        <v>63.25</v>
      </c>
      <c r="AS66" s="366">
        <v>63.25</v>
      </c>
      <c r="AT66" s="366">
        <v>6.3250000000000002</v>
      </c>
      <c r="AV66" s="366">
        <v>70</v>
      </c>
      <c r="AW66" s="366">
        <v>1285</v>
      </c>
      <c r="AX66" s="366">
        <v>3.3404719999999999E-2</v>
      </c>
      <c r="AZ66" s="366">
        <v>2.75E-2</v>
      </c>
      <c r="BB66" s="366">
        <v>2300</v>
      </c>
      <c r="BC66" s="366">
        <v>230</v>
      </c>
      <c r="BI66" s="366">
        <v>0.15</v>
      </c>
      <c r="BK66" s="366">
        <v>0.21471696000000001</v>
      </c>
      <c r="BL66" s="366">
        <v>6.4716960000000004E-2</v>
      </c>
      <c r="BM66" s="366">
        <v>12.25380137</v>
      </c>
    </row>
    <row r="67" spans="1:65" hidden="1">
      <c r="A67" s="366">
        <v>65</v>
      </c>
      <c r="B67" s="366" t="s">
        <v>47</v>
      </c>
      <c r="C67" s="366" t="s">
        <v>593</v>
      </c>
      <c r="D67" s="366">
        <v>0.33333332999999998</v>
      </c>
      <c r="E67" s="366" t="s">
        <v>304</v>
      </c>
      <c r="F67" s="366">
        <v>1</v>
      </c>
      <c r="G67" s="366" t="s">
        <v>467</v>
      </c>
      <c r="H67" s="366" t="s">
        <v>432</v>
      </c>
      <c r="I67" s="366" t="s">
        <v>486</v>
      </c>
      <c r="N67" s="366" t="s">
        <v>589</v>
      </c>
      <c r="Q67" s="366" t="s">
        <v>549</v>
      </c>
      <c r="R67" s="366" t="s">
        <v>594</v>
      </c>
      <c r="U67" s="366">
        <v>0</v>
      </c>
      <c r="AA67" s="366">
        <v>1710000</v>
      </c>
      <c r="AB67" s="366">
        <v>570000</v>
      </c>
      <c r="AD67" s="366">
        <v>193.33333332999999</v>
      </c>
      <c r="AE67" s="366">
        <v>501.66666666999998</v>
      </c>
      <c r="AI67" s="366">
        <v>0</v>
      </c>
      <c r="AL67" s="366">
        <v>39.222773969999999</v>
      </c>
      <c r="AM67" s="366">
        <v>0</v>
      </c>
      <c r="AN67" s="366">
        <v>734.22277397000005</v>
      </c>
      <c r="AO67" s="366">
        <v>1288.1101297800001</v>
      </c>
      <c r="AP67" s="366">
        <v>339.18128654999998</v>
      </c>
      <c r="AQ67" s="366">
        <v>880.11695906</v>
      </c>
      <c r="AV67" s="366">
        <v>253.69925742999999</v>
      </c>
      <c r="AW67" s="366">
        <v>1221.5</v>
      </c>
      <c r="BB67" s="366">
        <v>1675</v>
      </c>
      <c r="BC67" s="366">
        <v>954.75</v>
      </c>
      <c r="BI67" s="366">
        <v>0.25</v>
      </c>
      <c r="BK67" s="366">
        <v>0.30035465</v>
      </c>
      <c r="BL67" s="366">
        <v>5.0354650000000001E-2</v>
      </c>
      <c r="BM67" s="366">
        <v>36.971532529999998</v>
      </c>
    </row>
    <row r="68" spans="1:65" hidden="1">
      <c r="A68" s="366">
        <v>66</v>
      </c>
      <c r="B68" s="366" t="s">
        <v>47</v>
      </c>
      <c r="C68" s="366" t="s">
        <v>595</v>
      </c>
      <c r="D68" s="366">
        <v>0.33333332999999998</v>
      </c>
      <c r="E68" s="366" t="s">
        <v>304</v>
      </c>
      <c r="F68" s="366">
        <v>1</v>
      </c>
      <c r="G68" s="366" t="s">
        <v>467</v>
      </c>
      <c r="H68" s="366" t="s">
        <v>432</v>
      </c>
      <c r="I68" s="366" t="s">
        <v>488</v>
      </c>
      <c r="N68" s="366" t="s">
        <v>589</v>
      </c>
      <c r="Q68" s="366" t="s">
        <v>596</v>
      </c>
      <c r="R68" s="366" t="s">
        <v>597</v>
      </c>
      <c r="U68" s="366">
        <v>0</v>
      </c>
      <c r="AA68" s="366">
        <v>920000</v>
      </c>
      <c r="AB68" s="366">
        <v>306666.66666667</v>
      </c>
      <c r="AD68" s="366">
        <v>82.666666669999998</v>
      </c>
      <c r="AE68" s="366">
        <v>268.33333333000002</v>
      </c>
      <c r="AI68" s="366">
        <v>0</v>
      </c>
      <c r="AL68" s="366">
        <v>24.342979450000001</v>
      </c>
      <c r="AM68" s="366">
        <v>0</v>
      </c>
      <c r="AN68" s="366">
        <v>375.34297944999997</v>
      </c>
      <c r="AO68" s="366">
        <v>1223.9444982099999</v>
      </c>
      <c r="AP68" s="366">
        <v>269.56521738999999</v>
      </c>
      <c r="AQ68" s="366">
        <v>875</v>
      </c>
      <c r="AV68" s="366">
        <v>335.4</v>
      </c>
      <c r="AW68" s="366">
        <v>1369</v>
      </c>
      <c r="BB68" s="366">
        <v>1575</v>
      </c>
      <c r="BC68" s="366">
        <v>483</v>
      </c>
      <c r="BI68" s="366">
        <v>0.3</v>
      </c>
      <c r="BK68" s="366">
        <v>0.28682306000000002</v>
      </c>
      <c r="BL68" s="366">
        <v>-1.317694E-2</v>
      </c>
      <c r="BM68" s="366">
        <v>-4.9458732899999998</v>
      </c>
    </row>
    <row r="69" spans="1:65" hidden="1">
      <c r="A69" s="366">
        <v>67</v>
      </c>
      <c r="B69" s="366" t="s">
        <v>45</v>
      </c>
      <c r="C69" s="366" t="s">
        <v>598</v>
      </c>
      <c r="D69" s="366">
        <v>1</v>
      </c>
      <c r="E69" s="366" t="s">
        <v>130</v>
      </c>
      <c r="F69" s="366">
        <v>1</v>
      </c>
      <c r="G69" s="366" t="s">
        <v>442</v>
      </c>
      <c r="H69" s="366" t="s">
        <v>443</v>
      </c>
      <c r="I69" s="366" t="s">
        <v>433</v>
      </c>
      <c r="N69" s="366" t="s">
        <v>222</v>
      </c>
      <c r="Q69" s="366" t="s">
        <v>599</v>
      </c>
      <c r="R69" s="366" t="s">
        <v>600</v>
      </c>
      <c r="U69" s="366">
        <v>0.34</v>
      </c>
      <c r="AA69" s="366">
        <v>83800</v>
      </c>
      <c r="AB69" s="366">
        <v>83800</v>
      </c>
      <c r="AD69" s="366">
        <v>41.5</v>
      </c>
      <c r="AE69" s="366">
        <v>18</v>
      </c>
      <c r="AI69" s="366">
        <v>7.3534499999999996</v>
      </c>
      <c r="AL69" s="366">
        <v>4.7346895399999998</v>
      </c>
      <c r="AM69" s="366">
        <v>0.71632761</v>
      </c>
      <c r="AN69" s="366">
        <v>72.304467160000002</v>
      </c>
      <c r="AO69" s="366">
        <v>862.82180376999997</v>
      </c>
      <c r="AP69" s="366">
        <v>495.22673030999999</v>
      </c>
      <c r="AQ69" s="366">
        <v>214.79713604</v>
      </c>
      <c r="AR69" s="366">
        <v>62.5</v>
      </c>
      <c r="AS69" s="366">
        <v>65</v>
      </c>
      <c r="AT69" s="366">
        <v>5.4470000000000001</v>
      </c>
      <c r="AV69" s="366">
        <v>83</v>
      </c>
      <c r="AW69" s="366">
        <v>500</v>
      </c>
      <c r="AX69" s="366">
        <v>7.5334209999999999E-2</v>
      </c>
      <c r="AZ69" s="366">
        <v>5.1499999999999997E-2</v>
      </c>
      <c r="BB69" s="366">
        <v>1193.5091464100001</v>
      </c>
      <c r="BC69" s="366">
        <v>100.01606647</v>
      </c>
      <c r="BI69" s="366">
        <v>0.12</v>
      </c>
      <c r="BK69" s="366">
        <v>0.38326262</v>
      </c>
      <c r="BL69" s="366">
        <v>0.26326262</v>
      </c>
      <c r="BM69" s="366">
        <v>19.03506325</v>
      </c>
    </row>
    <row r="70" spans="1:65" hidden="1">
      <c r="A70" s="366">
        <v>68</v>
      </c>
      <c r="B70" s="366" t="s">
        <v>45</v>
      </c>
      <c r="C70" s="366" t="s">
        <v>601</v>
      </c>
      <c r="D70" s="366">
        <v>1</v>
      </c>
      <c r="E70" s="366" t="s">
        <v>130</v>
      </c>
      <c r="F70" s="366">
        <v>1</v>
      </c>
      <c r="G70" s="366" t="s">
        <v>602</v>
      </c>
      <c r="H70" s="366" t="s">
        <v>443</v>
      </c>
      <c r="I70" s="366" t="s">
        <v>433</v>
      </c>
      <c r="N70" s="366" t="s">
        <v>603</v>
      </c>
      <c r="Q70" s="366" t="s">
        <v>604</v>
      </c>
      <c r="R70" s="366" t="s">
        <v>466</v>
      </c>
      <c r="U70" s="366">
        <v>0.95677800000000002</v>
      </c>
      <c r="AA70" s="366">
        <v>101800</v>
      </c>
      <c r="AB70" s="366">
        <v>101800</v>
      </c>
      <c r="AD70" s="366">
        <v>18.3</v>
      </c>
      <c r="AE70" s="366">
        <v>41.7</v>
      </c>
      <c r="AI70" s="366">
        <v>6.48</v>
      </c>
      <c r="AL70" s="366">
        <v>4.7127945200000001</v>
      </c>
      <c r="AM70" s="366">
        <v>-4.7127945200000001</v>
      </c>
      <c r="AN70" s="366">
        <v>66.48</v>
      </c>
      <c r="AO70" s="366">
        <v>653.04518664</v>
      </c>
      <c r="AP70" s="366">
        <v>179.76424360999999</v>
      </c>
      <c r="AQ70" s="366">
        <v>409.62671906000003</v>
      </c>
      <c r="AR70" s="366">
        <v>65</v>
      </c>
      <c r="AS70" s="366">
        <v>47.151277010000001</v>
      </c>
      <c r="AT70" s="366">
        <v>4.8</v>
      </c>
      <c r="AV70" s="366">
        <v>61</v>
      </c>
      <c r="AW70" s="366">
        <v>300</v>
      </c>
      <c r="AX70" s="366">
        <v>7.2202169999999996E-2</v>
      </c>
      <c r="AZ70" s="366">
        <v>4.65E-2</v>
      </c>
      <c r="BB70" s="366">
        <v>958.87088158999995</v>
      </c>
      <c r="BC70" s="366">
        <v>88.013055750000007</v>
      </c>
      <c r="BI70" s="366">
        <v>7.0000000000000007E-2</v>
      </c>
      <c r="BK70" s="366">
        <v>0.46830709999999998</v>
      </c>
      <c r="BL70" s="366">
        <v>0.39830710000000003</v>
      </c>
      <c r="BM70" s="366">
        <v>26.47945575</v>
      </c>
    </row>
    <row r="71" spans="1:65" hidden="1">
      <c r="A71" s="366">
        <v>69</v>
      </c>
      <c r="B71" s="366" t="s">
        <v>45</v>
      </c>
      <c r="C71" s="366" t="s">
        <v>605</v>
      </c>
      <c r="D71" s="366">
        <v>1</v>
      </c>
      <c r="E71" s="366" t="s">
        <v>130</v>
      </c>
      <c r="F71" s="366">
        <v>1</v>
      </c>
      <c r="G71" s="366" t="s">
        <v>602</v>
      </c>
      <c r="H71" s="366" t="s">
        <v>443</v>
      </c>
      <c r="I71" s="366" t="s">
        <v>433</v>
      </c>
      <c r="N71" s="366" t="s">
        <v>606</v>
      </c>
      <c r="Q71" s="366" t="s">
        <v>604</v>
      </c>
      <c r="R71" s="366" t="s">
        <v>607</v>
      </c>
      <c r="U71" s="366">
        <v>0.82553191000000004</v>
      </c>
      <c r="AA71" s="366">
        <v>70500</v>
      </c>
      <c r="AB71" s="366">
        <v>70500</v>
      </c>
      <c r="AD71" s="366">
        <v>11.275</v>
      </c>
      <c r="AE71" s="366">
        <v>21.725000000000001</v>
      </c>
      <c r="AI71" s="366">
        <v>4.75875</v>
      </c>
      <c r="AL71" s="366">
        <v>2.3663874100000002</v>
      </c>
      <c r="AM71" s="366">
        <v>-2.3663874100000002</v>
      </c>
      <c r="AN71" s="366">
        <v>37.758749999999999</v>
      </c>
      <c r="AO71" s="366">
        <v>535.58510637999996</v>
      </c>
      <c r="AP71" s="366">
        <v>159.92907801000001</v>
      </c>
      <c r="AQ71" s="366">
        <v>308.15602837</v>
      </c>
      <c r="AR71" s="366">
        <v>55</v>
      </c>
      <c r="AS71" s="366">
        <v>50</v>
      </c>
      <c r="AT71" s="366">
        <v>3.5249999999999999</v>
      </c>
      <c r="AV71" s="366">
        <v>41</v>
      </c>
      <c r="AW71" s="366">
        <v>275</v>
      </c>
      <c r="AX71" s="366">
        <v>9.3355839999999995E-2</v>
      </c>
      <c r="AZ71" s="366">
        <v>4.65E-2</v>
      </c>
      <c r="BB71" s="366">
        <v>1016.80266402</v>
      </c>
      <c r="BC71" s="366">
        <v>64.634587809999999</v>
      </c>
      <c r="BI71" s="366">
        <v>7.0000000000000007E-2</v>
      </c>
      <c r="BK71" s="366">
        <v>0.89848943000000003</v>
      </c>
      <c r="BL71" s="366">
        <v>0.82848942999999997</v>
      </c>
      <c r="BM71" s="366">
        <v>31.28272531</v>
      </c>
    </row>
    <row r="72" spans="1:65" hidden="1">
      <c r="A72" s="366">
        <v>70</v>
      </c>
      <c r="B72" s="366" t="s">
        <v>45</v>
      </c>
      <c r="C72" s="366" t="s">
        <v>608</v>
      </c>
      <c r="D72" s="366">
        <v>1</v>
      </c>
      <c r="E72" s="366" t="s">
        <v>304</v>
      </c>
      <c r="F72" s="366">
        <v>1</v>
      </c>
      <c r="G72" s="366" t="s">
        <v>442</v>
      </c>
      <c r="H72" s="366" t="s">
        <v>432</v>
      </c>
      <c r="I72" s="366" t="s">
        <v>433</v>
      </c>
      <c r="N72" s="366" t="s">
        <v>606</v>
      </c>
      <c r="Q72" s="366" t="s">
        <v>609</v>
      </c>
      <c r="R72" s="366" t="s">
        <v>610</v>
      </c>
      <c r="U72" s="366">
        <v>0</v>
      </c>
      <c r="AA72" s="366">
        <v>21400</v>
      </c>
      <c r="AB72" s="366">
        <v>21400</v>
      </c>
      <c r="AD72" s="366">
        <v>12</v>
      </c>
      <c r="AE72" s="366">
        <v>13</v>
      </c>
      <c r="AL72" s="366">
        <v>1.09375</v>
      </c>
      <c r="AM72" s="366">
        <v>-1.09375</v>
      </c>
      <c r="AN72" s="366">
        <v>25</v>
      </c>
      <c r="AO72" s="366">
        <v>1168.2242990699999</v>
      </c>
      <c r="AP72" s="366">
        <v>560.74766354999997</v>
      </c>
      <c r="AQ72" s="366">
        <v>607.47663551000005</v>
      </c>
      <c r="AR72" s="366">
        <v>50</v>
      </c>
      <c r="AS72" s="366">
        <v>50.595716269999997</v>
      </c>
      <c r="AT72" s="366">
        <v>1.08274833</v>
      </c>
      <c r="AV72" s="366">
        <v>20</v>
      </c>
      <c r="AW72" s="366">
        <v>300</v>
      </c>
      <c r="AZ72" s="366">
        <v>0.03</v>
      </c>
      <c r="BB72" s="366">
        <v>1686.5238758099999</v>
      </c>
      <c r="BC72" s="366">
        <v>33.926114290000001</v>
      </c>
      <c r="BI72" s="366">
        <v>0.15</v>
      </c>
      <c r="BK72" s="366">
        <v>0.44366443999999999</v>
      </c>
      <c r="BL72" s="366">
        <v>0.29366444000000003</v>
      </c>
      <c r="BM72" s="366">
        <v>7.3416109399999998</v>
      </c>
    </row>
    <row r="73" spans="1:65" hidden="1">
      <c r="A73" s="366">
        <v>71</v>
      </c>
      <c r="B73" s="366" t="s">
        <v>45</v>
      </c>
      <c r="C73" s="366" t="s">
        <v>611</v>
      </c>
      <c r="D73" s="366">
        <v>1</v>
      </c>
      <c r="E73" s="366" t="s">
        <v>304</v>
      </c>
      <c r="F73" s="366">
        <v>1</v>
      </c>
      <c r="G73" s="366" t="s">
        <v>467</v>
      </c>
      <c r="H73" s="366" t="s">
        <v>432</v>
      </c>
      <c r="I73" s="366" t="s">
        <v>433</v>
      </c>
      <c r="N73" s="366" t="s">
        <v>204</v>
      </c>
      <c r="Q73" s="366" t="s">
        <v>612</v>
      </c>
      <c r="R73" s="366" t="s">
        <v>564</v>
      </c>
      <c r="U73" s="366">
        <v>0</v>
      </c>
      <c r="AA73" s="366">
        <v>15500</v>
      </c>
      <c r="AB73" s="366">
        <v>15500</v>
      </c>
      <c r="AD73" s="366">
        <v>12</v>
      </c>
      <c r="AE73" s="366">
        <v>9</v>
      </c>
      <c r="AL73" s="366">
        <v>0.83136986000000002</v>
      </c>
      <c r="AM73" s="366">
        <v>-0.83136986000000002</v>
      </c>
      <c r="AN73" s="366">
        <v>21</v>
      </c>
      <c r="AO73" s="366">
        <v>1354.83870968</v>
      </c>
      <c r="AP73" s="366">
        <v>774.19354839000005</v>
      </c>
      <c r="AQ73" s="366">
        <v>580.64516129000003</v>
      </c>
      <c r="AR73" s="366">
        <v>50</v>
      </c>
      <c r="AS73" s="366">
        <v>70</v>
      </c>
      <c r="AT73" s="366">
        <v>0.1</v>
      </c>
      <c r="AV73" s="366">
        <v>20</v>
      </c>
      <c r="AW73" s="366">
        <v>300</v>
      </c>
      <c r="AX73" s="366">
        <v>4.7619000000000003E-3</v>
      </c>
      <c r="AZ73" s="366">
        <v>0.03</v>
      </c>
      <c r="BB73" s="366">
        <v>1726.76461866</v>
      </c>
      <c r="BC73" s="366">
        <v>26.56485159</v>
      </c>
      <c r="BI73" s="366">
        <v>0.2</v>
      </c>
      <c r="BK73" s="366">
        <v>0.27451673999999998</v>
      </c>
      <c r="BL73" s="366">
        <v>7.4516739999999998E-2</v>
      </c>
      <c r="BM73" s="366">
        <v>1.56485159</v>
      </c>
    </row>
    <row r="74" spans="1:65" hidden="1">
      <c r="A74" s="366">
        <v>72</v>
      </c>
      <c r="B74" s="366" t="s">
        <v>45</v>
      </c>
      <c r="C74" s="366" t="s">
        <v>334</v>
      </c>
      <c r="D74" s="366">
        <v>1</v>
      </c>
      <c r="E74" s="366" t="s">
        <v>130</v>
      </c>
      <c r="F74" s="366">
        <v>1</v>
      </c>
      <c r="G74" s="366" t="s">
        <v>1035</v>
      </c>
      <c r="H74" s="366" t="s">
        <v>558</v>
      </c>
      <c r="I74" s="366" t="s">
        <v>433</v>
      </c>
      <c r="N74" s="366" t="s">
        <v>606</v>
      </c>
      <c r="Q74" s="366" t="s">
        <v>613</v>
      </c>
      <c r="R74" s="366" t="s">
        <v>878</v>
      </c>
      <c r="S74" s="366" t="s">
        <v>794</v>
      </c>
      <c r="T74" s="366">
        <v>202.61455108000001</v>
      </c>
      <c r="U74" s="366">
        <v>0.56000000000000005</v>
      </c>
      <c r="AA74" s="366">
        <v>293000</v>
      </c>
      <c r="AB74" s="366">
        <v>293000</v>
      </c>
      <c r="AD74" s="366">
        <v>80</v>
      </c>
      <c r="AE74" s="366">
        <v>113</v>
      </c>
      <c r="AI74" s="366">
        <v>16.7</v>
      </c>
      <c r="AM74" s="366">
        <v>0</v>
      </c>
      <c r="AN74" s="366">
        <v>209.7</v>
      </c>
      <c r="AO74" s="366">
        <v>715.69965869999999</v>
      </c>
      <c r="AP74" s="366">
        <v>273.03754265999999</v>
      </c>
      <c r="AQ74" s="366">
        <v>385.66552901</v>
      </c>
      <c r="AR74" s="366">
        <v>56.996587030000001</v>
      </c>
      <c r="AS74" s="366">
        <v>56.996587030000001</v>
      </c>
      <c r="AT74" s="366">
        <v>16.7</v>
      </c>
      <c r="AV74" s="366">
        <v>124</v>
      </c>
      <c r="AX74" s="366">
        <v>7.9637579999999999E-2</v>
      </c>
      <c r="AZ74" s="366">
        <v>4.4999999999999998E-2</v>
      </c>
      <c r="BB74" s="366">
        <v>1197.7218183499999</v>
      </c>
      <c r="BC74" s="366">
        <v>350.93249278000002</v>
      </c>
      <c r="BI74" s="366">
        <v>0.15</v>
      </c>
      <c r="BK74" s="366">
        <v>0.67349782000000002</v>
      </c>
      <c r="BL74" s="366">
        <v>0.52349782</v>
      </c>
      <c r="BM74" s="366">
        <v>109.77749278</v>
      </c>
    </row>
    <row r="75" spans="1:65" hidden="1">
      <c r="A75" s="366">
        <v>73</v>
      </c>
      <c r="B75" s="366" t="s">
        <v>45</v>
      </c>
      <c r="C75" s="366" t="s">
        <v>615</v>
      </c>
      <c r="D75" s="366">
        <v>1</v>
      </c>
      <c r="E75" s="366" t="s">
        <v>130</v>
      </c>
      <c r="F75" s="366">
        <v>1</v>
      </c>
      <c r="G75" s="366" t="s">
        <v>616</v>
      </c>
      <c r="H75" s="366" t="s">
        <v>432</v>
      </c>
      <c r="I75" s="366" t="s">
        <v>433</v>
      </c>
      <c r="N75" s="366" t="s">
        <v>222</v>
      </c>
      <c r="Q75" s="366" t="s">
        <v>445</v>
      </c>
      <c r="R75" s="366" t="s">
        <v>617</v>
      </c>
      <c r="U75" s="366">
        <v>0</v>
      </c>
      <c r="AA75" s="366">
        <v>40000</v>
      </c>
      <c r="AB75" s="366">
        <v>40000</v>
      </c>
      <c r="AD75" s="366">
        <v>13.92</v>
      </c>
      <c r="AE75" s="366">
        <v>18</v>
      </c>
      <c r="AI75" s="366">
        <v>3.105</v>
      </c>
      <c r="AL75" s="366">
        <v>0.87322602999999999</v>
      </c>
      <c r="AM75" s="366">
        <v>-0.21830651000000001</v>
      </c>
      <c r="AN75" s="366">
        <v>35.679919519999999</v>
      </c>
      <c r="AO75" s="366">
        <v>891.99798800999997</v>
      </c>
      <c r="AP75" s="366">
        <v>348</v>
      </c>
      <c r="AQ75" s="366">
        <v>450</v>
      </c>
      <c r="AR75" s="366">
        <v>55</v>
      </c>
      <c r="AS75" s="366">
        <v>57.5</v>
      </c>
      <c r="AT75" s="366">
        <v>2.2999999999999998</v>
      </c>
      <c r="AV75" s="366">
        <v>24</v>
      </c>
      <c r="AW75" s="366">
        <v>580</v>
      </c>
      <c r="AX75" s="366">
        <v>6.4462030000000003E-2</v>
      </c>
      <c r="AZ75" s="366">
        <v>0.04</v>
      </c>
      <c r="BB75" s="366">
        <v>1359.33806147</v>
      </c>
      <c r="BC75" s="366">
        <v>54.373522459999997</v>
      </c>
      <c r="BI75" s="366">
        <v>0.1</v>
      </c>
      <c r="BK75" s="366">
        <v>0.52392503000000001</v>
      </c>
      <c r="BL75" s="366">
        <v>0.42392502999999998</v>
      </c>
      <c r="BM75" s="366">
        <v>15.12561099</v>
      </c>
    </row>
    <row r="76" spans="1:65" hidden="1">
      <c r="A76" s="366">
        <v>74</v>
      </c>
      <c r="B76" s="366" t="s">
        <v>45</v>
      </c>
      <c r="C76" s="366" t="s">
        <v>618</v>
      </c>
      <c r="D76" s="366">
        <v>1</v>
      </c>
      <c r="E76" s="366" t="s">
        <v>130</v>
      </c>
      <c r="F76" s="366">
        <v>1</v>
      </c>
      <c r="G76" s="366" t="s">
        <v>1035</v>
      </c>
      <c r="H76" s="366" t="s">
        <v>558</v>
      </c>
      <c r="I76" s="366" t="s">
        <v>468</v>
      </c>
      <c r="N76" s="366" t="s">
        <v>204</v>
      </c>
      <c r="Q76" s="366" t="s">
        <v>566</v>
      </c>
      <c r="R76" s="366" t="s">
        <v>1036</v>
      </c>
      <c r="S76" s="366" t="s">
        <v>794</v>
      </c>
      <c r="T76" s="366">
        <v>320.70278638000002</v>
      </c>
      <c r="U76" s="366">
        <v>0</v>
      </c>
      <c r="W76" s="366">
        <v>321000</v>
      </c>
      <c r="X76" s="366">
        <v>45000</v>
      </c>
      <c r="Y76" s="366">
        <v>14000</v>
      </c>
      <c r="AA76" s="366">
        <v>380000</v>
      </c>
      <c r="AB76" s="366">
        <v>380000</v>
      </c>
      <c r="AD76" s="366">
        <v>240</v>
      </c>
      <c r="AE76" s="366">
        <v>243</v>
      </c>
      <c r="AI76" s="366">
        <v>26.4</v>
      </c>
      <c r="AM76" s="366">
        <v>0</v>
      </c>
      <c r="AN76" s="366">
        <v>509.4</v>
      </c>
      <c r="AO76" s="366">
        <v>1340.5263157899999</v>
      </c>
      <c r="AP76" s="366">
        <v>631.57894737000004</v>
      </c>
      <c r="AQ76" s="366">
        <v>639.47368420999999</v>
      </c>
      <c r="AR76" s="366">
        <v>69.473684210000002</v>
      </c>
      <c r="AS76" s="366">
        <v>69.473684210000002</v>
      </c>
      <c r="AT76" s="366">
        <v>26.4</v>
      </c>
      <c r="AV76" s="366">
        <v>234</v>
      </c>
      <c r="AX76" s="366">
        <v>5.1825679999999999E-2</v>
      </c>
      <c r="AZ76" s="366">
        <v>3.7499999999999999E-2</v>
      </c>
      <c r="BB76" s="366">
        <v>1751.89747418</v>
      </c>
      <c r="BC76" s="366">
        <v>665.72104019000005</v>
      </c>
      <c r="BI76" s="366">
        <v>0.2</v>
      </c>
      <c r="BK76" s="366">
        <v>0.30687287000000002</v>
      </c>
      <c r="BL76" s="366">
        <v>0.10687286999999999</v>
      </c>
      <c r="BM76" s="366">
        <v>54.441040190000002</v>
      </c>
    </row>
    <row r="77" spans="1:65" hidden="1">
      <c r="A77" s="366">
        <v>75</v>
      </c>
      <c r="B77" s="366" t="s">
        <v>45</v>
      </c>
      <c r="C77" s="366" t="s">
        <v>881</v>
      </c>
      <c r="D77" s="366">
        <v>1</v>
      </c>
      <c r="E77" s="366" t="s">
        <v>130</v>
      </c>
      <c r="F77" s="366">
        <v>1</v>
      </c>
      <c r="G77" s="366" t="s">
        <v>1035</v>
      </c>
      <c r="H77" s="366" t="s">
        <v>558</v>
      </c>
      <c r="I77" s="366" t="s">
        <v>468</v>
      </c>
      <c r="N77" s="366" t="s">
        <v>619</v>
      </c>
      <c r="Q77" s="366" t="s">
        <v>566</v>
      </c>
      <c r="R77" s="366" t="s">
        <v>880</v>
      </c>
      <c r="S77" s="366" t="s">
        <v>794</v>
      </c>
      <c r="T77" s="366">
        <v>155.37925697</v>
      </c>
      <c r="U77" s="366">
        <v>0</v>
      </c>
      <c r="AA77" s="366">
        <v>240000</v>
      </c>
      <c r="AB77" s="366">
        <v>240000</v>
      </c>
      <c r="AD77" s="366">
        <v>116</v>
      </c>
      <c r="AE77" s="366">
        <v>122</v>
      </c>
      <c r="AI77" s="366">
        <v>14.8</v>
      </c>
      <c r="AM77" s="366">
        <v>0</v>
      </c>
      <c r="AN77" s="366">
        <v>252.8</v>
      </c>
      <c r="AO77" s="366">
        <v>1053.33333333</v>
      </c>
      <c r="AP77" s="366">
        <v>483.33333333000002</v>
      </c>
      <c r="AQ77" s="366">
        <v>508.33333333000002</v>
      </c>
      <c r="AR77" s="366">
        <v>61.666666669999998</v>
      </c>
      <c r="AS77" s="366">
        <v>61.666666669999998</v>
      </c>
      <c r="AT77" s="366">
        <v>14.8</v>
      </c>
      <c r="AV77" s="366">
        <v>78</v>
      </c>
      <c r="AX77" s="366">
        <v>5.8544300000000001E-2</v>
      </c>
      <c r="AZ77" s="366">
        <v>4.3999999999999997E-2</v>
      </c>
      <c r="BB77" s="366">
        <v>1325.30983595</v>
      </c>
      <c r="BC77" s="366">
        <v>318.07436063</v>
      </c>
      <c r="BI77" s="366">
        <v>0.2</v>
      </c>
      <c r="BK77" s="366">
        <v>0.25820554000000001</v>
      </c>
      <c r="BL77" s="366">
        <v>5.820554E-2</v>
      </c>
      <c r="BM77" s="366">
        <v>14.71436063</v>
      </c>
    </row>
    <row r="78" spans="1:65" hidden="1">
      <c r="A78" s="366">
        <v>76</v>
      </c>
      <c r="B78" s="366" t="s">
        <v>46</v>
      </c>
      <c r="C78" s="366" t="s">
        <v>620</v>
      </c>
      <c r="D78" s="366">
        <v>0.5</v>
      </c>
      <c r="E78" s="366" t="s">
        <v>130</v>
      </c>
      <c r="F78" s="366">
        <v>1</v>
      </c>
      <c r="G78" s="366" t="s">
        <v>431</v>
      </c>
      <c r="H78" s="366" t="s">
        <v>228</v>
      </c>
      <c r="I78" s="366" t="s">
        <v>433</v>
      </c>
      <c r="N78" s="366" t="s">
        <v>221</v>
      </c>
      <c r="Q78" s="366" t="s">
        <v>539</v>
      </c>
      <c r="R78" s="366" t="s">
        <v>621</v>
      </c>
      <c r="U78" s="366">
        <v>0.56999999999999995</v>
      </c>
      <c r="AA78" s="366">
        <v>236300</v>
      </c>
      <c r="AB78" s="366">
        <v>118150</v>
      </c>
      <c r="AD78" s="366">
        <v>8.8000000000000007</v>
      </c>
      <c r="AE78" s="366">
        <v>44.7</v>
      </c>
      <c r="AI78" s="366">
        <v>16.836375</v>
      </c>
      <c r="AL78" s="366">
        <v>3.5168187500000001</v>
      </c>
      <c r="AM78" s="366">
        <v>-2.2349999999999999</v>
      </c>
      <c r="AN78" s="366">
        <v>71.618193750000003</v>
      </c>
      <c r="AO78" s="366">
        <v>606.16329876999998</v>
      </c>
      <c r="AP78" s="366">
        <v>74.481591199999997</v>
      </c>
      <c r="AQ78" s="366">
        <v>378.33262802000002</v>
      </c>
      <c r="AR78" s="366">
        <v>48</v>
      </c>
      <c r="AS78" s="366">
        <v>47.5</v>
      </c>
      <c r="AT78" s="366">
        <v>5.6121249999999998</v>
      </c>
      <c r="AX78" s="366">
        <v>7.8361719999999996E-2</v>
      </c>
      <c r="AZ78" s="366">
        <v>0.05</v>
      </c>
      <c r="BB78" s="366">
        <v>898.34515366000005</v>
      </c>
      <c r="BI78" s="366">
        <v>0.15</v>
      </c>
      <c r="BK78" s="366">
        <v>0.48201839000000002</v>
      </c>
      <c r="BL78" s="366">
        <v>0.33201839</v>
      </c>
      <c r="BM78" s="366">
        <v>23.77855709</v>
      </c>
    </row>
    <row r="79" spans="1:65" hidden="1">
      <c r="A79" s="366">
        <v>77</v>
      </c>
      <c r="B79" s="366" t="s">
        <v>46</v>
      </c>
      <c r="C79" s="366" t="s">
        <v>622</v>
      </c>
      <c r="D79" s="366">
        <v>1</v>
      </c>
      <c r="E79" s="366" t="s">
        <v>130</v>
      </c>
      <c r="F79" s="366">
        <v>1</v>
      </c>
      <c r="G79" s="366" t="s">
        <v>616</v>
      </c>
      <c r="H79" s="366" t="s">
        <v>432</v>
      </c>
      <c r="I79" s="366" t="s">
        <v>433</v>
      </c>
      <c r="N79" s="366" t="s">
        <v>222</v>
      </c>
      <c r="Q79" s="366" t="s">
        <v>623</v>
      </c>
      <c r="R79" s="366" t="s">
        <v>624</v>
      </c>
      <c r="U79" s="366">
        <v>0.08</v>
      </c>
      <c r="AA79" s="366">
        <v>59200</v>
      </c>
      <c r="AB79" s="366">
        <v>59200</v>
      </c>
      <c r="AD79" s="366">
        <v>37</v>
      </c>
      <c r="AE79" s="366">
        <v>9.1999999999999993</v>
      </c>
      <c r="AI79" s="366">
        <v>9.3239999999999998</v>
      </c>
      <c r="AL79" s="366">
        <v>4.1681030100000003</v>
      </c>
      <c r="AM79" s="366">
        <v>-0.46</v>
      </c>
      <c r="AN79" s="366">
        <v>59.232103010000003</v>
      </c>
      <c r="AO79" s="366">
        <v>1000.5422806399999</v>
      </c>
      <c r="AP79" s="366">
        <v>625</v>
      </c>
      <c r="AQ79" s="366">
        <v>155.40540540999999</v>
      </c>
      <c r="AR79" s="366">
        <v>67.25</v>
      </c>
      <c r="AS79" s="366">
        <v>70</v>
      </c>
      <c r="AT79" s="366">
        <v>4.1440000000000001</v>
      </c>
      <c r="AX79" s="366">
        <v>6.9962060000000006E-2</v>
      </c>
      <c r="AZ79" s="366">
        <v>4.7500000000000001E-2</v>
      </c>
      <c r="BB79" s="366">
        <v>1393.5548090100001</v>
      </c>
      <c r="BI79" s="366">
        <v>0.12</v>
      </c>
      <c r="BK79" s="366">
        <v>0.39279952000000001</v>
      </c>
      <c r="BL79" s="366">
        <v>0.27279952000000002</v>
      </c>
      <c r="BM79" s="366">
        <v>16.158489320000001</v>
      </c>
    </row>
    <row r="80" spans="1:65" hidden="1">
      <c r="A80" s="366">
        <v>78</v>
      </c>
      <c r="B80" s="366" t="s">
        <v>46</v>
      </c>
      <c r="C80" s="366" t="s">
        <v>625</v>
      </c>
      <c r="D80" s="366">
        <v>1</v>
      </c>
      <c r="E80" s="366" t="s">
        <v>130</v>
      </c>
      <c r="F80" s="366">
        <v>1</v>
      </c>
      <c r="G80" s="366" t="s">
        <v>626</v>
      </c>
      <c r="H80" s="366" t="s">
        <v>432</v>
      </c>
      <c r="I80" s="366" t="s">
        <v>433</v>
      </c>
      <c r="N80" s="366" t="s">
        <v>223</v>
      </c>
      <c r="Q80" s="366" t="s">
        <v>627</v>
      </c>
      <c r="R80" s="366" t="s">
        <v>617</v>
      </c>
      <c r="U80" s="366">
        <v>1</v>
      </c>
      <c r="AA80" s="366">
        <v>139200</v>
      </c>
      <c r="AB80" s="366">
        <v>142500</v>
      </c>
      <c r="AD80" s="366">
        <v>21.44</v>
      </c>
      <c r="AE80" s="366">
        <v>78.599999999999994</v>
      </c>
      <c r="AI80" s="366">
        <v>17.752658319999998</v>
      </c>
      <c r="AL80" s="366">
        <v>6.3817803199999998</v>
      </c>
      <c r="AM80" s="366">
        <v>-3.93</v>
      </c>
      <c r="AN80" s="366">
        <v>120.24443864</v>
      </c>
      <c r="AO80" s="366">
        <v>843.82062207000001</v>
      </c>
      <c r="AP80" s="366">
        <v>150.45614035</v>
      </c>
      <c r="AQ80" s="366">
        <v>551.57894737000004</v>
      </c>
      <c r="AR80" s="366">
        <v>54.755000000000003</v>
      </c>
      <c r="AS80" s="366">
        <v>54.755000000000003</v>
      </c>
      <c r="AT80" s="366">
        <v>7.8025874999999996</v>
      </c>
      <c r="AV80" s="366">
        <v>53.6</v>
      </c>
      <c r="AW80" s="366">
        <v>400</v>
      </c>
      <c r="AX80" s="366">
        <v>6.4889379999999997E-2</v>
      </c>
      <c r="AZ80" s="366">
        <v>4.7500000000000001E-2</v>
      </c>
      <c r="BB80" s="366">
        <v>1090.0584795300001</v>
      </c>
      <c r="BI80" s="366">
        <v>0.05</v>
      </c>
      <c r="BK80" s="366">
        <v>0.29181304000000002</v>
      </c>
      <c r="BL80" s="366">
        <v>0.24181304000000001</v>
      </c>
      <c r="BM80" s="366">
        <v>29.076672760000001</v>
      </c>
    </row>
    <row r="81" spans="1:65" hidden="1">
      <c r="A81" s="366">
        <v>79</v>
      </c>
      <c r="B81" s="366" t="s">
        <v>46</v>
      </c>
      <c r="C81" s="366" t="s">
        <v>628</v>
      </c>
      <c r="D81" s="366">
        <v>1</v>
      </c>
      <c r="E81" s="366" t="s">
        <v>130</v>
      </c>
      <c r="F81" s="366">
        <v>1</v>
      </c>
      <c r="G81" s="366" t="s">
        <v>871</v>
      </c>
      <c r="H81" s="366" t="s">
        <v>432</v>
      </c>
      <c r="I81" s="366" t="s">
        <v>433</v>
      </c>
      <c r="N81" s="366" t="s">
        <v>629</v>
      </c>
      <c r="Q81" s="366" t="s">
        <v>630</v>
      </c>
      <c r="R81" s="366" t="s">
        <v>614</v>
      </c>
      <c r="U81" s="366">
        <v>0</v>
      </c>
      <c r="AA81" s="366">
        <v>91800</v>
      </c>
      <c r="AB81" s="366">
        <v>91800</v>
      </c>
      <c r="AD81" s="366">
        <v>71.91</v>
      </c>
      <c r="AE81" s="366">
        <v>39.9</v>
      </c>
      <c r="AI81" s="366">
        <v>10.8</v>
      </c>
      <c r="AL81" s="366">
        <v>6.9115089000000003</v>
      </c>
      <c r="AN81" s="366">
        <v>129.52150889999999</v>
      </c>
      <c r="AO81" s="366">
        <v>1410.90968305</v>
      </c>
      <c r="AP81" s="366">
        <v>783.33333332999996</v>
      </c>
      <c r="AQ81" s="366">
        <v>434.64052287999999</v>
      </c>
      <c r="AR81" s="366">
        <v>74.5</v>
      </c>
      <c r="AS81" s="366">
        <v>75</v>
      </c>
      <c r="AT81" s="366">
        <v>8</v>
      </c>
      <c r="AV81" s="366">
        <v>70.5</v>
      </c>
      <c r="AW81" s="366">
        <v>1020</v>
      </c>
      <c r="AX81" s="366">
        <v>6.1765800000000003E-2</v>
      </c>
      <c r="AZ81" s="366">
        <v>3.7499999999999999E-2</v>
      </c>
      <c r="BB81" s="366">
        <v>1891.25295508</v>
      </c>
      <c r="BC81" s="366">
        <v>157.61702127999999</v>
      </c>
      <c r="BI81" s="366">
        <v>0.15</v>
      </c>
      <c r="BK81" s="366">
        <v>0.34044933999999999</v>
      </c>
      <c r="BL81" s="366">
        <v>0.19044933999999999</v>
      </c>
      <c r="BM81" s="366">
        <v>24.66728604</v>
      </c>
    </row>
    <row r="82" spans="1:65">
      <c r="A82" s="366">
        <v>80</v>
      </c>
      <c r="B82" s="366" t="s">
        <v>46</v>
      </c>
      <c r="C82" s="366" t="s">
        <v>631</v>
      </c>
      <c r="D82" s="366">
        <v>1</v>
      </c>
      <c r="E82" s="366" t="s">
        <v>518</v>
      </c>
      <c r="F82" s="366">
        <v>1</v>
      </c>
      <c r="G82" s="366" t="s">
        <v>1055</v>
      </c>
      <c r="H82" s="366" t="s">
        <v>432</v>
      </c>
      <c r="I82" s="366" t="s">
        <v>468</v>
      </c>
      <c r="L82" s="366" t="s">
        <v>1056</v>
      </c>
      <c r="M82" s="366" t="s">
        <v>108</v>
      </c>
      <c r="N82" s="366" t="s">
        <v>322</v>
      </c>
      <c r="R82" s="366" t="s">
        <v>740</v>
      </c>
      <c r="T82" s="366">
        <v>5.9533528499999999</v>
      </c>
      <c r="U82" s="366">
        <v>0</v>
      </c>
      <c r="AA82" s="366">
        <v>18300</v>
      </c>
      <c r="AB82" s="366">
        <v>18300</v>
      </c>
      <c r="AD82" s="366">
        <v>10</v>
      </c>
      <c r="AE82" s="366">
        <v>10.3</v>
      </c>
      <c r="AN82" s="366">
        <v>20.3</v>
      </c>
      <c r="AO82" s="366">
        <v>1109.28961749</v>
      </c>
      <c r="AP82" s="366">
        <v>546.44808742999999</v>
      </c>
      <c r="AQ82" s="366">
        <v>562.84153004999996</v>
      </c>
      <c r="AS82" s="366">
        <v>16.393442619999998</v>
      </c>
      <c r="AT82" s="366">
        <v>0.3</v>
      </c>
      <c r="AX82" s="366">
        <v>0.06</v>
      </c>
      <c r="AZ82" s="366">
        <v>4.4999999999999998E-2</v>
      </c>
      <c r="BB82" s="366">
        <v>341.26344258</v>
      </c>
      <c r="BC82" s="366">
        <v>6.2451210000000001</v>
      </c>
      <c r="BI82" s="366">
        <v>0.05</v>
      </c>
      <c r="BK82" s="366">
        <v>-0.69235857000000001</v>
      </c>
      <c r="BL82" s="366">
        <v>-0.74235857000000005</v>
      </c>
      <c r="BM82" s="366">
        <v>-15.069879</v>
      </c>
    </row>
    <row r="83" spans="1:65">
      <c r="A83" s="366">
        <v>81</v>
      </c>
      <c r="B83" s="366" t="s">
        <v>46</v>
      </c>
      <c r="C83" s="366" t="s">
        <v>1057</v>
      </c>
      <c r="D83" s="366">
        <v>0.5</v>
      </c>
      <c r="E83" s="366" t="s">
        <v>130</v>
      </c>
      <c r="F83" s="366">
        <v>1</v>
      </c>
      <c r="G83" s="366" t="s">
        <v>883</v>
      </c>
      <c r="H83" s="366" t="s">
        <v>432</v>
      </c>
      <c r="I83" s="366" t="s">
        <v>468</v>
      </c>
      <c r="N83" s="366" t="s">
        <v>533</v>
      </c>
      <c r="Q83" s="366" t="s">
        <v>500</v>
      </c>
      <c r="R83" s="366" t="s">
        <v>897</v>
      </c>
      <c r="T83" s="366">
        <v>51.249509029999999</v>
      </c>
      <c r="U83" s="366">
        <v>0</v>
      </c>
      <c r="AA83" s="366">
        <v>160600</v>
      </c>
      <c r="AB83" s="366">
        <v>80300</v>
      </c>
      <c r="AD83" s="366">
        <v>10.8</v>
      </c>
      <c r="AE83" s="366">
        <v>32.799999999999997</v>
      </c>
      <c r="AI83" s="366">
        <v>5.8049999999999997</v>
      </c>
      <c r="AN83" s="366">
        <v>49.405000000000001</v>
      </c>
      <c r="AO83" s="366">
        <v>615.25529265</v>
      </c>
      <c r="AP83" s="366">
        <v>134.49564133999999</v>
      </c>
      <c r="AQ83" s="366">
        <v>408.46824407999998</v>
      </c>
      <c r="AR83" s="366">
        <v>53.35</v>
      </c>
      <c r="AS83" s="366">
        <v>53.549190539999998</v>
      </c>
      <c r="AT83" s="366">
        <v>4.3</v>
      </c>
      <c r="AV83" s="366">
        <v>36</v>
      </c>
      <c r="AX83" s="366">
        <v>6.3E-2</v>
      </c>
      <c r="AZ83" s="366">
        <v>4.7500000000000001E-2</v>
      </c>
      <c r="BB83" s="366">
        <v>1056.0668662200001</v>
      </c>
      <c r="BC83" s="366">
        <v>84.802169359999994</v>
      </c>
      <c r="BI83" s="366">
        <v>0.05</v>
      </c>
      <c r="BK83" s="366">
        <v>0.71646936999999999</v>
      </c>
      <c r="BL83" s="366">
        <v>0.66646936999999995</v>
      </c>
      <c r="BM83" s="366">
        <v>32.926919359999999</v>
      </c>
    </row>
    <row r="84" spans="1:65">
      <c r="A84" s="366">
        <v>82</v>
      </c>
      <c r="B84" s="366" t="s">
        <v>46</v>
      </c>
      <c r="C84" s="366" t="s">
        <v>1031</v>
      </c>
      <c r="D84" s="366">
        <v>1</v>
      </c>
      <c r="E84" s="366" t="s">
        <v>518</v>
      </c>
      <c r="F84" s="366">
        <v>1</v>
      </c>
      <c r="G84" s="366" t="s">
        <v>871</v>
      </c>
      <c r="H84" s="366" t="s">
        <v>432</v>
      </c>
      <c r="I84" s="366" t="s">
        <v>468</v>
      </c>
      <c r="N84" s="366" t="s">
        <v>322</v>
      </c>
      <c r="Q84" s="366" t="s">
        <v>476</v>
      </c>
      <c r="R84" s="366" t="s">
        <v>549</v>
      </c>
      <c r="T84" s="366">
        <v>553.11247270000001</v>
      </c>
      <c r="U84" s="366">
        <v>0.92</v>
      </c>
      <c r="W84" s="366">
        <v>268000</v>
      </c>
      <c r="X84" s="366">
        <v>151700</v>
      </c>
      <c r="AA84" s="366">
        <v>419700</v>
      </c>
      <c r="AB84" s="366">
        <v>419700</v>
      </c>
      <c r="AD84" s="366">
        <v>120</v>
      </c>
      <c r="AE84" s="366">
        <v>288.7</v>
      </c>
      <c r="AI84" s="366">
        <v>46.111621620000001</v>
      </c>
      <c r="AK84" s="366">
        <v>-11</v>
      </c>
      <c r="AL84" s="366">
        <v>3.4601374100000002</v>
      </c>
      <c r="AN84" s="366">
        <v>447.27175904000001</v>
      </c>
      <c r="AO84" s="366">
        <v>1065.6939695900001</v>
      </c>
      <c r="AP84" s="366">
        <v>285.91851322000002</v>
      </c>
      <c r="AQ84" s="366">
        <v>687.87228973000003</v>
      </c>
      <c r="AR84" s="366">
        <v>73.349999999999994</v>
      </c>
      <c r="AS84" s="366">
        <v>73.782771539999999</v>
      </c>
      <c r="AT84" s="366">
        <v>19.7</v>
      </c>
      <c r="AX84" s="366">
        <v>6.4000000000000001E-2</v>
      </c>
      <c r="AZ84" s="366">
        <v>0.04</v>
      </c>
      <c r="BB84" s="366">
        <v>1727.93375962</v>
      </c>
      <c r="BC84" s="366">
        <v>725.21379891000004</v>
      </c>
      <c r="BI84" s="366">
        <v>0.1</v>
      </c>
      <c r="BK84" s="366">
        <v>0.62141648000000005</v>
      </c>
      <c r="BL84" s="366">
        <v>0.52141647999999996</v>
      </c>
      <c r="BM84" s="366">
        <v>233.21486397000001</v>
      </c>
    </row>
    <row r="85" spans="1:65" hidden="1">
      <c r="A85" s="366">
        <v>83</v>
      </c>
      <c r="B85" s="366" t="s">
        <v>46</v>
      </c>
      <c r="C85" s="366" t="s">
        <v>335</v>
      </c>
      <c r="D85" s="366">
        <v>1</v>
      </c>
      <c r="E85" s="366" t="s">
        <v>130</v>
      </c>
      <c r="F85" s="366">
        <v>1</v>
      </c>
      <c r="G85" s="366" t="s">
        <v>871</v>
      </c>
      <c r="H85" s="366" t="s">
        <v>432</v>
      </c>
      <c r="I85" s="366" t="s">
        <v>884</v>
      </c>
      <c r="N85" s="366" t="s">
        <v>634</v>
      </c>
      <c r="Q85" s="366" t="s">
        <v>635</v>
      </c>
      <c r="R85" s="366" t="s">
        <v>656</v>
      </c>
      <c r="U85" s="366">
        <v>0.63</v>
      </c>
      <c r="W85" s="366">
        <v>43600</v>
      </c>
      <c r="AA85" s="366">
        <v>90700</v>
      </c>
      <c r="AB85" s="366">
        <v>90700</v>
      </c>
      <c r="AD85" s="366">
        <v>66.16</v>
      </c>
      <c r="AE85" s="366">
        <v>53.6</v>
      </c>
      <c r="AI85" s="366">
        <v>13.365</v>
      </c>
      <c r="AL85" s="366">
        <v>7.2215753400000002</v>
      </c>
      <c r="AN85" s="366">
        <v>140.34657533999999</v>
      </c>
      <c r="AO85" s="366">
        <v>1547.37128272</v>
      </c>
      <c r="AP85" s="366">
        <v>729.43770672999995</v>
      </c>
      <c r="AQ85" s="366">
        <v>590.95920617000002</v>
      </c>
      <c r="AR85" s="366">
        <v>58.434399120000002</v>
      </c>
      <c r="AS85" s="366">
        <v>100</v>
      </c>
      <c r="AT85" s="366">
        <v>9.9</v>
      </c>
      <c r="AV85" s="366">
        <v>82.7</v>
      </c>
      <c r="AW85" s="366">
        <v>800</v>
      </c>
      <c r="AX85" s="366">
        <v>7.0539660000000004E-2</v>
      </c>
      <c r="AZ85" s="366">
        <v>0.04</v>
      </c>
      <c r="BB85" s="366">
        <v>2364.0661938500002</v>
      </c>
      <c r="BC85" s="366">
        <v>194.62080377999999</v>
      </c>
      <c r="BI85" s="366">
        <v>0.1</v>
      </c>
      <c r="BK85" s="366">
        <v>0.52779505000000004</v>
      </c>
      <c r="BL85" s="366">
        <v>0.42779505000000001</v>
      </c>
      <c r="BM85" s="366">
        <v>60.039570910000002</v>
      </c>
    </row>
    <row r="86" spans="1:65">
      <c r="A86" s="366">
        <v>84</v>
      </c>
      <c r="B86" s="366" t="s">
        <v>46</v>
      </c>
      <c r="C86" s="366" t="s">
        <v>637</v>
      </c>
      <c r="D86" s="366">
        <v>1</v>
      </c>
      <c r="E86" s="366" t="s">
        <v>130</v>
      </c>
      <c r="F86" s="366">
        <v>1</v>
      </c>
      <c r="G86" s="366" t="s">
        <v>871</v>
      </c>
      <c r="H86" s="366" t="s">
        <v>432</v>
      </c>
      <c r="I86" s="366" t="s">
        <v>468</v>
      </c>
      <c r="N86" s="366" t="s">
        <v>204</v>
      </c>
      <c r="Q86" s="366" t="s">
        <v>470</v>
      </c>
      <c r="R86" s="366" t="s">
        <v>885</v>
      </c>
      <c r="T86" s="366">
        <v>38.57134619</v>
      </c>
      <c r="U86" s="366">
        <v>0</v>
      </c>
      <c r="AA86" s="366">
        <v>37300</v>
      </c>
      <c r="AB86" s="366">
        <v>37300</v>
      </c>
      <c r="AD86" s="366">
        <v>19</v>
      </c>
      <c r="AE86" s="366">
        <v>25.3</v>
      </c>
      <c r="AI86" s="366">
        <v>6.3</v>
      </c>
      <c r="AN86" s="366">
        <v>50.6</v>
      </c>
      <c r="AO86" s="366">
        <v>1356.5683646099999</v>
      </c>
      <c r="AP86" s="366">
        <v>509.38337802000001</v>
      </c>
      <c r="AQ86" s="366">
        <v>678.28418231000001</v>
      </c>
      <c r="AR86" s="366">
        <v>84.15</v>
      </c>
      <c r="AS86" s="366">
        <v>75.067024129999993</v>
      </c>
      <c r="AT86" s="366">
        <v>2.8</v>
      </c>
      <c r="AV86" s="366">
        <v>25.3</v>
      </c>
      <c r="AW86" s="366">
        <v>600</v>
      </c>
      <c r="AX86" s="366">
        <v>6.3E-2</v>
      </c>
      <c r="AZ86" s="366">
        <v>4.2500000000000003E-2</v>
      </c>
      <c r="BB86" s="366">
        <v>1654.59758377</v>
      </c>
      <c r="BC86" s="366">
        <v>61.716489869999997</v>
      </c>
      <c r="BI86" s="366">
        <v>0.15</v>
      </c>
      <c r="BK86" s="366">
        <v>0.21969348</v>
      </c>
      <c r="BL86" s="366">
        <v>6.9693480000000002E-2</v>
      </c>
      <c r="BM86" s="366">
        <v>3.5264898699999998</v>
      </c>
    </row>
    <row r="87" spans="1:65" hidden="1">
      <c r="A87" s="366">
        <v>85</v>
      </c>
      <c r="B87" s="366" t="s">
        <v>46</v>
      </c>
      <c r="C87" s="366" t="s">
        <v>638</v>
      </c>
      <c r="D87" s="366">
        <v>1</v>
      </c>
      <c r="E87" s="366" t="s">
        <v>518</v>
      </c>
      <c r="F87" s="366">
        <v>1</v>
      </c>
      <c r="G87" s="366" t="s">
        <v>871</v>
      </c>
      <c r="H87" s="366" t="s">
        <v>432</v>
      </c>
      <c r="I87" s="366" t="s">
        <v>486</v>
      </c>
      <c r="N87" s="366" t="s">
        <v>639</v>
      </c>
      <c r="Q87" s="366" t="s">
        <v>549</v>
      </c>
      <c r="R87" s="366" t="s">
        <v>640</v>
      </c>
      <c r="U87" s="366">
        <v>0</v>
      </c>
      <c r="AA87" s="366">
        <v>88200</v>
      </c>
      <c r="AB87" s="366">
        <v>88200</v>
      </c>
      <c r="AD87" s="366">
        <v>130</v>
      </c>
      <c r="AE87" s="366">
        <v>37.6</v>
      </c>
      <c r="AI87" s="366">
        <v>25.367999999999999</v>
      </c>
      <c r="AL87" s="366">
        <v>10.44141918</v>
      </c>
      <c r="AM87" s="366">
        <v>0</v>
      </c>
      <c r="AN87" s="366">
        <v>203.40941917999999</v>
      </c>
      <c r="AO87" s="366">
        <v>2306.22924238</v>
      </c>
      <c r="AP87" s="366">
        <v>1473.9229024900001</v>
      </c>
      <c r="AQ87" s="366">
        <v>426.30385488000002</v>
      </c>
      <c r="AS87" s="366">
        <v>137.86848072999999</v>
      </c>
      <c r="AT87" s="366">
        <v>12.16</v>
      </c>
      <c r="AX87" s="366">
        <v>5.978091E-2</v>
      </c>
      <c r="AZ87" s="366">
        <v>3.7499999999999999E-2</v>
      </c>
      <c r="BB87" s="366">
        <v>3476.5889544699999</v>
      </c>
      <c r="BI87" s="366">
        <v>0.15</v>
      </c>
      <c r="BK87" s="366">
        <v>0.50747761000000002</v>
      </c>
      <c r="BL87" s="366">
        <v>0.35747761</v>
      </c>
      <c r="BM87" s="366">
        <v>72.714313730000001</v>
      </c>
    </row>
    <row r="88" spans="1:65" hidden="1">
      <c r="A88" s="366">
        <v>86</v>
      </c>
      <c r="B88" s="366" t="s">
        <v>46</v>
      </c>
      <c r="C88" s="366" t="s">
        <v>641</v>
      </c>
      <c r="D88" s="366">
        <v>0.5</v>
      </c>
      <c r="E88" s="366" t="s">
        <v>518</v>
      </c>
      <c r="F88" s="366">
        <v>1</v>
      </c>
      <c r="G88" s="366" t="s">
        <v>871</v>
      </c>
      <c r="H88" s="366" t="s">
        <v>432</v>
      </c>
      <c r="I88" s="366" t="s">
        <v>486</v>
      </c>
      <c r="N88" s="366" t="s">
        <v>642</v>
      </c>
      <c r="Q88" s="366" t="s">
        <v>643</v>
      </c>
      <c r="R88" s="366" t="s">
        <v>644</v>
      </c>
      <c r="U88" s="366">
        <v>0</v>
      </c>
      <c r="AA88" s="366">
        <v>223600</v>
      </c>
      <c r="AB88" s="366">
        <v>111800</v>
      </c>
      <c r="AD88" s="366">
        <v>131.30000000000001</v>
      </c>
      <c r="AE88" s="366">
        <v>120.9</v>
      </c>
      <c r="AI88" s="366">
        <v>19.649999999999999</v>
      </c>
      <c r="AL88" s="366">
        <v>20.947345890000001</v>
      </c>
      <c r="AN88" s="366">
        <v>292.79734588999997</v>
      </c>
      <c r="AO88" s="366">
        <v>2618.9386931200002</v>
      </c>
      <c r="AP88" s="366">
        <v>1174.4186046499999</v>
      </c>
      <c r="AQ88" s="366">
        <v>600</v>
      </c>
      <c r="AS88" s="366">
        <v>117.17352415000001</v>
      </c>
      <c r="AT88" s="366">
        <v>13.1</v>
      </c>
      <c r="AZ88" s="366">
        <v>3.5000000000000003E-2</v>
      </c>
      <c r="BB88" s="366">
        <v>3165.78248295</v>
      </c>
      <c r="BI88" s="366">
        <v>0.2</v>
      </c>
      <c r="BK88" s="366">
        <v>0.20880359000000001</v>
      </c>
      <c r="BL88" s="366">
        <v>8.80359E-3</v>
      </c>
      <c r="BM88" s="366">
        <v>2.5776665300000001</v>
      </c>
    </row>
    <row r="89" spans="1:65" hidden="1">
      <c r="A89" s="366">
        <v>87</v>
      </c>
      <c r="B89" s="366" t="s">
        <v>46</v>
      </c>
      <c r="C89" s="366" t="s">
        <v>336</v>
      </c>
    </row>
    <row r="90" spans="1:65" hidden="1">
      <c r="A90" s="366">
        <v>88</v>
      </c>
      <c r="B90" s="366" t="s">
        <v>46</v>
      </c>
      <c r="C90" s="366" t="s">
        <v>336</v>
      </c>
    </row>
    <row r="91" spans="1:65" hidden="1">
      <c r="A91" s="366">
        <v>89</v>
      </c>
      <c r="B91" s="366" t="s">
        <v>151</v>
      </c>
      <c r="C91" s="366" t="s">
        <v>645</v>
      </c>
      <c r="D91" s="366">
        <v>0.6925</v>
      </c>
      <c r="E91" s="366" t="s">
        <v>130</v>
      </c>
      <c r="F91" s="366">
        <v>1</v>
      </c>
      <c r="G91" s="366" t="s">
        <v>502</v>
      </c>
      <c r="H91" s="366" t="s">
        <v>443</v>
      </c>
      <c r="I91" s="366" t="s">
        <v>433</v>
      </c>
      <c r="N91" s="366" t="s">
        <v>233</v>
      </c>
      <c r="Q91" s="366" t="s">
        <v>599</v>
      </c>
      <c r="R91" s="366" t="s">
        <v>646</v>
      </c>
      <c r="U91" s="366">
        <v>0.9</v>
      </c>
      <c r="AA91" s="366">
        <v>530000</v>
      </c>
      <c r="AB91" s="366">
        <v>367025</v>
      </c>
      <c r="AD91" s="366">
        <v>48.475000000000001</v>
      </c>
      <c r="AE91" s="366">
        <v>130.19</v>
      </c>
      <c r="AI91" s="366">
        <v>21.864528</v>
      </c>
      <c r="AL91" s="366">
        <v>15.0397146</v>
      </c>
      <c r="AM91" s="366">
        <v>0</v>
      </c>
      <c r="AN91" s="366">
        <v>215.56924258999999</v>
      </c>
      <c r="AO91" s="366">
        <v>587.34212273000003</v>
      </c>
      <c r="AP91" s="366">
        <v>132.07547170000001</v>
      </c>
      <c r="AQ91" s="366">
        <v>354.71698113000002</v>
      </c>
      <c r="AR91" s="366">
        <v>46.5</v>
      </c>
      <c r="AS91" s="366">
        <v>46.5</v>
      </c>
      <c r="AT91" s="366">
        <v>17.0666625</v>
      </c>
      <c r="AX91" s="366">
        <v>7.9170210000000005E-2</v>
      </c>
      <c r="AZ91" s="366">
        <v>4.7500000000000001E-2</v>
      </c>
      <c r="BB91" s="366">
        <v>925.71855170000003</v>
      </c>
      <c r="BC91" s="366">
        <v>194.01231834000001</v>
      </c>
      <c r="BI91" s="366">
        <v>7.4999999999999997E-2</v>
      </c>
      <c r="BK91" s="366">
        <v>0.57611469999999998</v>
      </c>
      <c r="BL91" s="366">
        <v>0.50111470000000002</v>
      </c>
      <c r="BM91" s="366">
        <v>108.02491565</v>
      </c>
    </row>
    <row r="92" spans="1:65" hidden="1">
      <c r="A92" s="366">
        <v>90</v>
      </c>
      <c r="B92" s="366" t="s">
        <v>151</v>
      </c>
      <c r="C92" s="366" t="s">
        <v>437</v>
      </c>
      <c r="D92" s="366">
        <v>0.10349999999999999</v>
      </c>
      <c r="E92" s="366" t="s">
        <v>131</v>
      </c>
      <c r="F92" s="366">
        <v>1</v>
      </c>
      <c r="G92" s="366" t="s">
        <v>431</v>
      </c>
      <c r="H92" s="366" t="s">
        <v>432</v>
      </c>
      <c r="I92" s="366" t="s">
        <v>433</v>
      </c>
      <c r="N92" s="366" t="s">
        <v>438</v>
      </c>
      <c r="Q92" s="366" t="s">
        <v>439</v>
      </c>
      <c r="R92" s="366" t="s">
        <v>440</v>
      </c>
      <c r="U92" s="366">
        <v>0.99</v>
      </c>
      <c r="AA92" s="366">
        <v>160383.6</v>
      </c>
      <c r="AB92" s="366">
        <v>33199.405200000001</v>
      </c>
      <c r="AD92" s="366">
        <v>7.2450000000000001</v>
      </c>
      <c r="AE92" s="366">
        <v>4.9205316799999999</v>
      </c>
      <c r="AI92" s="366">
        <v>1.75093663</v>
      </c>
      <c r="AL92" s="366">
        <v>0.89980453000000005</v>
      </c>
      <c r="AM92" s="366">
        <v>-0.67485340000000005</v>
      </c>
      <c r="AN92" s="366">
        <v>14.141419450000001</v>
      </c>
      <c r="AO92" s="366">
        <v>425.95400013</v>
      </c>
      <c r="AP92" s="366">
        <v>218.22680123999999</v>
      </c>
      <c r="AQ92" s="366">
        <v>274</v>
      </c>
      <c r="AR92" s="366">
        <v>29.3</v>
      </c>
      <c r="AS92" s="366">
        <v>29.3</v>
      </c>
      <c r="AT92" s="366">
        <v>0.97274256999999997</v>
      </c>
      <c r="AX92" s="366">
        <v>6.8786769999999997E-2</v>
      </c>
      <c r="AZ92" s="366">
        <v>5.2499999999999998E-2</v>
      </c>
      <c r="BB92" s="366">
        <v>527.74963413</v>
      </c>
      <c r="BC92" s="366">
        <v>14.000005249999999</v>
      </c>
      <c r="BI92" s="366">
        <v>0</v>
      </c>
      <c r="BK92" s="366">
        <v>0.23898269</v>
      </c>
      <c r="BL92" s="366">
        <v>0.23898269</v>
      </c>
      <c r="BM92" s="366">
        <v>3.3795544999999998</v>
      </c>
    </row>
    <row r="93" spans="1:65" hidden="1">
      <c r="A93" s="366">
        <v>91</v>
      </c>
      <c r="B93" s="366" t="s">
        <v>151</v>
      </c>
      <c r="C93" s="366" t="s">
        <v>647</v>
      </c>
      <c r="D93" s="366">
        <v>0.6925</v>
      </c>
      <c r="E93" s="366" t="s">
        <v>304</v>
      </c>
      <c r="F93" s="366">
        <v>0</v>
      </c>
      <c r="G93" s="366" t="s">
        <v>648</v>
      </c>
      <c r="H93" s="366" t="s">
        <v>443</v>
      </c>
      <c r="I93" s="366" t="s">
        <v>468</v>
      </c>
      <c r="N93" s="366" t="s">
        <v>233</v>
      </c>
      <c r="Q93" s="366" t="s">
        <v>607</v>
      </c>
      <c r="R93" s="366" t="s">
        <v>649</v>
      </c>
      <c r="U93" s="366">
        <v>0</v>
      </c>
      <c r="AA93" s="366">
        <v>470000</v>
      </c>
      <c r="AB93" s="366">
        <v>325475</v>
      </c>
      <c r="AD93" s="366">
        <v>27.014424999999999</v>
      </c>
      <c r="AE93" s="366">
        <v>244.87</v>
      </c>
      <c r="AL93" s="366">
        <v>22.719109490000001</v>
      </c>
      <c r="AN93" s="366">
        <v>271.88442500000002</v>
      </c>
      <c r="AO93" s="366">
        <v>835.34657040000002</v>
      </c>
      <c r="AP93" s="366">
        <v>83</v>
      </c>
      <c r="AQ93" s="366">
        <v>521</v>
      </c>
      <c r="AZ93" s="366">
        <v>4.7500000000000001E-2</v>
      </c>
      <c r="BB93" s="366">
        <v>1148</v>
      </c>
      <c r="BI93" s="366">
        <v>0.2</v>
      </c>
      <c r="BK93" s="366">
        <v>0.3742799</v>
      </c>
      <c r="BL93" s="366">
        <v>0.17427989999999999</v>
      </c>
      <c r="BM93" s="366">
        <v>47.383989999999997</v>
      </c>
    </row>
    <row r="94" spans="1:65" hidden="1">
      <c r="A94" s="366">
        <v>92</v>
      </c>
      <c r="B94" s="366" t="s">
        <v>151</v>
      </c>
      <c r="C94" s="366" t="s">
        <v>650</v>
      </c>
      <c r="D94" s="366">
        <v>0.34625</v>
      </c>
      <c r="E94" s="366" t="s">
        <v>651</v>
      </c>
      <c r="F94" s="366">
        <v>1</v>
      </c>
      <c r="G94" s="366" t="s">
        <v>431</v>
      </c>
      <c r="H94" s="366" t="s">
        <v>228</v>
      </c>
      <c r="I94" s="366" t="s">
        <v>468</v>
      </c>
      <c r="N94" s="366" t="s">
        <v>652</v>
      </c>
      <c r="Q94" s="366" t="s">
        <v>526</v>
      </c>
      <c r="R94" s="366" t="s">
        <v>653</v>
      </c>
      <c r="U94" s="366">
        <v>0.14788731999999999</v>
      </c>
      <c r="AA94" s="366">
        <v>1420000</v>
      </c>
      <c r="AB94" s="366">
        <v>491675</v>
      </c>
      <c r="AD94" s="366">
        <v>150</v>
      </c>
      <c r="AE94" s="366">
        <v>459</v>
      </c>
      <c r="AL94" s="366">
        <v>32.911027400000002</v>
      </c>
      <c r="AN94" s="366">
        <v>342.09500000000003</v>
      </c>
      <c r="AO94" s="366">
        <v>892.95774647999997</v>
      </c>
      <c r="AP94" s="366">
        <v>305.07957492000003</v>
      </c>
      <c r="AQ94" s="366">
        <v>933.54349925999998</v>
      </c>
      <c r="AS94" s="366">
        <v>65</v>
      </c>
      <c r="AT94" s="366">
        <v>31.958874999999999</v>
      </c>
      <c r="AX94" s="366">
        <v>9.3421050000000005E-2</v>
      </c>
      <c r="AZ94" s="366">
        <v>4.7500000000000001E-2</v>
      </c>
      <c r="BB94" s="366">
        <v>1370.1877934300001</v>
      </c>
      <c r="BC94" s="366">
        <v>182.82837408</v>
      </c>
      <c r="BI94" s="366">
        <v>0.25</v>
      </c>
      <c r="BK94" s="366">
        <v>0.53443742999999999</v>
      </c>
      <c r="BL94" s="366">
        <v>0.28443742999999999</v>
      </c>
      <c r="BM94" s="366">
        <v>97.304624079999996</v>
      </c>
    </row>
    <row r="95" spans="1:65" hidden="1">
      <c r="A95" s="366">
        <v>93</v>
      </c>
      <c r="B95" s="366" t="s">
        <v>151</v>
      </c>
      <c r="C95" s="366" t="s">
        <v>654</v>
      </c>
      <c r="D95" s="366">
        <v>0.6925</v>
      </c>
      <c r="E95" s="366" t="s">
        <v>130</v>
      </c>
      <c r="F95" s="366">
        <v>0</v>
      </c>
      <c r="G95" s="366" t="s">
        <v>502</v>
      </c>
      <c r="H95" s="366" t="s">
        <v>443</v>
      </c>
      <c r="I95" s="366" t="s">
        <v>468</v>
      </c>
      <c r="N95" s="366" t="s">
        <v>233</v>
      </c>
      <c r="Q95" s="366" t="s">
        <v>655</v>
      </c>
      <c r="R95" s="366" t="s">
        <v>656</v>
      </c>
      <c r="U95" s="366">
        <v>0.5</v>
      </c>
      <c r="AA95" s="366">
        <v>700000</v>
      </c>
      <c r="AB95" s="366">
        <v>484750</v>
      </c>
      <c r="AD95" s="366">
        <v>48.475000000000001</v>
      </c>
      <c r="AN95" s="366">
        <v>301.5145</v>
      </c>
      <c r="AO95" s="366">
        <v>622</v>
      </c>
      <c r="AP95" s="366">
        <v>100</v>
      </c>
      <c r="AS95" s="366">
        <v>48</v>
      </c>
      <c r="AT95" s="366">
        <v>23.268000000000001</v>
      </c>
      <c r="AX95" s="366">
        <v>7.7170420000000003E-2</v>
      </c>
      <c r="AZ95" s="366">
        <v>4.7500000000000001E-2</v>
      </c>
      <c r="BB95" s="366">
        <v>920.70175439000002</v>
      </c>
      <c r="BI95" s="366">
        <v>0.2</v>
      </c>
      <c r="BK95" s="366">
        <v>0.48022789999999999</v>
      </c>
      <c r="BL95" s="366">
        <v>0.28022789999999997</v>
      </c>
      <c r="BM95" s="366">
        <v>84.492775440000003</v>
      </c>
    </row>
    <row r="96" spans="1:65" hidden="1">
      <c r="A96" s="366">
        <v>94</v>
      </c>
      <c r="B96" s="366" t="s">
        <v>151</v>
      </c>
      <c r="C96" s="366" t="s">
        <v>657</v>
      </c>
      <c r="D96" s="366">
        <v>0.6925</v>
      </c>
      <c r="E96" s="366" t="s">
        <v>518</v>
      </c>
      <c r="F96" s="366">
        <v>1</v>
      </c>
      <c r="G96" s="366" t="s">
        <v>431</v>
      </c>
      <c r="H96" s="366" t="s">
        <v>228</v>
      </c>
      <c r="I96" s="366" t="s">
        <v>468</v>
      </c>
      <c r="N96" s="366" t="s">
        <v>233</v>
      </c>
      <c r="Q96" s="366" t="s">
        <v>658</v>
      </c>
      <c r="R96" s="366" t="s">
        <v>659</v>
      </c>
      <c r="U96" s="366">
        <v>0</v>
      </c>
      <c r="AA96" s="366">
        <v>1000000</v>
      </c>
      <c r="AB96" s="366">
        <v>692500</v>
      </c>
      <c r="AD96" s="366">
        <v>55.4</v>
      </c>
      <c r="AE96" s="366">
        <v>283.92500000000001</v>
      </c>
      <c r="AI96" s="366">
        <v>73.405000000000001</v>
      </c>
      <c r="AL96" s="366">
        <v>43.025689040000003</v>
      </c>
      <c r="AN96" s="366">
        <v>459.30815217000003</v>
      </c>
      <c r="AO96" s="366">
        <v>663.26086956999995</v>
      </c>
      <c r="AP96" s="366">
        <v>80</v>
      </c>
      <c r="AQ96" s="366">
        <v>410</v>
      </c>
      <c r="AS96" s="366">
        <v>47.5</v>
      </c>
      <c r="AT96" s="366">
        <v>32.893749999999997</v>
      </c>
      <c r="AX96" s="366">
        <v>7.1615860000000003E-2</v>
      </c>
      <c r="AZ96" s="366">
        <v>4.7500000000000001E-2</v>
      </c>
      <c r="BB96" s="366">
        <v>947.46376812000005</v>
      </c>
      <c r="BI96" s="366">
        <v>0.2</v>
      </c>
      <c r="BK96" s="366">
        <v>0.42849338999999997</v>
      </c>
      <c r="BL96" s="366">
        <v>0.22849338999999999</v>
      </c>
      <c r="BM96" s="366">
        <v>104.94887681</v>
      </c>
    </row>
    <row r="97" spans="1:65" hidden="1">
      <c r="A97" s="366">
        <v>95</v>
      </c>
      <c r="B97" s="366" t="s">
        <v>48</v>
      </c>
      <c r="C97" s="366" t="s">
        <v>660</v>
      </c>
      <c r="D97" s="366">
        <v>1</v>
      </c>
      <c r="E97" s="366" t="s">
        <v>518</v>
      </c>
      <c r="F97" s="366">
        <v>1</v>
      </c>
      <c r="G97" s="366" t="s">
        <v>607</v>
      </c>
      <c r="H97" s="366" t="s">
        <v>432</v>
      </c>
      <c r="I97" s="366" t="s">
        <v>433</v>
      </c>
      <c r="N97" s="366" t="s">
        <v>661</v>
      </c>
      <c r="Q97" s="366" t="s">
        <v>662</v>
      </c>
      <c r="R97" s="366" t="s">
        <v>552</v>
      </c>
      <c r="U97" s="366">
        <v>0</v>
      </c>
      <c r="AA97" s="366">
        <v>32500</v>
      </c>
      <c r="AB97" s="366">
        <v>32500</v>
      </c>
      <c r="AD97" s="366">
        <v>14.5</v>
      </c>
      <c r="AE97" s="366">
        <v>13.5</v>
      </c>
      <c r="AI97" s="366">
        <v>1.5721875000000001</v>
      </c>
      <c r="AL97" s="366">
        <v>1.23352481</v>
      </c>
      <c r="AM97" s="366">
        <v>2.8</v>
      </c>
      <c r="AN97" s="366">
        <v>33.605712310000001</v>
      </c>
      <c r="AO97" s="366">
        <v>1034.02191715</v>
      </c>
      <c r="AP97" s="366">
        <v>446.15384614999999</v>
      </c>
      <c r="AQ97" s="366">
        <v>415.38461538000001</v>
      </c>
      <c r="AR97" s="366">
        <v>64.61538462</v>
      </c>
      <c r="AS97" s="366">
        <v>64.5</v>
      </c>
      <c r="AT97" s="366">
        <v>2.0962499999999999</v>
      </c>
      <c r="AV97" s="366">
        <v>14.5</v>
      </c>
      <c r="AW97" s="366">
        <v>1000</v>
      </c>
      <c r="AX97" s="366">
        <v>6.2377790000000002E-2</v>
      </c>
      <c r="AZ97" s="366">
        <v>4.2500000000000003E-2</v>
      </c>
      <c r="BB97" s="366">
        <v>1532.01116781</v>
      </c>
      <c r="BI97" s="366">
        <v>0.2</v>
      </c>
      <c r="BK97" s="366">
        <v>0.48160415000000001</v>
      </c>
      <c r="BL97" s="366">
        <v>0.28160415</v>
      </c>
      <c r="BM97" s="366">
        <v>9.4635081799999998</v>
      </c>
    </row>
    <row r="98" spans="1:65" hidden="1">
      <c r="A98" s="366">
        <v>96</v>
      </c>
      <c r="B98" s="366" t="s">
        <v>277</v>
      </c>
      <c r="C98" s="366" t="s">
        <v>663</v>
      </c>
      <c r="D98" s="366">
        <v>1</v>
      </c>
      <c r="E98" s="366" t="s">
        <v>130</v>
      </c>
      <c r="F98" s="366">
        <v>1</v>
      </c>
      <c r="G98" s="366" t="s">
        <v>526</v>
      </c>
      <c r="H98" s="366" t="s">
        <v>443</v>
      </c>
      <c r="I98" s="366" t="s">
        <v>433</v>
      </c>
      <c r="N98" s="366" t="s">
        <v>221</v>
      </c>
      <c r="R98" s="366" t="s">
        <v>664</v>
      </c>
      <c r="U98" s="366">
        <v>0.72</v>
      </c>
      <c r="AA98" s="366">
        <v>127400</v>
      </c>
      <c r="AB98" s="366">
        <v>127400</v>
      </c>
      <c r="AE98" s="366">
        <v>101.75240248999999</v>
      </c>
      <c r="AN98" s="366">
        <v>108.62068966</v>
      </c>
      <c r="AO98" s="366">
        <v>852.59568018000004</v>
      </c>
      <c r="AR98" s="366">
        <v>49.450549449999997</v>
      </c>
      <c r="AS98" s="366">
        <v>50</v>
      </c>
      <c r="AT98" s="366">
        <v>6.3</v>
      </c>
      <c r="AV98" s="366">
        <v>127.4</v>
      </c>
      <c r="AW98" s="366">
        <v>131.25</v>
      </c>
      <c r="AX98" s="366">
        <v>5.8000000000000003E-2</v>
      </c>
      <c r="AZ98" s="366">
        <v>4.8000000000000001E-2</v>
      </c>
      <c r="BB98" s="366">
        <v>985.02758076999999</v>
      </c>
      <c r="BK98" s="366">
        <v>0.15532789999999999</v>
      </c>
    </row>
    <row r="99" spans="1:65" hidden="1">
      <c r="A99" s="366">
        <v>97</v>
      </c>
      <c r="B99" s="366" t="s">
        <v>277</v>
      </c>
      <c r="C99" s="366" t="s">
        <v>665</v>
      </c>
      <c r="D99" s="366">
        <v>1</v>
      </c>
      <c r="E99" s="366" t="s">
        <v>131</v>
      </c>
      <c r="F99" s="366">
        <v>1</v>
      </c>
      <c r="G99" s="366" t="s">
        <v>526</v>
      </c>
      <c r="H99" s="366" t="s">
        <v>443</v>
      </c>
      <c r="I99" s="366" t="s">
        <v>433</v>
      </c>
      <c r="N99" s="366" t="s">
        <v>665</v>
      </c>
      <c r="R99" s="366" t="s">
        <v>469</v>
      </c>
      <c r="U99" s="366">
        <v>0.84</v>
      </c>
      <c r="AA99" s="366">
        <v>22500</v>
      </c>
      <c r="AB99" s="366">
        <v>22500</v>
      </c>
      <c r="AE99" s="366">
        <v>7.2994920800000003</v>
      </c>
      <c r="AN99" s="366">
        <v>7.79220779</v>
      </c>
      <c r="AO99" s="366">
        <v>346.32034632</v>
      </c>
      <c r="AR99" s="366">
        <v>26.666666670000001</v>
      </c>
      <c r="AS99" s="366">
        <v>26.7</v>
      </c>
      <c r="AT99" s="366">
        <v>0.6</v>
      </c>
      <c r="AV99" s="366">
        <v>22.5</v>
      </c>
      <c r="AW99" s="366">
        <v>13.043478260000001</v>
      </c>
      <c r="AX99" s="366">
        <v>7.6999999999999999E-2</v>
      </c>
      <c r="AZ99" s="366">
        <v>4.5999999999999999E-2</v>
      </c>
      <c r="BB99" s="366">
        <v>548.87449891999995</v>
      </c>
      <c r="BK99" s="366">
        <v>0.58487511999999997</v>
      </c>
    </row>
    <row r="100" spans="1:65" hidden="1">
      <c r="A100" s="366">
        <v>98</v>
      </c>
      <c r="B100" s="366" t="s">
        <v>277</v>
      </c>
      <c r="C100" s="366" t="s">
        <v>666</v>
      </c>
      <c r="D100" s="366">
        <v>1</v>
      </c>
      <c r="E100" s="366" t="s">
        <v>131</v>
      </c>
      <c r="F100" s="366">
        <v>1</v>
      </c>
      <c r="G100" s="366" t="s">
        <v>526</v>
      </c>
      <c r="H100" s="366" t="s">
        <v>443</v>
      </c>
      <c r="I100" s="366" t="s">
        <v>433</v>
      </c>
      <c r="N100" s="366" t="s">
        <v>667</v>
      </c>
      <c r="R100" s="366" t="s">
        <v>469</v>
      </c>
      <c r="U100" s="366">
        <v>0.77</v>
      </c>
      <c r="AA100" s="366">
        <v>27000</v>
      </c>
      <c r="AB100" s="366">
        <v>27000</v>
      </c>
      <c r="AE100" s="366">
        <v>4.1176621999999998</v>
      </c>
      <c r="AN100" s="366">
        <v>4.3956043999999999</v>
      </c>
      <c r="AO100" s="366">
        <v>162.80016280000001</v>
      </c>
      <c r="AR100" s="366">
        <v>14.81481481</v>
      </c>
      <c r="AS100" s="366">
        <v>15</v>
      </c>
      <c r="AT100" s="366">
        <v>0.4</v>
      </c>
      <c r="AV100" s="366">
        <v>27</v>
      </c>
      <c r="AW100" s="366">
        <v>7.01754386</v>
      </c>
      <c r="AX100" s="366">
        <v>9.0999999999999998E-2</v>
      </c>
      <c r="AZ100" s="366">
        <v>5.7000000000000002E-2</v>
      </c>
      <c r="BB100" s="366">
        <v>248.84907304000001</v>
      </c>
      <c r="BK100" s="366">
        <v>0.52855543000000005</v>
      </c>
    </row>
    <row r="101" spans="1:65" hidden="1">
      <c r="A101" s="366">
        <v>99</v>
      </c>
      <c r="B101" s="366" t="s">
        <v>277</v>
      </c>
      <c r="C101" s="366" t="s">
        <v>668</v>
      </c>
      <c r="D101" s="366">
        <v>1</v>
      </c>
      <c r="E101" s="366" t="s">
        <v>131</v>
      </c>
      <c r="F101" s="366">
        <v>1</v>
      </c>
      <c r="G101" s="366" t="s">
        <v>526</v>
      </c>
      <c r="H101" s="366" t="s">
        <v>443</v>
      </c>
      <c r="I101" s="366" t="s">
        <v>433</v>
      </c>
      <c r="N101" s="366" t="s">
        <v>434</v>
      </c>
      <c r="Q101" s="366" t="s">
        <v>669</v>
      </c>
      <c r="R101" s="366" t="s">
        <v>564</v>
      </c>
      <c r="U101" s="366">
        <v>0.5</v>
      </c>
      <c r="AA101" s="366">
        <v>120000</v>
      </c>
      <c r="AB101" s="366">
        <v>120000</v>
      </c>
      <c r="AE101" s="366">
        <v>32.426589800000002</v>
      </c>
      <c r="AN101" s="366">
        <v>34.61538462</v>
      </c>
      <c r="AO101" s="366">
        <v>288.46153845999999</v>
      </c>
      <c r="AR101" s="366">
        <v>22.5</v>
      </c>
      <c r="AS101" s="366">
        <v>22.5</v>
      </c>
      <c r="AT101" s="366">
        <v>2.7</v>
      </c>
      <c r="AV101" s="366">
        <v>120</v>
      </c>
      <c r="AW101" s="366">
        <v>42.857142860000003</v>
      </c>
      <c r="AX101" s="366">
        <v>7.8E-2</v>
      </c>
      <c r="AZ101" s="366">
        <v>6.3E-2</v>
      </c>
      <c r="BB101" s="366">
        <v>337.72374198</v>
      </c>
      <c r="BI101" s="366">
        <v>0.17499999999999999</v>
      </c>
      <c r="BK101" s="366">
        <v>0.17077564000000001</v>
      </c>
      <c r="BL101" s="366">
        <v>-4.2243599999999999E-3</v>
      </c>
      <c r="BM101" s="366">
        <v>-0.14622789</v>
      </c>
    </row>
    <row r="102" spans="1:65" hidden="1">
      <c r="A102" s="366">
        <v>100</v>
      </c>
      <c r="B102" s="366" t="s">
        <v>277</v>
      </c>
      <c r="C102" s="366" t="s">
        <v>670</v>
      </c>
      <c r="D102" s="366">
        <v>1</v>
      </c>
      <c r="E102" s="366" t="s">
        <v>131</v>
      </c>
      <c r="F102" s="366">
        <v>1</v>
      </c>
      <c r="G102" s="366" t="s">
        <v>476</v>
      </c>
      <c r="H102" s="366" t="s">
        <v>443</v>
      </c>
      <c r="U102" s="366">
        <v>0.22</v>
      </c>
      <c r="AA102" s="366">
        <v>171000</v>
      </c>
      <c r="AB102" s="366">
        <v>171000</v>
      </c>
      <c r="BI102" s="366">
        <v>0.22</v>
      </c>
    </row>
    <row r="103" spans="1:65" hidden="1">
      <c r="A103" s="366">
        <v>101</v>
      </c>
      <c r="B103" s="366" t="s">
        <v>277</v>
      </c>
      <c r="C103" s="366" t="s">
        <v>671</v>
      </c>
      <c r="D103" s="366">
        <v>1</v>
      </c>
      <c r="E103" s="366" t="s">
        <v>131</v>
      </c>
      <c r="F103" s="366">
        <v>1</v>
      </c>
      <c r="G103" s="366" t="s">
        <v>526</v>
      </c>
      <c r="H103" s="366" t="s">
        <v>443</v>
      </c>
      <c r="I103" s="366" t="s">
        <v>433</v>
      </c>
      <c r="N103" s="366" t="s">
        <v>672</v>
      </c>
      <c r="Q103" s="366" t="s">
        <v>673</v>
      </c>
      <c r="R103" s="366" t="s">
        <v>674</v>
      </c>
      <c r="U103" s="366">
        <v>1</v>
      </c>
      <c r="AA103" s="366">
        <v>15000</v>
      </c>
      <c r="AB103" s="366">
        <v>15000</v>
      </c>
      <c r="AR103" s="366">
        <v>13.33333333</v>
      </c>
      <c r="AS103" s="366">
        <v>14</v>
      </c>
      <c r="AT103" s="366">
        <v>0.2</v>
      </c>
      <c r="AV103" s="366">
        <v>15</v>
      </c>
      <c r="BI103" s="366">
        <v>0.17499999999999999</v>
      </c>
    </row>
    <row r="104" spans="1:65" hidden="1">
      <c r="A104" s="366">
        <v>102</v>
      </c>
      <c r="B104" s="366" t="s">
        <v>277</v>
      </c>
      <c r="C104" s="366" t="s">
        <v>675</v>
      </c>
      <c r="D104" s="366">
        <v>1</v>
      </c>
      <c r="E104" s="366" t="s">
        <v>676</v>
      </c>
      <c r="F104" s="366">
        <v>1</v>
      </c>
      <c r="G104" s="366" t="s">
        <v>526</v>
      </c>
      <c r="H104" s="366" t="s">
        <v>443</v>
      </c>
      <c r="I104" s="366" t="s">
        <v>433</v>
      </c>
      <c r="N104" s="366" t="s">
        <v>677</v>
      </c>
      <c r="Q104" s="366" t="s">
        <v>678</v>
      </c>
      <c r="R104" s="366" t="s">
        <v>674</v>
      </c>
      <c r="U104" s="366">
        <v>1</v>
      </c>
      <c r="AA104" s="366">
        <v>1062000</v>
      </c>
      <c r="AB104" s="366">
        <v>1000000</v>
      </c>
      <c r="AE104" s="366">
        <v>67.881749990000003</v>
      </c>
      <c r="AN104" s="366">
        <v>72.463768119999997</v>
      </c>
      <c r="AO104" s="366">
        <v>68.233303309999997</v>
      </c>
      <c r="AR104" s="366">
        <v>4.9905837999999996</v>
      </c>
      <c r="AS104" s="366">
        <v>5</v>
      </c>
      <c r="AT104" s="366">
        <v>5</v>
      </c>
      <c r="AV104" s="366">
        <v>1062</v>
      </c>
      <c r="AW104" s="366">
        <v>89.285714290000001</v>
      </c>
      <c r="AX104" s="366">
        <v>6.9000000000000006E-2</v>
      </c>
      <c r="AZ104" s="366">
        <v>4.7500000000000001E-2</v>
      </c>
      <c r="BB104" s="366">
        <v>99.539629210000001</v>
      </c>
      <c r="BI104" s="366">
        <v>0.15</v>
      </c>
      <c r="BK104" s="366">
        <v>0.45881298999999998</v>
      </c>
      <c r="BL104" s="366">
        <v>0.30881299000000001</v>
      </c>
      <c r="BM104" s="366">
        <v>22.37775289</v>
      </c>
    </row>
    <row r="105" spans="1:65" hidden="1">
      <c r="A105" s="366">
        <v>103</v>
      </c>
      <c r="B105" s="366" t="s">
        <v>277</v>
      </c>
      <c r="C105" s="366" t="s">
        <v>679</v>
      </c>
      <c r="D105" s="366">
        <v>1</v>
      </c>
      <c r="E105" s="366" t="s">
        <v>131</v>
      </c>
      <c r="F105" s="366">
        <v>1</v>
      </c>
      <c r="G105" s="366" t="s">
        <v>526</v>
      </c>
      <c r="H105" s="366" t="s">
        <v>443</v>
      </c>
      <c r="N105" s="366" t="s">
        <v>679</v>
      </c>
      <c r="U105" s="366">
        <v>0.5</v>
      </c>
      <c r="AA105" s="366">
        <v>22000</v>
      </c>
      <c r="AB105" s="366">
        <v>22000</v>
      </c>
      <c r="BI105" s="366">
        <v>0.17499999999999999</v>
      </c>
    </row>
    <row r="106" spans="1:65" hidden="1">
      <c r="A106" s="366">
        <v>104</v>
      </c>
      <c r="B106" s="366" t="s">
        <v>277</v>
      </c>
      <c r="C106" s="366" t="s">
        <v>886</v>
      </c>
      <c r="D106" s="366">
        <v>1</v>
      </c>
      <c r="E106" s="366" t="s">
        <v>676</v>
      </c>
      <c r="F106" s="366">
        <v>1</v>
      </c>
      <c r="G106" s="366" t="s">
        <v>526</v>
      </c>
      <c r="H106" s="366" t="s">
        <v>443</v>
      </c>
      <c r="I106" s="366" t="s">
        <v>433</v>
      </c>
      <c r="N106" s="366" t="s">
        <v>680</v>
      </c>
      <c r="Q106" s="366" t="s">
        <v>607</v>
      </c>
      <c r="R106" s="366" t="s">
        <v>564</v>
      </c>
      <c r="U106" s="366">
        <v>1</v>
      </c>
      <c r="AA106" s="366">
        <v>690000</v>
      </c>
      <c r="AB106" s="366">
        <v>690000</v>
      </c>
      <c r="AE106" s="366">
        <v>48.365746870000002</v>
      </c>
      <c r="AN106" s="366">
        <v>51.630434780000002</v>
      </c>
      <c r="AO106" s="366">
        <v>74.826717079999995</v>
      </c>
      <c r="AR106" s="366">
        <v>5.1847826100000001</v>
      </c>
      <c r="AS106" s="366">
        <v>5.1847826100000001</v>
      </c>
      <c r="AT106" s="366">
        <v>3.5625</v>
      </c>
      <c r="AV106" s="366">
        <v>690</v>
      </c>
      <c r="AW106" s="366">
        <v>64.772727270000004</v>
      </c>
      <c r="AX106" s="366">
        <v>6.9000000000000006E-2</v>
      </c>
      <c r="AZ106" s="366">
        <v>5.5E-2</v>
      </c>
      <c r="BB106" s="366">
        <v>89.14304937</v>
      </c>
      <c r="BI106" s="366">
        <v>0.125</v>
      </c>
      <c r="BK106" s="366">
        <v>0.19132647999999999</v>
      </c>
      <c r="BL106" s="366">
        <v>6.6326479999999993E-2</v>
      </c>
      <c r="BM106" s="366">
        <v>3.4244649300000001</v>
      </c>
    </row>
    <row r="107" spans="1:65" hidden="1">
      <c r="A107" s="366">
        <v>105</v>
      </c>
      <c r="B107" s="366" t="s">
        <v>277</v>
      </c>
      <c r="C107" s="366" t="s">
        <v>681</v>
      </c>
      <c r="D107" s="366">
        <v>1</v>
      </c>
      <c r="E107" s="366" t="s">
        <v>676</v>
      </c>
      <c r="F107" s="366">
        <v>1</v>
      </c>
      <c r="G107" s="366" t="s">
        <v>476</v>
      </c>
      <c r="H107" s="366" t="s">
        <v>443</v>
      </c>
      <c r="N107" s="366" t="s">
        <v>681</v>
      </c>
      <c r="U107" s="366">
        <v>1</v>
      </c>
      <c r="AA107" s="366">
        <v>150000</v>
      </c>
      <c r="AB107" s="366">
        <v>150000</v>
      </c>
      <c r="BI107" s="366">
        <v>0.125</v>
      </c>
    </row>
    <row r="108" spans="1:65" hidden="1">
      <c r="A108" s="366">
        <v>106</v>
      </c>
      <c r="B108" s="366" t="s">
        <v>127</v>
      </c>
      <c r="C108" s="366" t="s">
        <v>682</v>
      </c>
      <c r="D108" s="366">
        <v>0.5</v>
      </c>
      <c r="E108" s="366" t="s">
        <v>676</v>
      </c>
      <c r="F108" s="366">
        <v>1</v>
      </c>
      <c r="G108" s="366" t="s">
        <v>1012</v>
      </c>
      <c r="H108" s="366" t="s">
        <v>558</v>
      </c>
      <c r="I108" s="366" t="s">
        <v>433</v>
      </c>
      <c r="M108" s="366" t="s">
        <v>108</v>
      </c>
      <c r="N108" s="366" t="s">
        <v>684</v>
      </c>
      <c r="Q108" s="366" t="s">
        <v>564</v>
      </c>
      <c r="R108" s="366" t="s">
        <v>477</v>
      </c>
      <c r="U108" s="366">
        <v>0</v>
      </c>
      <c r="AA108" s="366">
        <v>35693.092400000001</v>
      </c>
      <c r="AB108" s="366">
        <v>17846.546200000001</v>
      </c>
      <c r="AD108" s="366">
        <v>1.0164839400000001</v>
      </c>
      <c r="AE108" s="366">
        <v>3.0494518300000002</v>
      </c>
      <c r="AN108" s="366">
        <v>4.0659357700000003</v>
      </c>
      <c r="AO108" s="366">
        <v>227.82759906999999</v>
      </c>
      <c r="AQ108" s="366">
        <v>170.87069930000001</v>
      </c>
      <c r="AR108" s="366">
        <v>15.947931929999999</v>
      </c>
      <c r="AS108" s="366">
        <v>15.947931929999999</v>
      </c>
      <c r="AT108" s="366">
        <v>0.28461550000000002</v>
      </c>
      <c r="AX108" s="366">
        <v>7.0000000000000007E-2</v>
      </c>
      <c r="AZ108" s="366">
        <v>5.5E-2</v>
      </c>
      <c r="BB108" s="366">
        <v>274.19612181000002</v>
      </c>
      <c r="BC108" s="366">
        <v>274.19612181000002</v>
      </c>
      <c r="BI108" s="366">
        <v>0.2</v>
      </c>
      <c r="BK108" s="366">
        <v>0.20352460999999999</v>
      </c>
      <c r="BL108" s="366">
        <v>3.5246100000000001E-3</v>
      </c>
      <c r="BM108" s="366">
        <v>1.4330829999999999E-2</v>
      </c>
    </row>
    <row r="109" spans="1:65" hidden="1">
      <c r="A109" s="366">
        <v>107</v>
      </c>
      <c r="B109" s="366" t="s">
        <v>127</v>
      </c>
      <c r="C109" s="366" t="s">
        <v>1013</v>
      </c>
      <c r="D109" s="366">
        <v>1</v>
      </c>
      <c r="E109" s="366" t="s">
        <v>676</v>
      </c>
      <c r="F109" s="366">
        <v>1</v>
      </c>
      <c r="G109" s="366" t="s">
        <v>1012</v>
      </c>
      <c r="H109" s="366" t="s">
        <v>558</v>
      </c>
      <c r="I109" s="366" t="s">
        <v>433</v>
      </c>
      <c r="M109" s="366" t="s">
        <v>108</v>
      </c>
      <c r="N109" s="366" t="s">
        <v>563</v>
      </c>
      <c r="Q109" s="366" t="s">
        <v>500</v>
      </c>
      <c r="R109" s="366" t="s">
        <v>742</v>
      </c>
      <c r="U109" s="366">
        <v>1</v>
      </c>
      <c r="AA109" s="366">
        <v>269248.19459999999</v>
      </c>
      <c r="AB109" s="366">
        <v>269248.19459999999</v>
      </c>
      <c r="AD109" s="366">
        <v>5.5988706700000002</v>
      </c>
      <c r="AE109" s="366">
        <v>16.79661201</v>
      </c>
      <c r="AN109" s="366">
        <v>22.395482680000001</v>
      </c>
      <c r="AO109" s="366">
        <v>83.177837859999997</v>
      </c>
      <c r="AQ109" s="366">
        <v>62.383378399999998</v>
      </c>
      <c r="AR109" s="366">
        <v>6.2383378399999998</v>
      </c>
      <c r="AS109" s="366">
        <v>6.2383378399999998</v>
      </c>
      <c r="AT109" s="366">
        <v>1.6796612</v>
      </c>
      <c r="AX109" s="366">
        <v>7.4999999999999997E-2</v>
      </c>
      <c r="AZ109" s="366">
        <v>5.5E-2</v>
      </c>
      <c r="BB109" s="366">
        <v>107.25704431</v>
      </c>
      <c r="BC109" s="366">
        <v>107.25704431</v>
      </c>
      <c r="BI109" s="366">
        <v>0.2</v>
      </c>
      <c r="BK109" s="366">
        <v>0.28949065000000002</v>
      </c>
      <c r="BL109" s="366">
        <v>8.9490650000000005E-2</v>
      </c>
      <c r="BM109" s="366">
        <v>2.00418633</v>
      </c>
    </row>
    <row r="110" spans="1:65" hidden="1">
      <c r="A110" s="366">
        <v>108</v>
      </c>
      <c r="B110" s="366" t="s">
        <v>127</v>
      </c>
      <c r="C110" s="366" t="s">
        <v>685</v>
      </c>
      <c r="D110" s="366">
        <v>1</v>
      </c>
      <c r="E110" s="366" t="s">
        <v>676</v>
      </c>
      <c r="F110" s="366">
        <v>1</v>
      </c>
      <c r="G110" s="366" t="s">
        <v>1012</v>
      </c>
      <c r="H110" s="366" t="s">
        <v>558</v>
      </c>
      <c r="I110" s="366" t="s">
        <v>433</v>
      </c>
      <c r="M110" s="366" t="s">
        <v>108</v>
      </c>
      <c r="N110" s="366" t="s">
        <v>686</v>
      </c>
      <c r="Q110" s="366" t="s">
        <v>674</v>
      </c>
      <c r="R110" s="366" t="s">
        <v>477</v>
      </c>
      <c r="U110" s="366">
        <v>0</v>
      </c>
      <c r="AA110" s="366">
        <v>37383.024700000002</v>
      </c>
      <c r="AB110" s="366">
        <v>37383.024700000002</v>
      </c>
      <c r="AD110" s="366">
        <v>0.77735978999999999</v>
      </c>
      <c r="AE110" s="366">
        <v>2.3320793800000001</v>
      </c>
      <c r="AN110" s="366">
        <v>3.1094391699999999</v>
      </c>
      <c r="AO110" s="366">
        <v>83.177837859999997</v>
      </c>
      <c r="AQ110" s="366">
        <v>62.383378399999998</v>
      </c>
      <c r="AR110" s="366">
        <v>6.2383378399999998</v>
      </c>
      <c r="AS110" s="366">
        <v>6.2383378399999998</v>
      </c>
      <c r="AT110" s="366">
        <v>0.23320794</v>
      </c>
      <c r="AX110" s="366">
        <v>7.4999999999999997E-2</v>
      </c>
      <c r="AZ110" s="366">
        <v>5.5E-2</v>
      </c>
      <c r="BB110" s="366">
        <v>107.25704431</v>
      </c>
      <c r="BC110" s="366">
        <v>107.25704431</v>
      </c>
      <c r="BI110" s="366">
        <v>0.2</v>
      </c>
      <c r="BK110" s="366">
        <v>0.28949065000000002</v>
      </c>
      <c r="BL110" s="366">
        <v>8.9490650000000005E-2</v>
      </c>
      <c r="BM110" s="366">
        <v>0.27826573999999998</v>
      </c>
    </row>
    <row r="111" spans="1:65" hidden="1">
      <c r="A111" s="366">
        <v>109</v>
      </c>
      <c r="B111" s="366" t="s">
        <v>127</v>
      </c>
      <c r="C111" s="366" t="s">
        <v>687</v>
      </c>
      <c r="D111" s="366">
        <v>1</v>
      </c>
      <c r="E111" s="366" t="s">
        <v>676</v>
      </c>
      <c r="F111" s="366">
        <v>1</v>
      </c>
      <c r="G111" s="366" t="s">
        <v>1012</v>
      </c>
      <c r="H111" s="366" t="s">
        <v>558</v>
      </c>
      <c r="I111" s="366" t="s">
        <v>433</v>
      </c>
      <c r="M111" s="366" t="s">
        <v>108</v>
      </c>
      <c r="N111" s="366" t="s">
        <v>686</v>
      </c>
      <c r="Q111" s="366" t="s">
        <v>461</v>
      </c>
      <c r="R111" s="366" t="s">
        <v>477</v>
      </c>
      <c r="U111" s="366">
        <v>0.5</v>
      </c>
      <c r="AA111" s="366">
        <v>99555.311100000006</v>
      </c>
      <c r="AB111" s="366">
        <v>99555.311100000006</v>
      </c>
      <c r="AD111" s="366">
        <v>2.07019888</v>
      </c>
      <c r="AE111" s="366">
        <v>6.2105966400000003</v>
      </c>
      <c r="AN111" s="366">
        <v>8.2807955300000007</v>
      </c>
      <c r="AO111" s="366">
        <v>83.177837859999997</v>
      </c>
      <c r="AQ111" s="366">
        <v>62.383378399999998</v>
      </c>
      <c r="AR111" s="366">
        <v>6.2383378399999998</v>
      </c>
      <c r="AS111" s="366">
        <v>6.2383378399999998</v>
      </c>
      <c r="AT111" s="366">
        <v>0.62105966000000001</v>
      </c>
      <c r="AX111" s="366">
        <v>7.4999999999999997E-2</v>
      </c>
      <c r="AZ111" s="366">
        <v>5.5E-2</v>
      </c>
      <c r="BB111" s="366">
        <v>107.25704431</v>
      </c>
      <c r="BC111" s="366">
        <v>107.25704431</v>
      </c>
      <c r="BI111" s="366">
        <v>0.2</v>
      </c>
      <c r="BK111" s="366">
        <v>0.28949065000000002</v>
      </c>
      <c r="BL111" s="366">
        <v>8.9490650000000005E-2</v>
      </c>
      <c r="BM111" s="366">
        <v>0.74105378</v>
      </c>
    </row>
    <row r="112" spans="1:65" hidden="1">
      <c r="A112" s="366">
        <v>110</v>
      </c>
      <c r="B112" s="366" t="s">
        <v>127</v>
      </c>
      <c r="C112" s="366" t="s">
        <v>688</v>
      </c>
      <c r="D112" s="366">
        <v>1</v>
      </c>
      <c r="E112" s="366" t="s">
        <v>676</v>
      </c>
      <c r="F112" s="366">
        <v>1</v>
      </c>
      <c r="G112" s="366" t="s">
        <v>683</v>
      </c>
      <c r="H112" s="366" t="s">
        <v>558</v>
      </c>
      <c r="I112" s="366" t="s">
        <v>433</v>
      </c>
      <c r="N112" s="366" t="s">
        <v>686</v>
      </c>
      <c r="Q112" s="366" t="s">
        <v>607</v>
      </c>
      <c r="R112" s="366" t="s">
        <v>564</v>
      </c>
      <c r="U112" s="366">
        <v>0</v>
      </c>
      <c r="AA112" s="366">
        <v>47027.479099999997</v>
      </c>
      <c r="AB112" s="366">
        <v>47027.479099999997</v>
      </c>
      <c r="AD112" s="366">
        <v>3.4973137599999999</v>
      </c>
      <c r="AE112" s="366">
        <v>4.43329357</v>
      </c>
      <c r="AN112" s="366">
        <v>7.93060733</v>
      </c>
      <c r="AO112" s="366">
        <v>168.63773008000001</v>
      </c>
      <c r="AQ112" s="366">
        <v>94.270278790000006</v>
      </c>
      <c r="AR112" s="366">
        <v>11.066585010000001</v>
      </c>
      <c r="AS112" s="366">
        <v>11.066585010000001</v>
      </c>
      <c r="AT112" s="366">
        <v>0.52043360000000005</v>
      </c>
      <c r="AX112" s="366">
        <v>6.5623420000000002E-2</v>
      </c>
      <c r="AZ112" s="366">
        <v>0.05</v>
      </c>
      <c r="BB112" s="366">
        <v>209.29711608</v>
      </c>
      <c r="BC112" s="366">
        <v>209.29711608</v>
      </c>
      <c r="BI112" s="366">
        <v>0.25</v>
      </c>
      <c r="BK112" s="366">
        <v>0.24110492</v>
      </c>
      <c r="BL112" s="366">
        <v>-8.8950799999999997E-3</v>
      </c>
      <c r="BM112" s="366">
        <v>-7.0543410000000001E-2</v>
      </c>
    </row>
    <row r="113" spans="1:65" hidden="1">
      <c r="A113" s="366">
        <v>111</v>
      </c>
      <c r="B113" s="366" t="s">
        <v>127</v>
      </c>
      <c r="C113" s="366" t="s">
        <v>689</v>
      </c>
      <c r="D113" s="366">
        <v>1</v>
      </c>
      <c r="E113" s="366" t="s">
        <v>518</v>
      </c>
      <c r="F113" s="366">
        <v>1</v>
      </c>
      <c r="G113" s="366" t="s">
        <v>683</v>
      </c>
      <c r="H113" s="366" t="s">
        <v>558</v>
      </c>
      <c r="I113" s="366" t="s">
        <v>433</v>
      </c>
      <c r="N113" s="366" t="s">
        <v>690</v>
      </c>
      <c r="Q113" s="366" t="s">
        <v>678</v>
      </c>
      <c r="R113" s="366" t="s">
        <v>500</v>
      </c>
      <c r="U113" s="366">
        <v>0.5</v>
      </c>
      <c r="AA113" s="366">
        <v>64917.080900000001</v>
      </c>
      <c r="AB113" s="366">
        <v>64917.080900000001</v>
      </c>
      <c r="AD113" s="366">
        <v>4.82771785</v>
      </c>
      <c r="AE113" s="366">
        <v>6.1197513099999998</v>
      </c>
      <c r="AN113" s="366">
        <v>10.94746917</v>
      </c>
      <c r="AO113" s="366">
        <v>168.63773008000001</v>
      </c>
      <c r="AQ113" s="366">
        <v>94.270278790000006</v>
      </c>
      <c r="AR113" s="366">
        <v>11.066585010000001</v>
      </c>
      <c r="AS113" s="366">
        <v>11.066585010000001</v>
      </c>
      <c r="AT113" s="366">
        <v>0.71841038999999995</v>
      </c>
      <c r="AX113" s="366">
        <v>6.5623420000000002E-2</v>
      </c>
      <c r="AZ113" s="366">
        <v>0.05</v>
      </c>
      <c r="BB113" s="366">
        <v>209.29711608</v>
      </c>
      <c r="BC113" s="366">
        <v>209.29711608</v>
      </c>
      <c r="BI113" s="366">
        <v>0.2</v>
      </c>
      <c r="BK113" s="366">
        <v>0.24110492</v>
      </c>
      <c r="BL113" s="366">
        <v>4.1104920000000003E-2</v>
      </c>
      <c r="BM113" s="366">
        <v>0.44999482000000002</v>
      </c>
    </row>
    <row r="114" spans="1:65" hidden="1">
      <c r="A114" s="366">
        <v>112</v>
      </c>
      <c r="B114" s="366" t="s">
        <v>127</v>
      </c>
      <c r="C114" s="366" t="s">
        <v>691</v>
      </c>
      <c r="D114" s="366">
        <v>1</v>
      </c>
      <c r="E114" s="366" t="s">
        <v>129</v>
      </c>
      <c r="F114" s="366">
        <v>1</v>
      </c>
      <c r="G114" s="366" t="s">
        <v>1012</v>
      </c>
      <c r="H114" s="366" t="s">
        <v>558</v>
      </c>
      <c r="I114" s="366" t="s">
        <v>433</v>
      </c>
      <c r="M114" s="366" t="s">
        <v>108</v>
      </c>
      <c r="N114" s="366" t="s">
        <v>692</v>
      </c>
      <c r="Q114" s="366" t="s">
        <v>464</v>
      </c>
      <c r="R114" s="366" t="s">
        <v>472</v>
      </c>
      <c r="U114" s="366">
        <v>1</v>
      </c>
      <c r="AA114" s="366">
        <v>51677.483899999999</v>
      </c>
      <c r="AB114" s="366">
        <v>51677.483899999999</v>
      </c>
      <c r="AD114" s="366">
        <v>1.07460534</v>
      </c>
      <c r="AE114" s="366">
        <v>3.2238160300000001</v>
      </c>
      <c r="AN114" s="366">
        <v>4.2984213799999997</v>
      </c>
      <c r="AO114" s="366">
        <v>83.177837859999997</v>
      </c>
      <c r="AQ114" s="366">
        <v>62.383378399999998</v>
      </c>
      <c r="AR114" s="366">
        <v>6.2383378399999998</v>
      </c>
      <c r="AS114" s="366">
        <v>6.2383378399999998</v>
      </c>
      <c r="AT114" s="366">
        <v>0.32238159999999999</v>
      </c>
      <c r="AX114" s="366">
        <v>7.4999999999999997E-2</v>
      </c>
      <c r="AZ114" s="366">
        <v>5.5E-2</v>
      </c>
      <c r="BB114" s="366">
        <v>107.25704431</v>
      </c>
      <c r="BC114" s="366">
        <v>107.25704431</v>
      </c>
      <c r="BI114" s="366">
        <v>0.2</v>
      </c>
      <c r="BK114" s="366">
        <v>0.28949065000000002</v>
      </c>
      <c r="BL114" s="366">
        <v>8.9490650000000005E-2</v>
      </c>
      <c r="BM114" s="366">
        <v>0.38466853000000001</v>
      </c>
    </row>
    <row r="115" spans="1:65" hidden="1">
      <c r="A115" s="366">
        <v>113</v>
      </c>
      <c r="B115" s="366" t="s">
        <v>127</v>
      </c>
      <c r="C115" s="366" t="s">
        <v>693</v>
      </c>
      <c r="D115" s="366">
        <v>1</v>
      </c>
      <c r="E115" s="366" t="s">
        <v>676</v>
      </c>
      <c r="F115" s="366">
        <v>1</v>
      </c>
      <c r="G115" s="366" t="s">
        <v>694</v>
      </c>
      <c r="H115" s="366" t="s">
        <v>558</v>
      </c>
      <c r="I115" s="366" t="s">
        <v>433</v>
      </c>
      <c r="N115" s="366" t="s">
        <v>695</v>
      </c>
      <c r="Q115" s="366" t="s">
        <v>678</v>
      </c>
      <c r="R115" s="366" t="s">
        <v>466</v>
      </c>
      <c r="U115" s="366">
        <v>0</v>
      </c>
      <c r="AA115" s="366">
        <v>59502.839200000002</v>
      </c>
      <c r="AB115" s="366">
        <v>59502.839200000002</v>
      </c>
      <c r="AD115" s="366">
        <v>2.92632789</v>
      </c>
      <c r="AE115" s="366">
        <v>5.3527848200000001</v>
      </c>
      <c r="AN115" s="366">
        <v>8.2791127000000007</v>
      </c>
      <c r="AO115" s="366">
        <v>139.13811195</v>
      </c>
      <c r="AQ115" s="366">
        <v>89.95847741</v>
      </c>
      <c r="AR115" s="366">
        <v>10.610374889999999</v>
      </c>
      <c r="AS115" s="366">
        <v>10.610374889999999</v>
      </c>
      <c r="AT115" s="366">
        <v>0.63134743000000004</v>
      </c>
      <c r="AX115" s="366">
        <v>7.6257859999999997E-2</v>
      </c>
      <c r="AZ115" s="366">
        <v>0.05</v>
      </c>
      <c r="BB115" s="366">
        <v>200.66902863999999</v>
      </c>
      <c r="BC115" s="366">
        <v>200.66902863999999</v>
      </c>
      <c r="BI115" s="366">
        <v>0.25</v>
      </c>
      <c r="BK115" s="366">
        <v>0.44222906000000001</v>
      </c>
      <c r="BL115" s="366">
        <v>0.19222906000000001</v>
      </c>
      <c r="BM115" s="366">
        <v>1.59148607</v>
      </c>
    </row>
    <row r="116" spans="1:65" hidden="1">
      <c r="A116" s="366">
        <v>114</v>
      </c>
      <c r="B116" s="366" t="s">
        <v>127</v>
      </c>
      <c r="C116" s="366" t="s">
        <v>696</v>
      </c>
      <c r="D116" s="366">
        <v>1</v>
      </c>
      <c r="E116" s="366" t="s">
        <v>130</v>
      </c>
      <c r="F116" s="366">
        <v>1</v>
      </c>
      <c r="G116" s="366" t="s">
        <v>683</v>
      </c>
      <c r="H116" s="366" t="s">
        <v>558</v>
      </c>
      <c r="I116" s="366" t="s">
        <v>433</v>
      </c>
      <c r="N116" s="366" t="s">
        <v>695</v>
      </c>
      <c r="Q116" s="366" t="s">
        <v>697</v>
      </c>
      <c r="R116" s="366" t="s">
        <v>698</v>
      </c>
      <c r="U116" s="366">
        <v>0.8</v>
      </c>
      <c r="AA116" s="366">
        <v>72204.241200000004</v>
      </c>
      <c r="AB116" s="366">
        <v>72204.241200000004</v>
      </c>
      <c r="AD116" s="366">
        <v>5.3696453899999996</v>
      </c>
      <c r="AE116" s="366">
        <v>6.8067139499999998</v>
      </c>
      <c r="AN116" s="366">
        <v>12.176359339999999</v>
      </c>
      <c r="AO116" s="366">
        <v>168.63773008000001</v>
      </c>
      <c r="AQ116" s="366">
        <v>94.270278790000006</v>
      </c>
      <c r="AR116" s="366">
        <v>11.066585010000001</v>
      </c>
      <c r="AS116" s="366">
        <v>11.066585010000001</v>
      </c>
      <c r="AT116" s="366">
        <v>0.79905437000000001</v>
      </c>
      <c r="AX116" s="366">
        <v>6.5623420000000002E-2</v>
      </c>
      <c r="AZ116" s="366">
        <v>0.05</v>
      </c>
      <c r="BB116" s="366">
        <v>209.29711608</v>
      </c>
      <c r="BC116" s="366">
        <v>209.29711608</v>
      </c>
      <c r="BI116" s="366">
        <v>0.15</v>
      </c>
      <c r="BK116" s="366">
        <v>0.24110492</v>
      </c>
      <c r="BL116" s="366">
        <v>9.1104920000000006E-2</v>
      </c>
      <c r="BM116" s="366">
        <v>1.1093262100000001</v>
      </c>
    </row>
    <row r="117" spans="1:65" hidden="1">
      <c r="A117" s="366">
        <v>115</v>
      </c>
      <c r="B117" s="366" t="s">
        <v>127</v>
      </c>
      <c r="C117" s="366" t="s">
        <v>699</v>
      </c>
      <c r="D117" s="366">
        <v>1</v>
      </c>
      <c r="E117" s="366" t="s">
        <v>676</v>
      </c>
      <c r="F117" s="366">
        <v>1</v>
      </c>
      <c r="G117" s="366" t="s">
        <v>1012</v>
      </c>
      <c r="H117" s="366" t="s">
        <v>558</v>
      </c>
      <c r="I117" s="366" t="s">
        <v>433</v>
      </c>
      <c r="M117" s="366" t="s">
        <v>108</v>
      </c>
      <c r="N117" s="366" t="s">
        <v>695</v>
      </c>
      <c r="Q117" s="366" t="s">
        <v>495</v>
      </c>
      <c r="R117" s="366" t="s">
        <v>472</v>
      </c>
      <c r="U117" s="366">
        <v>0</v>
      </c>
      <c r="AA117" s="366">
        <v>28621.2101</v>
      </c>
      <c r="AB117" s="366">
        <v>28621.2101</v>
      </c>
      <c r="AD117" s="366">
        <v>0.59516259000000005</v>
      </c>
      <c r="AE117" s="366">
        <v>1.78548778</v>
      </c>
      <c r="AN117" s="366">
        <v>2.3806503700000001</v>
      </c>
      <c r="AO117" s="366">
        <v>83.177837859999997</v>
      </c>
      <c r="AQ117" s="366">
        <v>62.383378399999998</v>
      </c>
      <c r="AR117" s="366">
        <v>6.2383378399999998</v>
      </c>
      <c r="AS117" s="366">
        <v>6.2383378399999998</v>
      </c>
      <c r="AT117" s="366">
        <v>0.17854877999999999</v>
      </c>
      <c r="AX117" s="366">
        <v>7.4999999999999997E-2</v>
      </c>
      <c r="AZ117" s="366">
        <v>5.5E-2</v>
      </c>
      <c r="BB117" s="366">
        <v>107.25704431</v>
      </c>
      <c r="BC117" s="366">
        <v>107.25704431</v>
      </c>
      <c r="BI117" s="366">
        <v>0.2</v>
      </c>
      <c r="BK117" s="366">
        <v>0.28949065000000002</v>
      </c>
      <c r="BL117" s="366">
        <v>8.9490650000000005E-2</v>
      </c>
      <c r="BM117" s="366">
        <v>0.21304595000000001</v>
      </c>
    </row>
    <row r="118" spans="1:65" hidden="1">
      <c r="A118" s="366">
        <v>116</v>
      </c>
      <c r="B118" s="366" t="s">
        <v>127</v>
      </c>
      <c r="C118" s="366" t="s">
        <v>701</v>
      </c>
      <c r="D118" s="366">
        <v>1</v>
      </c>
      <c r="E118" s="366" t="s">
        <v>676</v>
      </c>
      <c r="F118" s="366">
        <v>1</v>
      </c>
      <c r="G118" s="366" t="s">
        <v>694</v>
      </c>
      <c r="H118" s="366" t="s">
        <v>558</v>
      </c>
      <c r="I118" s="366" t="s">
        <v>433</v>
      </c>
      <c r="N118" s="366" t="s">
        <v>695</v>
      </c>
      <c r="Q118" s="366" t="s">
        <v>613</v>
      </c>
      <c r="R118" s="366" t="s">
        <v>552</v>
      </c>
      <c r="U118" s="366">
        <v>0</v>
      </c>
      <c r="AA118" s="366">
        <v>70546.600600000005</v>
      </c>
      <c r="AB118" s="366">
        <v>70546.600600000005</v>
      </c>
      <c r="AD118" s="366">
        <v>3.4694560399999999</v>
      </c>
      <c r="AE118" s="366">
        <v>6.3462647800000003</v>
      </c>
      <c r="AN118" s="366">
        <v>9.8157208100000002</v>
      </c>
      <c r="AO118" s="366">
        <v>139.13811195</v>
      </c>
      <c r="AQ118" s="366">
        <v>89.95847741</v>
      </c>
      <c r="AR118" s="366">
        <v>10.610374889999999</v>
      </c>
      <c r="AS118" s="366">
        <v>10.610374889999999</v>
      </c>
      <c r="AT118" s="366">
        <v>0.74852587999999998</v>
      </c>
      <c r="AX118" s="366">
        <v>7.6257859999999997E-2</v>
      </c>
      <c r="AZ118" s="366">
        <v>0.05</v>
      </c>
      <c r="BB118" s="366">
        <v>200.66902863999999</v>
      </c>
      <c r="BC118" s="366">
        <v>200.66902863999999</v>
      </c>
      <c r="BI118" s="366">
        <v>0.25</v>
      </c>
      <c r="BK118" s="366">
        <v>0.44222906000000001</v>
      </c>
      <c r="BL118" s="366">
        <v>0.19222906000000001</v>
      </c>
      <c r="BM118" s="366">
        <v>1.8868668</v>
      </c>
    </row>
    <row r="119" spans="1:65" hidden="1">
      <c r="A119" s="366">
        <v>117</v>
      </c>
      <c r="B119" s="366" t="s">
        <v>127</v>
      </c>
      <c r="C119" s="366" t="s">
        <v>702</v>
      </c>
      <c r="D119" s="366">
        <v>1</v>
      </c>
      <c r="E119" s="366" t="s">
        <v>676</v>
      </c>
      <c r="F119" s="366">
        <v>1</v>
      </c>
      <c r="G119" s="366" t="s">
        <v>1012</v>
      </c>
      <c r="H119" s="366" t="s">
        <v>558</v>
      </c>
      <c r="I119" s="366" t="s">
        <v>433</v>
      </c>
      <c r="M119" s="366" t="s">
        <v>108</v>
      </c>
      <c r="N119" s="366" t="s">
        <v>695</v>
      </c>
      <c r="Q119" s="366" t="s">
        <v>607</v>
      </c>
      <c r="R119" s="366" t="s">
        <v>700</v>
      </c>
      <c r="U119" s="366">
        <v>1</v>
      </c>
      <c r="AA119" s="366">
        <v>117391.0934</v>
      </c>
      <c r="AB119" s="366">
        <v>117391.0934</v>
      </c>
      <c r="AD119" s="366">
        <v>2.4410843299999998</v>
      </c>
      <c r="AE119" s="366">
        <v>7.3232530000000002</v>
      </c>
      <c r="AN119" s="366">
        <v>9.76433733</v>
      </c>
      <c r="AO119" s="366">
        <v>83.177837859999997</v>
      </c>
      <c r="AQ119" s="366">
        <v>62.383378399999998</v>
      </c>
      <c r="AR119" s="366">
        <v>6.2383378399999998</v>
      </c>
      <c r="AS119" s="366">
        <v>6.2383378399999998</v>
      </c>
      <c r="AT119" s="366">
        <v>0.73232529999999996</v>
      </c>
      <c r="AX119" s="366">
        <v>7.4999999999999997E-2</v>
      </c>
      <c r="AZ119" s="366">
        <v>5.5E-2</v>
      </c>
      <c r="BB119" s="366">
        <v>107.25704431</v>
      </c>
      <c r="BC119" s="366">
        <v>107.25704431</v>
      </c>
      <c r="BI119" s="366">
        <v>0.2</v>
      </c>
      <c r="BK119" s="366">
        <v>0.28949065000000002</v>
      </c>
      <c r="BL119" s="366">
        <v>8.9490650000000005E-2</v>
      </c>
      <c r="BM119" s="366">
        <v>0.87381690999999995</v>
      </c>
    </row>
    <row r="120" spans="1:65" hidden="1">
      <c r="A120" s="366">
        <v>118</v>
      </c>
      <c r="B120" s="366" t="s">
        <v>127</v>
      </c>
      <c r="C120" s="366" t="s">
        <v>703</v>
      </c>
      <c r="D120" s="366">
        <v>0.5</v>
      </c>
      <c r="E120" s="366" t="s">
        <v>676</v>
      </c>
      <c r="F120" s="366">
        <v>1</v>
      </c>
      <c r="G120" s="366" t="s">
        <v>694</v>
      </c>
      <c r="H120" s="366" t="s">
        <v>558</v>
      </c>
      <c r="I120" s="366" t="s">
        <v>433</v>
      </c>
      <c r="N120" s="366" t="s">
        <v>704</v>
      </c>
      <c r="Q120" s="366" t="s">
        <v>476</v>
      </c>
      <c r="R120" s="366" t="s">
        <v>466</v>
      </c>
      <c r="U120" s="366">
        <v>1</v>
      </c>
      <c r="AA120" s="366">
        <v>382376.78360000002</v>
      </c>
      <c r="AB120" s="366">
        <v>191188.39180000001</v>
      </c>
      <c r="AD120" s="366">
        <v>7.68</v>
      </c>
      <c r="AE120" s="366">
        <v>2.82</v>
      </c>
      <c r="AN120" s="366">
        <v>10.5</v>
      </c>
      <c r="AO120" s="366">
        <v>54.919652290000002</v>
      </c>
      <c r="AQ120" s="366">
        <v>14.749849469999999</v>
      </c>
      <c r="AR120" s="366">
        <v>4.1843544599999998</v>
      </c>
      <c r="AS120" s="366">
        <v>4.1843544599999998</v>
      </c>
      <c r="AT120" s="366">
        <v>0.8</v>
      </c>
      <c r="AX120" s="366">
        <v>7.6190480000000005E-2</v>
      </c>
      <c r="AZ120" s="366">
        <v>6.6000000000000003E-2</v>
      </c>
      <c r="BB120" s="366">
        <v>59.952066199999997</v>
      </c>
      <c r="BC120" s="366">
        <v>59.952066199999997</v>
      </c>
      <c r="BI120" s="366">
        <v>0.15</v>
      </c>
      <c r="BK120" s="366">
        <v>9.16323E-2</v>
      </c>
      <c r="BL120" s="366">
        <v>-5.8367700000000002E-2</v>
      </c>
      <c r="BM120" s="366">
        <v>-0.61286088000000005</v>
      </c>
    </row>
    <row r="121" spans="1:65" hidden="1">
      <c r="A121" s="366">
        <v>119</v>
      </c>
      <c r="B121" s="366" t="s">
        <v>127</v>
      </c>
      <c r="C121" s="366" t="s">
        <v>705</v>
      </c>
      <c r="D121" s="366">
        <v>1</v>
      </c>
      <c r="E121" s="366" t="s">
        <v>676</v>
      </c>
      <c r="F121" s="366">
        <v>1</v>
      </c>
      <c r="G121" s="366" t="s">
        <v>694</v>
      </c>
      <c r="H121" s="366" t="s">
        <v>558</v>
      </c>
      <c r="I121" s="366" t="s">
        <v>433</v>
      </c>
      <c r="N121" s="366" t="s">
        <v>704</v>
      </c>
      <c r="Q121" s="366" t="s">
        <v>613</v>
      </c>
      <c r="R121" s="366" t="s">
        <v>552</v>
      </c>
      <c r="U121" s="366">
        <v>0</v>
      </c>
      <c r="AA121" s="366">
        <v>48566.716800000002</v>
      </c>
      <c r="AB121" s="366">
        <v>48566.716800000002</v>
      </c>
      <c r="AD121" s="366">
        <v>8.3876950000000006E-2</v>
      </c>
      <c r="AE121" s="366">
        <v>9.7499299999999997E-2</v>
      </c>
      <c r="AN121" s="366">
        <v>0.18137624999999999</v>
      </c>
      <c r="AO121" s="366">
        <v>3.7345791699999999</v>
      </c>
      <c r="AQ121" s="366">
        <v>2.0075332800000001</v>
      </c>
      <c r="AR121" s="366">
        <v>0.29414406999999998</v>
      </c>
      <c r="AS121" s="366">
        <v>0.29414406999999998</v>
      </c>
      <c r="AT121" s="366">
        <v>1.4285610000000001E-2</v>
      </c>
      <c r="AX121" s="366">
        <v>7.8762310000000002E-2</v>
      </c>
      <c r="AZ121" s="366">
        <v>6.6000000000000003E-2</v>
      </c>
      <c r="BB121" s="366">
        <v>4.2144003200000002</v>
      </c>
      <c r="BC121" s="366">
        <v>4.2144003200000002</v>
      </c>
      <c r="BI121" s="366">
        <v>0.25</v>
      </c>
      <c r="BK121" s="366">
        <v>0.12848064000000001</v>
      </c>
      <c r="BL121" s="366">
        <v>-0.12151936000000001</v>
      </c>
      <c r="BM121" s="366">
        <v>-2.204072E-2</v>
      </c>
    </row>
    <row r="122" spans="1:65" hidden="1">
      <c r="A122" s="366">
        <v>120</v>
      </c>
      <c r="B122" s="366" t="s">
        <v>127</v>
      </c>
      <c r="C122" s="366" t="s">
        <v>706</v>
      </c>
      <c r="D122" s="366">
        <v>1</v>
      </c>
      <c r="E122" s="366" t="s">
        <v>676</v>
      </c>
      <c r="F122" s="366">
        <v>1</v>
      </c>
      <c r="G122" s="366" t="s">
        <v>683</v>
      </c>
      <c r="H122" s="366" t="s">
        <v>558</v>
      </c>
      <c r="I122" s="366" t="s">
        <v>433</v>
      </c>
      <c r="N122" s="366" t="s">
        <v>707</v>
      </c>
      <c r="Q122" s="366" t="s">
        <v>607</v>
      </c>
      <c r="R122" s="366" t="s">
        <v>564</v>
      </c>
      <c r="U122" s="366">
        <v>1</v>
      </c>
      <c r="AA122" s="366">
        <v>209583.89689999999</v>
      </c>
      <c r="AB122" s="366">
        <v>209583.89689999999</v>
      </c>
      <c r="AD122" s="366">
        <v>7.6710425500000001</v>
      </c>
      <c r="AE122" s="366">
        <v>6.1210716200000004</v>
      </c>
      <c r="AN122" s="366">
        <v>13.79211417</v>
      </c>
      <c r="AO122" s="366">
        <v>65.807127249999994</v>
      </c>
      <c r="AQ122" s="366">
        <v>29.205829810000001</v>
      </c>
      <c r="AR122" s="366">
        <v>5.5361551499999999</v>
      </c>
      <c r="AS122" s="366">
        <v>5.5361551499999999</v>
      </c>
      <c r="AT122" s="366">
        <v>1.1602889700000001</v>
      </c>
      <c r="AX122" s="366">
        <v>8.4126980000000004E-2</v>
      </c>
      <c r="AZ122" s="366">
        <v>6.6000000000000003E-2</v>
      </c>
      <c r="BB122" s="366">
        <v>79.320225660000006</v>
      </c>
      <c r="BC122" s="366">
        <v>79.320225660000006</v>
      </c>
      <c r="BI122" s="366">
        <v>0.15</v>
      </c>
      <c r="BK122" s="366">
        <v>0.20534399</v>
      </c>
      <c r="BL122" s="366">
        <v>5.5343990000000003E-2</v>
      </c>
      <c r="BM122" s="366">
        <v>0.76331070000000001</v>
      </c>
    </row>
    <row r="123" spans="1:65" hidden="1">
      <c r="A123" s="366">
        <v>121</v>
      </c>
      <c r="B123" s="366" t="s">
        <v>127</v>
      </c>
      <c r="C123" s="366" t="s">
        <v>708</v>
      </c>
      <c r="D123" s="366">
        <v>1</v>
      </c>
      <c r="E123" s="366" t="s">
        <v>676</v>
      </c>
      <c r="F123" s="366">
        <v>1</v>
      </c>
      <c r="G123" s="366" t="s">
        <v>694</v>
      </c>
      <c r="H123" s="366" t="s">
        <v>558</v>
      </c>
      <c r="I123" s="366" t="s">
        <v>433</v>
      </c>
      <c r="N123" s="366" t="s">
        <v>708</v>
      </c>
      <c r="Q123" s="366" t="s">
        <v>673</v>
      </c>
      <c r="R123" s="366" t="s">
        <v>504</v>
      </c>
      <c r="U123" s="366">
        <v>1</v>
      </c>
      <c r="AA123" s="366">
        <v>49191.023000000001</v>
      </c>
      <c r="AB123" s="366">
        <v>49191.023000000001</v>
      </c>
      <c r="AD123" s="366">
        <v>8.4955149999999993E-2</v>
      </c>
      <c r="AE123" s="366">
        <v>9.8752619999999999E-2</v>
      </c>
      <c r="AN123" s="366">
        <v>0.18370776999999999</v>
      </c>
      <c r="AO123" s="366">
        <v>3.7345791699999999</v>
      </c>
      <c r="AQ123" s="366">
        <v>2.0075332800000001</v>
      </c>
      <c r="AR123" s="366">
        <v>0.29819727000000001</v>
      </c>
      <c r="AS123" s="366">
        <v>0.29819727000000001</v>
      </c>
      <c r="AT123" s="366">
        <v>1.466863E-2</v>
      </c>
      <c r="AX123" s="366">
        <v>7.9847619999999994E-2</v>
      </c>
      <c r="AZ123" s="366">
        <v>6.6000000000000003E-2</v>
      </c>
      <c r="BB123" s="366">
        <v>4.2724732300000001</v>
      </c>
      <c r="BC123" s="366">
        <v>4.2724732300000001</v>
      </c>
      <c r="BI123" s="366">
        <v>0.15</v>
      </c>
      <c r="BK123" s="366">
        <v>0.14403070000000001</v>
      </c>
      <c r="BL123" s="366">
        <v>-5.9693000000000003E-3</v>
      </c>
      <c r="BM123" s="366">
        <v>-1.09661E-3</v>
      </c>
    </row>
    <row r="124" spans="1:65" hidden="1">
      <c r="A124" s="366">
        <v>122</v>
      </c>
      <c r="B124" s="366" t="s">
        <v>127</v>
      </c>
      <c r="C124" s="366" t="s">
        <v>709</v>
      </c>
      <c r="D124" s="366">
        <v>1</v>
      </c>
      <c r="E124" s="366" t="s">
        <v>676</v>
      </c>
      <c r="F124" s="366">
        <v>1</v>
      </c>
      <c r="G124" s="366" t="s">
        <v>683</v>
      </c>
      <c r="H124" s="366" t="s">
        <v>558</v>
      </c>
      <c r="I124" s="366" t="s">
        <v>433</v>
      </c>
      <c r="N124" s="366" t="s">
        <v>710</v>
      </c>
      <c r="Q124" s="366" t="s">
        <v>461</v>
      </c>
      <c r="R124" s="366" t="s">
        <v>500</v>
      </c>
      <c r="U124" s="366">
        <v>1</v>
      </c>
      <c r="AA124" s="366">
        <v>71526.1155</v>
      </c>
      <c r="AB124" s="366">
        <v>71526.1155</v>
      </c>
      <c r="AD124" s="366">
        <v>2.6179486299999999</v>
      </c>
      <c r="AE124" s="366">
        <v>2.0889795599999998</v>
      </c>
      <c r="AN124" s="366">
        <v>4.7069281800000002</v>
      </c>
      <c r="AO124" s="366">
        <v>65.807127249999994</v>
      </c>
      <c r="AQ124" s="366">
        <v>29.205829810000001</v>
      </c>
      <c r="AR124" s="366">
        <v>5.5361551499999999</v>
      </c>
      <c r="AS124" s="366">
        <v>5.5361551499999999</v>
      </c>
      <c r="AT124" s="366">
        <v>0.39597967000000001</v>
      </c>
      <c r="AX124" s="366">
        <v>8.4126980000000004E-2</v>
      </c>
      <c r="AZ124" s="366">
        <v>6.6000000000000003E-2</v>
      </c>
      <c r="BB124" s="366">
        <v>79.320225660000006</v>
      </c>
      <c r="BC124" s="366">
        <v>79.320225660000006</v>
      </c>
      <c r="BI124" s="366">
        <v>0.15</v>
      </c>
      <c r="BK124" s="366">
        <v>0.20534399</v>
      </c>
      <c r="BL124" s="366">
        <v>5.5343990000000003E-2</v>
      </c>
      <c r="BM124" s="366">
        <v>0.26050021000000001</v>
      </c>
    </row>
    <row r="125" spans="1:65" hidden="1">
      <c r="A125" s="366">
        <v>123</v>
      </c>
      <c r="B125" s="366" t="s">
        <v>127</v>
      </c>
      <c r="C125" s="366" t="s">
        <v>942</v>
      </c>
      <c r="D125" s="366">
        <v>1</v>
      </c>
      <c r="E125" s="366" t="s">
        <v>676</v>
      </c>
      <c r="F125" s="366">
        <v>1</v>
      </c>
      <c r="G125" s="366" t="s">
        <v>1012</v>
      </c>
      <c r="H125" s="366" t="s">
        <v>558</v>
      </c>
      <c r="I125" s="366" t="s">
        <v>433</v>
      </c>
      <c r="M125" s="366" t="s">
        <v>943</v>
      </c>
      <c r="N125" s="366" t="s">
        <v>710</v>
      </c>
      <c r="Q125" s="366" t="s">
        <v>607</v>
      </c>
      <c r="R125" s="366" t="s">
        <v>566</v>
      </c>
      <c r="U125" s="366">
        <v>0</v>
      </c>
      <c r="AA125" s="366">
        <v>50019.8433</v>
      </c>
      <c r="AB125" s="366">
        <v>50019.8433</v>
      </c>
      <c r="AD125" s="366">
        <v>1.3500550899999999</v>
      </c>
      <c r="AE125" s="366">
        <v>1.4608710300000001</v>
      </c>
      <c r="AN125" s="366">
        <v>5.4002203499999997</v>
      </c>
      <c r="AO125" s="366">
        <v>107.96156068000001</v>
      </c>
      <c r="AQ125" s="366">
        <v>29.205829810000001</v>
      </c>
      <c r="AR125" s="366">
        <v>9.1767326600000008</v>
      </c>
      <c r="AS125" s="366">
        <v>9.1767326600000008</v>
      </c>
      <c r="AT125" s="366">
        <v>0.45901872999999999</v>
      </c>
      <c r="AX125" s="366">
        <v>8.5000000000000006E-2</v>
      </c>
      <c r="AZ125" s="366">
        <v>6.25E-2</v>
      </c>
      <c r="BB125" s="366">
        <v>138.84418206000001</v>
      </c>
      <c r="BC125" s="366">
        <v>138.84418206000001</v>
      </c>
      <c r="BI125" s="366">
        <v>0.25</v>
      </c>
      <c r="BK125" s="366">
        <v>0.28605201000000002</v>
      </c>
      <c r="BL125" s="366">
        <v>3.6052010000000002E-2</v>
      </c>
      <c r="BM125" s="366">
        <v>0.1946888</v>
      </c>
    </row>
    <row r="126" spans="1:65" hidden="1">
      <c r="A126" s="366">
        <v>124</v>
      </c>
      <c r="B126" s="366" t="s">
        <v>127</v>
      </c>
      <c r="C126" s="366" t="s">
        <v>711</v>
      </c>
      <c r="D126" s="366">
        <v>1</v>
      </c>
      <c r="E126" s="366" t="s">
        <v>676</v>
      </c>
      <c r="F126" s="366">
        <v>1</v>
      </c>
      <c r="G126" s="366" t="s">
        <v>694</v>
      </c>
      <c r="H126" s="366" t="s">
        <v>558</v>
      </c>
      <c r="I126" s="366" t="s">
        <v>433</v>
      </c>
      <c r="N126" s="366" t="s">
        <v>711</v>
      </c>
      <c r="Q126" s="366" t="s">
        <v>476</v>
      </c>
      <c r="R126" s="366" t="s">
        <v>552</v>
      </c>
      <c r="U126" s="366">
        <v>1</v>
      </c>
      <c r="AA126" s="366">
        <v>293240.9277</v>
      </c>
      <c r="AB126" s="366">
        <v>293240.9277</v>
      </c>
      <c r="AD126" s="366">
        <v>0.51538205999999998</v>
      </c>
      <c r="AE126" s="366">
        <v>0.58869092000000001</v>
      </c>
      <c r="AN126" s="366">
        <v>1.10407298</v>
      </c>
      <c r="AO126" s="366">
        <v>3.7650712300000002</v>
      </c>
      <c r="AQ126" s="366">
        <v>2.0075332800000001</v>
      </c>
      <c r="AR126" s="366">
        <v>0.29819727000000001</v>
      </c>
      <c r="AS126" s="366">
        <v>0.29819727000000001</v>
      </c>
      <c r="AT126" s="366">
        <v>8.7443640000000003E-2</v>
      </c>
      <c r="AX126" s="366">
        <v>7.9200960000000001E-2</v>
      </c>
      <c r="AZ126" s="366">
        <v>6.6000000000000003E-2</v>
      </c>
      <c r="BB126" s="366">
        <v>4.2724732300000001</v>
      </c>
      <c r="BC126" s="366">
        <v>4.2724732300000001</v>
      </c>
      <c r="BI126" s="366">
        <v>0.15</v>
      </c>
      <c r="BK126" s="366">
        <v>0.13476558</v>
      </c>
      <c r="BL126" s="366">
        <v>-1.523442E-2</v>
      </c>
      <c r="BM126" s="366">
        <v>-1.6819919999999999E-2</v>
      </c>
    </row>
    <row r="127" spans="1:65" hidden="1">
      <c r="A127" s="366">
        <v>125</v>
      </c>
      <c r="B127" s="366" t="s">
        <v>127</v>
      </c>
      <c r="C127" s="366" t="s">
        <v>712</v>
      </c>
      <c r="D127" s="366">
        <v>1</v>
      </c>
      <c r="E127" s="366" t="s">
        <v>676</v>
      </c>
      <c r="F127" s="366">
        <v>1</v>
      </c>
      <c r="G127" s="366" t="s">
        <v>694</v>
      </c>
      <c r="H127" s="366" t="s">
        <v>558</v>
      </c>
      <c r="I127" s="366" t="s">
        <v>433</v>
      </c>
      <c r="N127" s="366" t="s">
        <v>713</v>
      </c>
      <c r="Q127" s="366" t="s">
        <v>664</v>
      </c>
      <c r="R127" s="366" t="s">
        <v>607</v>
      </c>
      <c r="U127" s="366">
        <v>1</v>
      </c>
      <c r="AA127" s="366">
        <v>345187.50910000002</v>
      </c>
      <c r="AB127" s="366">
        <v>345187.50910000002</v>
      </c>
      <c r="AD127" s="366">
        <v>0.60668014999999997</v>
      </c>
      <c r="AE127" s="366">
        <v>0.70521031999999995</v>
      </c>
      <c r="AN127" s="366">
        <v>1.31189047</v>
      </c>
      <c r="AO127" s="366">
        <v>3.8005154700000001</v>
      </c>
      <c r="AQ127" s="366">
        <v>2.0429775100000001</v>
      </c>
      <c r="AR127" s="366">
        <v>0.29819727000000001</v>
      </c>
      <c r="AS127" s="366">
        <v>0.29819727000000001</v>
      </c>
      <c r="AT127" s="366">
        <v>0.10293397</v>
      </c>
      <c r="AX127" s="366">
        <v>7.8462320000000002E-2</v>
      </c>
      <c r="AZ127" s="366">
        <v>6.6000000000000003E-2</v>
      </c>
      <c r="BB127" s="366">
        <v>4.2724732300000001</v>
      </c>
      <c r="BC127" s="366">
        <v>4.2724732300000001</v>
      </c>
      <c r="BI127" s="366">
        <v>0.15</v>
      </c>
      <c r="BK127" s="366">
        <v>0.12418257000000001</v>
      </c>
      <c r="BL127" s="366">
        <v>-2.5817429999999999E-2</v>
      </c>
      <c r="BM127" s="366">
        <v>-3.3869650000000001E-2</v>
      </c>
    </row>
    <row r="128" spans="1:65" hidden="1">
      <c r="A128" s="366">
        <v>126</v>
      </c>
      <c r="B128" s="366" t="s">
        <v>127</v>
      </c>
      <c r="C128" s="366" t="s">
        <v>714</v>
      </c>
      <c r="D128" s="366">
        <v>0.5</v>
      </c>
      <c r="E128" s="366" t="s">
        <v>676</v>
      </c>
      <c r="F128" s="366">
        <v>1</v>
      </c>
      <c r="G128" s="366" t="s">
        <v>683</v>
      </c>
      <c r="H128" s="366" t="s">
        <v>558</v>
      </c>
      <c r="I128" s="366" t="s">
        <v>433</v>
      </c>
      <c r="N128" s="366" t="s">
        <v>713</v>
      </c>
      <c r="Q128" s="366" t="s">
        <v>552</v>
      </c>
      <c r="R128" s="366" t="s">
        <v>674</v>
      </c>
      <c r="U128" s="366">
        <v>1</v>
      </c>
      <c r="AA128" s="366">
        <v>94252.9136</v>
      </c>
      <c r="AB128" s="366">
        <v>47126.4568</v>
      </c>
      <c r="AD128" s="366">
        <v>0.91965602999999996</v>
      </c>
      <c r="AE128" s="366">
        <v>1.5231802999999999</v>
      </c>
      <c r="AN128" s="366">
        <v>2.44283633</v>
      </c>
      <c r="AO128" s="366">
        <v>51.835773199999998</v>
      </c>
      <c r="AQ128" s="366">
        <v>32.321129169999999</v>
      </c>
      <c r="AR128" s="366">
        <v>4.1925993000000004</v>
      </c>
      <c r="AS128" s="366">
        <v>4.1925993000000004</v>
      </c>
      <c r="AT128" s="366">
        <v>0.19758234999999999</v>
      </c>
      <c r="AX128" s="366">
        <v>8.0882350000000006E-2</v>
      </c>
      <c r="AZ128" s="366">
        <v>6.6000000000000003E-2</v>
      </c>
      <c r="BB128" s="366">
        <v>60.070195609999999</v>
      </c>
      <c r="BC128" s="366">
        <v>60.070195609999999</v>
      </c>
      <c r="BI128" s="366">
        <v>0.15</v>
      </c>
      <c r="BK128" s="366">
        <v>0.15885598000000001</v>
      </c>
      <c r="BL128" s="366">
        <v>8.8559799999999994E-3</v>
      </c>
      <c r="BM128" s="366">
        <v>2.1633699999999999E-2</v>
      </c>
    </row>
    <row r="129" spans="1:65" hidden="1">
      <c r="A129" s="366">
        <v>127</v>
      </c>
      <c r="B129" s="366" t="s">
        <v>127</v>
      </c>
      <c r="C129" s="366" t="s">
        <v>715</v>
      </c>
      <c r="D129" s="366">
        <v>1</v>
      </c>
      <c r="E129" s="366" t="s">
        <v>676</v>
      </c>
      <c r="F129" s="366">
        <v>1</v>
      </c>
      <c r="G129" s="366" t="s">
        <v>694</v>
      </c>
      <c r="H129" s="366" t="s">
        <v>558</v>
      </c>
      <c r="I129" s="366" t="s">
        <v>433</v>
      </c>
      <c r="N129" s="366" t="s">
        <v>715</v>
      </c>
      <c r="Q129" s="366" t="s">
        <v>607</v>
      </c>
      <c r="R129" s="366" t="s">
        <v>466</v>
      </c>
      <c r="U129" s="366">
        <v>1</v>
      </c>
      <c r="AA129" s="366">
        <v>97725.448099999994</v>
      </c>
      <c r="AB129" s="366">
        <v>97725.448099999994</v>
      </c>
      <c r="AD129" s="366">
        <v>0.17175618000000001</v>
      </c>
      <c r="AE129" s="366">
        <v>0.19965089</v>
      </c>
      <c r="AN129" s="366">
        <v>0.37140708</v>
      </c>
      <c r="AO129" s="366">
        <v>3.8005154700000001</v>
      </c>
      <c r="AQ129" s="366">
        <v>2.0429775100000001</v>
      </c>
      <c r="AR129" s="366">
        <v>0.30090923000000003</v>
      </c>
      <c r="AS129" s="366">
        <v>0.30090923000000003</v>
      </c>
      <c r="AT129" s="366">
        <v>2.940649E-2</v>
      </c>
      <c r="AX129" s="366">
        <v>7.9175899999999994E-2</v>
      </c>
      <c r="AZ129" s="366">
        <v>6.6000000000000003E-2</v>
      </c>
      <c r="BB129" s="366">
        <v>4.3113293600000002</v>
      </c>
      <c r="BC129" s="366">
        <v>4.3113293600000002</v>
      </c>
      <c r="BI129" s="366">
        <v>0.15</v>
      </c>
      <c r="BK129" s="366">
        <v>0.13440647999999999</v>
      </c>
      <c r="BL129" s="366">
        <v>-1.559352E-2</v>
      </c>
      <c r="BM129" s="366">
        <v>-5.7915500000000003E-3</v>
      </c>
    </row>
    <row r="130" spans="1:65" hidden="1">
      <c r="A130" s="366">
        <v>128</v>
      </c>
      <c r="B130" s="366" t="s">
        <v>127</v>
      </c>
      <c r="C130" s="366" t="s">
        <v>716</v>
      </c>
      <c r="D130" s="366">
        <v>1</v>
      </c>
      <c r="E130" s="366" t="s">
        <v>676</v>
      </c>
      <c r="F130" s="366">
        <v>1</v>
      </c>
      <c r="G130" s="366" t="s">
        <v>1012</v>
      </c>
      <c r="H130" s="366" t="s">
        <v>558</v>
      </c>
      <c r="I130" s="366" t="s">
        <v>486</v>
      </c>
      <c r="N130" s="366" t="s">
        <v>108</v>
      </c>
      <c r="Q130" s="366" t="s">
        <v>483</v>
      </c>
      <c r="R130" s="366" t="s">
        <v>748</v>
      </c>
      <c r="U130" s="366">
        <v>0</v>
      </c>
      <c r="AA130" s="366">
        <v>1622012.091</v>
      </c>
      <c r="AB130" s="366">
        <v>1622012.091</v>
      </c>
      <c r="AD130" s="366">
        <v>71.478873239999999</v>
      </c>
      <c r="AE130" s="366">
        <v>214.43661972000001</v>
      </c>
      <c r="AN130" s="366">
        <v>285.91549295999999</v>
      </c>
      <c r="AO130" s="366">
        <v>176.27210952999999</v>
      </c>
      <c r="AQ130" s="366">
        <v>132.20408214</v>
      </c>
      <c r="AR130" s="366">
        <v>12.51531978</v>
      </c>
      <c r="AS130" s="366">
        <v>12.51531978</v>
      </c>
      <c r="AT130" s="366">
        <v>20.3</v>
      </c>
      <c r="AX130" s="366">
        <v>7.0999999999999994E-2</v>
      </c>
      <c r="AZ130" s="366">
        <v>5.5E-2</v>
      </c>
      <c r="BB130" s="366">
        <v>215.17850464</v>
      </c>
      <c r="BC130" s="366">
        <v>215.17850464</v>
      </c>
      <c r="BI130" s="366">
        <v>0.25</v>
      </c>
      <c r="BK130" s="366">
        <v>0.22071782000000001</v>
      </c>
      <c r="BL130" s="366">
        <v>-2.9282180000000001E-2</v>
      </c>
      <c r="BM130" s="366">
        <v>-8.3722299400000004</v>
      </c>
    </row>
    <row r="131" spans="1:65" hidden="1">
      <c r="A131" s="366">
        <v>129</v>
      </c>
      <c r="B131" s="366" t="s">
        <v>127</v>
      </c>
      <c r="C131" s="366" t="s">
        <v>718</v>
      </c>
      <c r="D131" s="366">
        <v>0.5</v>
      </c>
      <c r="E131" s="366" t="s">
        <v>676</v>
      </c>
      <c r="F131" s="366">
        <v>1</v>
      </c>
      <c r="G131" s="366" t="s">
        <v>1012</v>
      </c>
      <c r="H131" s="366" t="s">
        <v>558</v>
      </c>
      <c r="I131" s="366" t="s">
        <v>486</v>
      </c>
      <c r="N131" s="366" t="s">
        <v>108</v>
      </c>
      <c r="Q131" s="366" t="s">
        <v>483</v>
      </c>
      <c r="R131" s="366" t="s">
        <v>748</v>
      </c>
      <c r="U131" s="366">
        <v>0</v>
      </c>
      <c r="AA131" s="366">
        <v>208421.39569999999</v>
      </c>
      <c r="AB131" s="366">
        <v>104210.69785</v>
      </c>
      <c r="AD131" s="366">
        <v>5.9523809500000002</v>
      </c>
      <c r="AE131" s="366">
        <v>17.85714286</v>
      </c>
      <c r="AN131" s="366">
        <v>23.809523810000002</v>
      </c>
      <c r="AO131" s="366">
        <v>228.4748524</v>
      </c>
      <c r="AQ131" s="366">
        <v>171.3561393</v>
      </c>
      <c r="AR131" s="366">
        <v>14.393915700000001</v>
      </c>
      <c r="AS131" s="366">
        <v>14.393915700000001</v>
      </c>
      <c r="AT131" s="366">
        <v>1.5</v>
      </c>
      <c r="AX131" s="366">
        <v>6.3E-2</v>
      </c>
      <c r="AZ131" s="366">
        <v>5.5E-2</v>
      </c>
      <c r="BB131" s="366">
        <v>247.47759640999999</v>
      </c>
      <c r="BC131" s="366">
        <v>247.47759640999999</v>
      </c>
      <c r="BI131" s="366">
        <v>0.25</v>
      </c>
      <c r="BK131" s="366">
        <v>8.317215E-2</v>
      </c>
      <c r="BL131" s="366">
        <v>-0.16682785</v>
      </c>
      <c r="BM131" s="366">
        <v>-3.9720917400000002</v>
      </c>
    </row>
    <row r="132" spans="1:65" hidden="1">
      <c r="A132" s="366">
        <v>130</v>
      </c>
      <c r="B132" s="366" t="s">
        <v>127</v>
      </c>
      <c r="C132" s="366" t="s">
        <v>719</v>
      </c>
      <c r="D132" s="366">
        <v>1</v>
      </c>
      <c r="E132" s="366" t="s">
        <v>676</v>
      </c>
      <c r="F132" s="366">
        <v>1</v>
      </c>
      <c r="G132" s="366" t="s">
        <v>1012</v>
      </c>
      <c r="H132" s="366" t="s">
        <v>558</v>
      </c>
      <c r="I132" s="366" t="s">
        <v>486</v>
      </c>
      <c r="N132" s="366" t="s">
        <v>720</v>
      </c>
      <c r="Q132" s="366" t="s">
        <v>483</v>
      </c>
      <c r="R132" s="366" t="s">
        <v>748</v>
      </c>
      <c r="U132" s="366">
        <v>0</v>
      </c>
      <c r="AA132" s="366">
        <v>16076939.5122</v>
      </c>
      <c r="AB132" s="366">
        <v>16076939.5122</v>
      </c>
      <c r="AD132" s="366">
        <v>193.68131868</v>
      </c>
      <c r="AE132" s="366">
        <v>581.04395604000001</v>
      </c>
      <c r="AN132" s="366">
        <v>774.72527473000002</v>
      </c>
      <c r="AO132" s="366">
        <v>48.18860419</v>
      </c>
      <c r="AQ132" s="366">
        <v>36.141453140000003</v>
      </c>
      <c r="AR132" s="366">
        <v>4.3851629799999996</v>
      </c>
      <c r="AS132" s="366">
        <v>4.3851629799999996</v>
      </c>
      <c r="AT132" s="366">
        <v>70.5</v>
      </c>
      <c r="AX132" s="366">
        <v>9.0999999999999998E-2</v>
      </c>
      <c r="AZ132" s="366">
        <v>6.5000000000000002E-2</v>
      </c>
      <c r="BB132" s="366">
        <v>63.795788049999999</v>
      </c>
      <c r="BC132" s="366">
        <v>63.795788049999999</v>
      </c>
      <c r="BI132" s="366">
        <v>0.25</v>
      </c>
      <c r="BK132" s="366">
        <v>0.32387706999999999</v>
      </c>
      <c r="BL132" s="366">
        <v>7.3877070000000003E-2</v>
      </c>
      <c r="BM132" s="366">
        <v>57.234432230000003</v>
      </c>
    </row>
    <row r="133" spans="1:65" hidden="1">
      <c r="A133" s="366">
        <v>131</v>
      </c>
      <c r="B133" s="366" t="s">
        <v>127</v>
      </c>
      <c r="C133" s="366" t="s">
        <v>721</v>
      </c>
      <c r="D133" s="366">
        <v>0.5</v>
      </c>
      <c r="E133" s="366" t="s">
        <v>676</v>
      </c>
      <c r="F133" s="366">
        <v>1</v>
      </c>
      <c r="G133" s="366" t="s">
        <v>1012</v>
      </c>
      <c r="H133" s="366" t="s">
        <v>558</v>
      </c>
      <c r="I133" s="366" t="s">
        <v>486</v>
      </c>
      <c r="N133" s="366" t="s">
        <v>720</v>
      </c>
      <c r="Q133" s="366" t="s">
        <v>483</v>
      </c>
      <c r="R133" s="366" t="s">
        <v>748</v>
      </c>
      <c r="U133" s="366">
        <v>0</v>
      </c>
      <c r="AA133" s="366">
        <v>7597914.0930000003</v>
      </c>
      <c r="AB133" s="366">
        <v>3798957.0465000002</v>
      </c>
      <c r="AD133" s="366">
        <v>39.41176471</v>
      </c>
      <c r="AE133" s="366">
        <v>118.23529412000001</v>
      </c>
      <c r="AN133" s="366">
        <v>157.64705882000001</v>
      </c>
      <c r="AO133" s="366">
        <v>41.497457560000001</v>
      </c>
      <c r="AQ133" s="366">
        <v>31.123093170000001</v>
      </c>
      <c r="AR133" s="366">
        <v>3.5272838900000001</v>
      </c>
      <c r="AS133" s="366">
        <v>3.5272838900000001</v>
      </c>
      <c r="AT133" s="366">
        <v>13.4</v>
      </c>
      <c r="AX133" s="366">
        <v>8.5000000000000006E-2</v>
      </c>
      <c r="AZ133" s="366">
        <v>6.5000000000000002E-2</v>
      </c>
      <c r="BB133" s="366">
        <v>51.31527758</v>
      </c>
      <c r="BC133" s="366">
        <v>51.31527758</v>
      </c>
      <c r="BI133" s="366">
        <v>0.25</v>
      </c>
      <c r="BK133" s="366">
        <v>0.23658847</v>
      </c>
      <c r="BL133" s="366">
        <v>-1.341153E-2</v>
      </c>
      <c r="BM133" s="366">
        <v>-2.1142881600000001</v>
      </c>
    </row>
    <row r="134" spans="1:65" hidden="1">
      <c r="A134" s="366">
        <v>132</v>
      </c>
      <c r="B134" s="366" t="s">
        <v>127</v>
      </c>
      <c r="C134" s="366" t="s">
        <v>722</v>
      </c>
      <c r="D134" s="366">
        <v>1</v>
      </c>
      <c r="E134" s="366" t="s">
        <v>676</v>
      </c>
      <c r="F134" s="366">
        <v>1</v>
      </c>
      <c r="G134" s="366" t="s">
        <v>887</v>
      </c>
      <c r="H134" s="366" t="s">
        <v>312</v>
      </c>
      <c r="N134" s="366" t="s">
        <v>108</v>
      </c>
      <c r="U134" s="366">
        <v>0</v>
      </c>
    </row>
    <row r="135" spans="1:65" hidden="1">
      <c r="A135" s="366">
        <v>133</v>
      </c>
      <c r="B135" s="366" t="s">
        <v>127</v>
      </c>
      <c r="C135" s="366" t="s">
        <v>723</v>
      </c>
      <c r="D135" s="366">
        <v>0.5</v>
      </c>
      <c r="E135" s="366" t="s">
        <v>676</v>
      </c>
      <c r="F135" s="366">
        <v>1</v>
      </c>
      <c r="G135" s="366" t="s">
        <v>887</v>
      </c>
      <c r="H135" s="366" t="s">
        <v>312</v>
      </c>
      <c r="N135" s="366" t="s">
        <v>108</v>
      </c>
      <c r="U135" s="366">
        <v>0</v>
      </c>
    </row>
    <row r="136" spans="1:65" hidden="1">
      <c r="A136" s="366">
        <v>134</v>
      </c>
      <c r="B136" s="366" t="s">
        <v>127</v>
      </c>
      <c r="C136" s="366" t="s">
        <v>724</v>
      </c>
      <c r="D136" s="366">
        <v>1</v>
      </c>
      <c r="E136" s="366" t="s">
        <v>676</v>
      </c>
      <c r="F136" s="366">
        <v>1</v>
      </c>
      <c r="G136" s="366" t="s">
        <v>887</v>
      </c>
      <c r="H136" s="366" t="s">
        <v>312</v>
      </c>
      <c r="N136" s="366" t="s">
        <v>720</v>
      </c>
      <c r="U136" s="366">
        <v>0</v>
      </c>
    </row>
    <row r="137" spans="1:65" hidden="1">
      <c r="A137" s="366">
        <v>135</v>
      </c>
      <c r="B137" s="366" t="s">
        <v>127</v>
      </c>
      <c r="C137" s="366" t="s">
        <v>725</v>
      </c>
      <c r="D137" s="366">
        <v>0.5</v>
      </c>
      <c r="E137" s="366" t="s">
        <v>676</v>
      </c>
      <c r="F137" s="366">
        <v>1</v>
      </c>
      <c r="G137" s="366" t="s">
        <v>887</v>
      </c>
      <c r="H137" s="366" t="s">
        <v>312</v>
      </c>
      <c r="N137" s="366" t="s">
        <v>720</v>
      </c>
      <c r="U137" s="366">
        <v>0</v>
      </c>
    </row>
    <row r="138" spans="1:65" hidden="1">
      <c r="A138" s="366">
        <v>136</v>
      </c>
      <c r="B138" s="366" t="s">
        <v>45</v>
      </c>
      <c r="C138" s="366" t="s">
        <v>341</v>
      </c>
      <c r="D138" s="366">
        <v>1</v>
      </c>
      <c r="E138" s="366" t="s">
        <v>130</v>
      </c>
      <c r="F138" s="366">
        <v>1</v>
      </c>
      <c r="G138" s="366" t="s">
        <v>1035</v>
      </c>
      <c r="H138" s="366" t="s">
        <v>558</v>
      </c>
      <c r="I138" s="366" t="s">
        <v>468</v>
      </c>
      <c r="N138" s="366" t="s">
        <v>222</v>
      </c>
      <c r="Q138" s="366" t="s">
        <v>674</v>
      </c>
      <c r="R138" s="366" t="s">
        <v>643</v>
      </c>
      <c r="S138" s="366" t="s">
        <v>794</v>
      </c>
      <c r="T138" s="366">
        <v>124.30340557</v>
      </c>
      <c r="U138" s="366">
        <v>0.81334578000000002</v>
      </c>
      <c r="AA138" s="366">
        <v>107150</v>
      </c>
      <c r="AB138" s="366">
        <v>107150</v>
      </c>
      <c r="AD138" s="366">
        <v>35</v>
      </c>
      <c r="AE138" s="366">
        <v>105</v>
      </c>
      <c r="AI138" s="366">
        <v>8.3000000000000007</v>
      </c>
      <c r="AM138" s="366">
        <v>0</v>
      </c>
      <c r="AN138" s="366">
        <v>148.30000000000001</v>
      </c>
      <c r="AO138" s="366">
        <v>1384.0410639300001</v>
      </c>
      <c r="AP138" s="366">
        <v>326.64489034000002</v>
      </c>
      <c r="AQ138" s="366">
        <v>979.93467102</v>
      </c>
      <c r="AR138" s="366">
        <v>77.461502569999993</v>
      </c>
      <c r="AS138" s="366">
        <v>77.461502569999993</v>
      </c>
      <c r="AT138" s="366">
        <v>8.3000000000000007</v>
      </c>
      <c r="AV138" s="366">
        <v>86</v>
      </c>
      <c r="AX138" s="366">
        <v>5.5967629999999997E-2</v>
      </c>
      <c r="AZ138" s="366">
        <v>3.7499999999999999E-2</v>
      </c>
      <c r="BB138" s="366">
        <v>1953.3239417899999</v>
      </c>
      <c r="BC138" s="366">
        <v>209.29866036000001</v>
      </c>
      <c r="BI138" s="366">
        <v>0.2</v>
      </c>
      <c r="BK138" s="366">
        <v>0.41131936000000002</v>
      </c>
      <c r="BL138" s="366">
        <v>0.21131936000000001</v>
      </c>
      <c r="BM138" s="366">
        <v>31.338660359999999</v>
      </c>
    </row>
    <row r="139" spans="1:65" hidden="1">
      <c r="A139" s="366">
        <v>137</v>
      </c>
      <c r="B139" s="366" t="s">
        <v>3</v>
      </c>
      <c r="C139" s="366" t="s">
        <v>726</v>
      </c>
      <c r="D139" s="366">
        <v>0.5</v>
      </c>
      <c r="E139" s="366" t="s">
        <v>130</v>
      </c>
      <c r="F139" s="366">
        <v>1</v>
      </c>
      <c r="G139" s="366" t="s">
        <v>871</v>
      </c>
      <c r="H139" s="366" t="s">
        <v>432</v>
      </c>
      <c r="I139" s="366" t="s">
        <v>486</v>
      </c>
      <c r="M139" s="366" t="s">
        <v>108</v>
      </c>
      <c r="N139" s="366" t="s">
        <v>221</v>
      </c>
      <c r="Q139" s="366" t="s">
        <v>1050</v>
      </c>
      <c r="R139" s="366" t="s">
        <v>903</v>
      </c>
      <c r="S139" s="366" t="s">
        <v>614</v>
      </c>
      <c r="T139" s="366">
        <v>115</v>
      </c>
      <c r="U139" s="366">
        <v>0</v>
      </c>
      <c r="AA139" s="366">
        <v>520000</v>
      </c>
      <c r="AB139" s="366">
        <v>260000</v>
      </c>
      <c r="AD139" s="366">
        <v>155.1</v>
      </c>
      <c r="AE139" s="366">
        <v>123.9</v>
      </c>
      <c r="AI139" s="366">
        <v>20.8125</v>
      </c>
      <c r="AL139" s="366">
        <v>20.94580479</v>
      </c>
      <c r="AM139" s="366">
        <v>-20.94580479</v>
      </c>
      <c r="AN139" s="366">
        <v>299.8125</v>
      </c>
      <c r="AO139" s="366">
        <v>1153.125</v>
      </c>
      <c r="AQ139" s="366">
        <v>476.53846154000001</v>
      </c>
      <c r="AR139" s="366">
        <v>71.153846150000007</v>
      </c>
      <c r="AS139" s="366">
        <v>71.153846150000007</v>
      </c>
      <c r="AT139" s="366">
        <v>18.5</v>
      </c>
      <c r="AX139" s="366">
        <v>6.170523E-2</v>
      </c>
      <c r="AZ139" s="366">
        <v>4.2500000000000003E-2</v>
      </c>
      <c r="BB139" s="366">
        <v>1583.1755506300001</v>
      </c>
      <c r="BC139" s="366">
        <v>374.62564316999999</v>
      </c>
      <c r="BI139" s="366">
        <v>0.2</v>
      </c>
      <c r="BK139" s="366">
        <v>0.37294357</v>
      </c>
      <c r="BL139" s="366">
        <v>0.17294356999999999</v>
      </c>
      <c r="BM139" s="366">
        <v>51.850643169999998</v>
      </c>
    </row>
    <row r="140" spans="1:65" hidden="1">
      <c r="A140" s="366">
        <v>138</v>
      </c>
      <c r="B140" s="366" t="s">
        <v>3</v>
      </c>
      <c r="C140" s="366" t="s">
        <v>727</v>
      </c>
      <c r="D140" s="366">
        <v>1</v>
      </c>
      <c r="E140" s="366" t="s">
        <v>131</v>
      </c>
      <c r="F140" s="366">
        <v>1</v>
      </c>
      <c r="G140" s="366" t="s">
        <v>1045</v>
      </c>
      <c r="H140" s="366" t="s">
        <v>558</v>
      </c>
      <c r="I140" s="366" t="s">
        <v>481</v>
      </c>
      <c r="M140" s="366" t="s">
        <v>108</v>
      </c>
      <c r="N140" s="366" t="s">
        <v>728</v>
      </c>
      <c r="Q140" s="366" t="s">
        <v>1058</v>
      </c>
      <c r="R140" s="366" t="s">
        <v>1059</v>
      </c>
      <c r="U140" s="366">
        <v>0</v>
      </c>
      <c r="AA140" s="366">
        <v>102000</v>
      </c>
      <c r="AB140" s="366">
        <v>102000</v>
      </c>
      <c r="AD140" s="366">
        <v>5</v>
      </c>
      <c r="AE140" s="366">
        <v>30</v>
      </c>
      <c r="AI140" s="366">
        <v>2.754</v>
      </c>
      <c r="AL140" s="366">
        <v>1.8127091799999999</v>
      </c>
      <c r="AM140" s="366">
        <v>-1.8127091799999999</v>
      </c>
      <c r="AN140" s="366">
        <v>37.753999999999998</v>
      </c>
      <c r="AO140" s="366">
        <v>370.13725490000002</v>
      </c>
      <c r="AQ140" s="366">
        <v>294.11764706000002</v>
      </c>
      <c r="AS140" s="366">
        <v>30</v>
      </c>
      <c r="AT140" s="366">
        <v>3.06</v>
      </c>
      <c r="AX140" s="366">
        <v>8.1051010000000007E-2</v>
      </c>
      <c r="AZ140" s="366">
        <v>5.5E-2</v>
      </c>
      <c r="BB140" s="366">
        <v>515.79626048</v>
      </c>
      <c r="BI140" s="366">
        <v>0.2</v>
      </c>
      <c r="BK140" s="366">
        <v>0.39352701000000001</v>
      </c>
      <c r="BL140" s="366">
        <v>0.19352701</v>
      </c>
      <c r="BM140" s="366">
        <v>7.3064185699999999</v>
      </c>
    </row>
    <row r="141" spans="1:65" hidden="1">
      <c r="A141" s="366">
        <v>139</v>
      </c>
      <c r="B141" s="366" t="s">
        <v>44</v>
      </c>
      <c r="C141" s="366" t="s">
        <v>730</v>
      </c>
      <c r="D141" s="366">
        <v>1</v>
      </c>
      <c r="E141" s="366" t="s">
        <v>130</v>
      </c>
      <c r="F141" s="366">
        <v>1</v>
      </c>
      <c r="G141" s="366" t="s">
        <v>1039</v>
      </c>
      <c r="H141" s="366" t="s">
        <v>432</v>
      </c>
      <c r="I141" s="366" t="s">
        <v>481</v>
      </c>
      <c r="N141" s="366" t="s">
        <v>221</v>
      </c>
      <c r="Q141" s="366" t="s">
        <v>738</v>
      </c>
      <c r="R141" s="366" t="s">
        <v>585</v>
      </c>
      <c r="U141" s="366">
        <v>0</v>
      </c>
      <c r="W141" s="366">
        <v>500000</v>
      </c>
      <c r="AA141" s="366">
        <v>500000</v>
      </c>
      <c r="AB141" s="366">
        <v>500000</v>
      </c>
      <c r="AD141" s="366">
        <v>75</v>
      </c>
      <c r="AE141" s="366">
        <v>275</v>
      </c>
      <c r="AI141" s="366">
        <v>73.125</v>
      </c>
      <c r="AL141" s="366">
        <v>29.09708904</v>
      </c>
      <c r="AM141" s="366">
        <v>-29.09708904</v>
      </c>
      <c r="AN141" s="366">
        <v>423.125</v>
      </c>
      <c r="AO141" s="366">
        <v>846.25</v>
      </c>
      <c r="AP141" s="366">
        <v>150</v>
      </c>
      <c r="AS141" s="366">
        <v>65</v>
      </c>
      <c r="AT141" s="366">
        <v>32.5</v>
      </c>
      <c r="AX141" s="366">
        <v>7.6809450000000001E-2</v>
      </c>
      <c r="AZ141" s="366">
        <v>4.2500000000000003E-2</v>
      </c>
      <c r="BB141" s="366">
        <v>1446.2522597699999</v>
      </c>
      <c r="BC141" s="366">
        <v>658.12612988000001</v>
      </c>
      <c r="BI141" s="366">
        <v>0.3</v>
      </c>
      <c r="BK141" s="366">
        <v>0.70901301000000005</v>
      </c>
      <c r="BL141" s="366">
        <v>0.40901301000000001</v>
      </c>
      <c r="BM141" s="366">
        <v>173.06362988000001</v>
      </c>
    </row>
    <row r="142" spans="1:65" hidden="1">
      <c r="A142" s="366">
        <v>140</v>
      </c>
      <c r="B142" s="366" t="s">
        <v>44</v>
      </c>
      <c r="C142" s="366" t="s">
        <v>731</v>
      </c>
      <c r="D142" s="366">
        <v>0.5</v>
      </c>
      <c r="E142" s="366" t="s">
        <v>131</v>
      </c>
      <c r="F142" s="366">
        <v>1</v>
      </c>
      <c r="G142" s="366" t="s">
        <v>1038</v>
      </c>
      <c r="H142" s="366" t="s">
        <v>558</v>
      </c>
      <c r="I142" s="366" t="s">
        <v>468</v>
      </c>
      <c r="N142" s="366" t="s">
        <v>732</v>
      </c>
      <c r="Q142" s="366" t="s">
        <v>504</v>
      </c>
      <c r="R142" s="366" t="s">
        <v>733</v>
      </c>
      <c r="S142" s="366" t="s">
        <v>614</v>
      </c>
      <c r="T142" s="366">
        <v>45.5</v>
      </c>
      <c r="U142" s="366">
        <v>0.49</v>
      </c>
      <c r="X142" s="366">
        <v>37000</v>
      </c>
      <c r="Y142" s="366">
        <v>804500</v>
      </c>
      <c r="AA142" s="366">
        <v>841500</v>
      </c>
      <c r="AB142" s="366">
        <v>420750</v>
      </c>
      <c r="AD142" s="366">
        <v>50</v>
      </c>
      <c r="AE142" s="366">
        <v>146.4</v>
      </c>
      <c r="AI142" s="366">
        <v>25.2</v>
      </c>
      <c r="AL142" s="366">
        <v>13.00761644</v>
      </c>
      <c r="AM142" s="366">
        <v>-9.7557123299999997</v>
      </c>
      <c r="AN142" s="366">
        <v>224.85190410999999</v>
      </c>
      <c r="AO142" s="366">
        <v>534.40737755999999</v>
      </c>
      <c r="AP142" s="366">
        <v>118.83541295000001</v>
      </c>
      <c r="AQ142" s="366">
        <v>347.95008912999998</v>
      </c>
      <c r="AR142" s="366">
        <v>33.273915629999998</v>
      </c>
      <c r="AS142" s="366">
        <v>33.273915629999998</v>
      </c>
      <c r="AT142" s="366">
        <v>14</v>
      </c>
      <c r="AX142" s="366">
        <v>6.2263199999999998E-2</v>
      </c>
      <c r="AZ142" s="366">
        <v>4.7500000000000001E-2</v>
      </c>
      <c r="BB142" s="366">
        <v>662.41464480000002</v>
      </c>
      <c r="BC142" s="366">
        <v>278.71096180000001</v>
      </c>
      <c r="BI142" s="366">
        <v>0.15</v>
      </c>
      <c r="BK142" s="366">
        <v>0.23953125</v>
      </c>
      <c r="BL142" s="366">
        <v>8.9531250000000007E-2</v>
      </c>
      <c r="BM142" s="366">
        <v>20.131272079999999</v>
      </c>
    </row>
    <row r="143" spans="1:65" hidden="1">
      <c r="A143" s="366">
        <v>141</v>
      </c>
      <c r="B143" s="366" t="s">
        <v>44</v>
      </c>
      <c r="C143" s="366" t="s">
        <v>734</v>
      </c>
      <c r="D143" s="366">
        <v>1</v>
      </c>
      <c r="E143" s="366" t="s">
        <v>131</v>
      </c>
      <c r="F143" s="366">
        <v>1</v>
      </c>
      <c r="G143" s="366" t="s">
        <v>1039</v>
      </c>
      <c r="H143" s="366" t="s">
        <v>432</v>
      </c>
      <c r="I143" s="366" t="s">
        <v>486</v>
      </c>
      <c r="N143" s="366" t="s">
        <v>735</v>
      </c>
      <c r="Q143" s="366" t="s">
        <v>643</v>
      </c>
      <c r="R143" s="366" t="s">
        <v>748</v>
      </c>
      <c r="U143" s="366">
        <v>0.69</v>
      </c>
      <c r="Y143" s="366">
        <v>240000</v>
      </c>
      <c r="AA143" s="366">
        <v>240000</v>
      </c>
      <c r="AB143" s="366">
        <v>240000</v>
      </c>
      <c r="AD143" s="366">
        <v>12</v>
      </c>
      <c r="AE143" s="366">
        <v>31.52</v>
      </c>
      <c r="AI143" s="366">
        <v>12.96</v>
      </c>
      <c r="AL143" s="366">
        <v>2.5841534199999998</v>
      </c>
      <c r="AN143" s="366">
        <v>59.064153419999997</v>
      </c>
      <c r="AO143" s="366">
        <v>246.10063926999999</v>
      </c>
      <c r="AP143" s="366">
        <v>50</v>
      </c>
      <c r="AQ143" s="366">
        <v>131.33333332999999</v>
      </c>
      <c r="AS143" s="366">
        <v>20</v>
      </c>
      <c r="AT143" s="366">
        <v>7.2</v>
      </c>
      <c r="AX143" s="366">
        <v>0.12190135000000001</v>
      </c>
      <c r="AZ143" s="366">
        <v>5.5E-2</v>
      </c>
      <c r="BB143" s="366">
        <v>343.86417365</v>
      </c>
      <c r="BC143" s="366">
        <v>68.127401680000006</v>
      </c>
      <c r="BI143" s="366">
        <v>0.2</v>
      </c>
      <c r="BK143" s="366">
        <v>0.39725022999999998</v>
      </c>
      <c r="BL143" s="366">
        <v>0.19725023</v>
      </c>
      <c r="BM143" s="366">
        <v>11.65041757</v>
      </c>
    </row>
    <row r="144" spans="1:65" hidden="1">
      <c r="A144" s="366">
        <v>142</v>
      </c>
      <c r="B144" s="366" t="s">
        <v>44</v>
      </c>
      <c r="C144" s="366" t="s">
        <v>736</v>
      </c>
      <c r="D144" s="366">
        <v>0.5</v>
      </c>
      <c r="E144" s="366" t="s">
        <v>131</v>
      </c>
      <c r="F144" s="366">
        <v>1</v>
      </c>
      <c r="G144" s="366" t="s">
        <v>1038</v>
      </c>
      <c r="H144" s="366" t="s">
        <v>558</v>
      </c>
      <c r="I144" s="366" t="s">
        <v>468</v>
      </c>
      <c r="N144" s="366" t="s">
        <v>737</v>
      </c>
      <c r="Q144" s="366" t="s">
        <v>717</v>
      </c>
      <c r="R144" s="366" t="s">
        <v>892</v>
      </c>
      <c r="U144" s="366">
        <v>0</v>
      </c>
      <c r="X144" s="366">
        <v>89000</v>
      </c>
      <c r="Y144" s="366">
        <v>200000</v>
      </c>
      <c r="AA144" s="366">
        <v>289000</v>
      </c>
      <c r="AB144" s="366">
        <v>144500</v>
      </c>
      <c r="AD144" s="366">
        <v>14.45</v>
      </c>
      <c r="AE144" s="366">
        <v>21.675000000000001</v>
      </c>
      <c r="AI144" s="366">
        <v>5.202</v>
      </c>
      <c r="AL144" s="366">
        <v>2.8419389000000002</v>
      </c>
      <c r="AN144" s="366">
        <v>44.168938900000001</v>
      </c>
      <c r="AO144" s="366">
        <v>305.66739725999997</v>
      </c>
      <c r="AP144" s="366">
        <v>100</v>
      </c>
      <c r="AQ144" s="366">
        <v>150</v>
      </c>
      <c r="AS144" s="366">
        <v>22</v>
      </c>
      <c r="AT144" s="366">
        <v>2.89</v>
      </c>
      <c r="AX144" s="366">
        <v>6.5430600000000005E-2</v>
      </c>
      <c r="AZ144" s="366">
        <v>5.3999999999999999E-2</v>
      </c>
      <c r="BB144" s="366">
        <v>385.25523158999999</v>
      </c>
      <c r="BC144" s="366">
        <v>49.889380959999997</v>
      </c>
      <c r="BI144" s="366">
        <v>0.2</v>
      </c>
      <c r="BK144" s="366">
        <v>0.26037397000000001</v>
      </c>
      <c r="BL144" s="366">
        <v>6.0373969999999999E-2</v>
      </c>
      <c r="BM144" s="366">
        <v>2.6666542799999999</v>
      </c>
    </row>
    <row r="145" spans="1:65" hidden="1">
      <c r="A145" s="366">
        <v>143</v>
      </c>
      <c r="B145" s="366" t="s">
        <v>44</v>
      </c>
      <c r="C145" s="366" t="s">
        <v>739</v>
      </c>
      <c r="D145" s="366">
        <v>1</v>
      </c>
      <c r="E145" s="366" t="s">
        <v>304</v>
      </c>
      <c r="F145" s="366">
        <v>0</v>
      </c>
      <c r="G145" s="366" t="s">
        <v>1039</v>
      </c>
      <c r="H145" s="366" t="s">
        <v>432</v>
      </c>
      <c r="I145" s="366" t="s">
        <v>488</v>
      </c>
      <c r="N145" s="366" t="s">
        <v>222</v>
      </c>
      <c r="Q145" s="366" t="s">
        <v>889</v>
      </c>
      <c r="R145" s="366" t="s">
        <v>890</v>
      </c>
      <c r="U145" s="366">
        <v>0</v>
      </c>
      <c r="X145" s="366">
        <v>395000</v>
      </c>
      <c r="AA145" s="366">
        <v>395000</v>
      </c>
      <c r="AB145" s="366">
        <v>395000</v>
      </c>
      <c r="AD145" s="366">
        <v>245.6</v>
      </c>
      <c r="AE145" s="366">
        <v>400</v>
      </c>
      <c r="AI145" s="366">
        <v>0</v>
      </c>
      <c r="AL145" s="366">
        <v>40.460547949999999</v>
      </c>
      <c r="AN145" s="366">
        <v>686.06054795</v>
      </c>
      <c r="AO145" s="366">
        <v>1736.8621467</v>
      </c>
      <c r="AP145" s="366">
        <v>621.77215190000004</v>
      </c>
      <c r="AQ145" s="366">
        <v>1012.65822785</v>
      </c>
      <c r="AS145" s="366">
        <v>0</v>
      </c>
      <c r="AT145" s="366">
        <v>23.7</v>
      </c>
      <c r="AX145" s="366">
        <v>3.4545060000000002E-2</v>
      </c>
      <c r="AZ145" s="366">
        <v>0.03</v>
      </c>
      <c r="BB145" s="366">
        <v>2531.6455696200001</v>
      </c>
      <c r="BC145" s="366">
        <v>1000</v>
      </c>
      <c r="BI145" s="366">
        <v>0.2</v>
      </c>
      <c r="BK145" s="366">
        <v>0.45759729999999998</v>
      </c>
      <c r="BL145" s="366">
        <v>0.25759729999999997</v>
      </c>
      <c r="BM145" s="366">
        <v>176.72734247</v>
      </c>
    </row>
    <row r="146" spans="1:65" hidden="1">
      <c r="A146" s="366">
        <v>144</v>
      </c>
      <c r="B146" s="366" t="s">
        <v>44</v>
      </c>
      <c r="C146" s="366" t="s">
        <v>741</v>
      </c>
      <c r="D146" s="366">
        <v>0.5</v>
      </c>
      <c r="E146" s="366" t="s">
        <v>130</v>
      </c>
      <c r="F146" s="366">
        <v>1</v>
      </c>
      <c r="G146" s="366" t="s">
        <v>1039</v>
      </c>
      <c r="H146" s="366" t="s">
        <v>432</v>
      </c>
      <c r="I146" s="366" t="s">
        <v>486</v>
      </c>
      <c r="N146" s="366" t="s">
        <v>222</v>
      </c>
      <c r="Q146" s="366" t="s">
        <v>643</v>
      </c>
      <c r="R146" s="366" t="s">
        <v>891</v>
      </c>
      <c r="U146" s="366">
        <v>0</v>
      </c>
      <c r="W146" s="366">
        <v>196000</v>
      </c>
      <c r="AB146" s="366">
        <v>196000</v>
      </c>
      <c r="AD146" s="366">
        <v>70</v>
      </c>
      <c r="AE146" s="366">
        <v>120</v>
      </c>
      <c r="AI146" s="366">
        <v>16.096499999999999</v>
      </c>
      <c r="AL146" s="366">
        <v>11.58939908</v>
      </c>
      <c r="AM146" s="366">
        <v>-8.6920493099999998</v>
      </c>
      <c r="AN146" s="366">
        <v>208.99384977</v>
      </c>
      <c r="AO146" s="366">
        <v>1066.29515188</v>
      </c>
      <c r="AP146" s="366">
        <v>357.14285713999999</v>
      </c>
      <c r="AQ146" s="366">
        <v>612.24489796</v>
      </c>
      <c r="AS146" s="366">
        <v>73</v>
      </c>
      <c r="AT146" s="366">
        <v>14.308</v>
      </c>
      <c r="AX146" s="366">
        <v>6.8461339999999996E-2</v>
      </c>
      <c r="AZ146" s="366">
        <v>4.4999999999999998E-2</v>
      </c>
      <c r="BB146" s="366">
        <v>1534.01628579</v>
      </c>
      <c r="BC146" s="366">
        <v>272.05119201000002</v>
      </c>
      <c r="BI146" s="366">
        <v>0.25</v>
      </c>
      <c r="BK146" s="366">
        <v>0.43864133999999999</v>
      </c>
      <c r="BL146" s="366">
        <v>0.18864133999999999</v>
      </c>
      <c r="BM146" s="366">
        <v>39.424879799999999</v>
      </c>
    </row>
    <row r="147" spans="1:65" hidden="1">
      <c r="A147" s="366">
        <v>145</v>
      </c>
      <c r="B147" s="366" t="s">
        <v>44</v>
      </c>
      <c r="C147" s="366" t="s">
        <v>743</v>
      </c>
      <c r="D147" s="366">
        <v>1</v>
      </c>
      <c r="E147" s="366" t="s">
        <v>518</v>
      </c>
      <c r="F147" s="366">
        <v>0</v>
      </c>
      <c r="G147" s="366" t="s">
        <v>1039</v>
      </c>
      <c r="H147" s="366" t="s">
        <v>432</v>
      </c>
      <c r="I147" s="366" t="s">
        <v>486</v>
      </c>
      <c r="N147" s="366" t="s">
        <v>222</v>
      </c>
      <c r="Q147" s="366" t="s">
        <v>545</v>
      </c>
      <c r="R147" s="366" t="s">
        <v>892</v>
      </c>
      <c r="U147" s="366">
        <v>0</v>
      </c>
      <c r="X147" s="366">
        <v>150000</v>
      </c>
      <c r="Y147" s="366">
        <v>69000</v>
      </c>
      <c r="AA147" s="366">
        <v>219000</v>
      </c>
      <c r="AB147" s="366">
        <v>219000</v>
      </c>
      <c r="AD147" s="366">
        <v>30</v>
      </c>
      <c r="AE147" s="366">
        <v>70</v>
      </c>
      <c r="AI147" s="366">
        <v>0</v>
      </c>
      <c r="AL147" s="366">
        <v>6.2602739700000001</v>
      </c>
      <c r="AM147" s="366">
        <v>-4.6952054800000003</v>
      </c>
      <c r="AN147" s="366">
        <v>101.56506849</v>
      </c>
      <c r="AO147" s="366">
        <v>463.76743604000001</v>
      </c>
      <c r="AP147" s="366">
        <v>136.98630137000001</v>
      </c>
      <c r="AQ147" s="366">
        <v>319.63470319999999</v>
      </c>
      <c r="AS147" s="366">
        <v>0</v>
      </c>
      <c r="AT147" s="366">
        <v>0</v>
      </c>
      <c r="AX147" s="366">
        <v>0.05</v>
      </c>
      <c r="AZ147" s="366">
        <v>5.1499999999999997E-2</v>
      </c>
      <c r="BB147" s="366">
        <v>625</v>
      </c>
      <c r="BC147" s="366">
        <v>136.875</v>
      </c>
      <c r="BI147" s="366">
        <v>0.25</v>
      </c>
      <c r="BK147" s="366">
        <v>0.34765823000000001</v>
      </c>
      <c r="BL147" s="366">
        <v>9.7658229999999999E-2</v>
      </c>
      <c r="BM147" s="366">
        <v>9.9186643799999992</v>
      </c>
    </row>
    <row r="148" spans="1:65" hidden="1">
      <c r="A148" s="366">
        <v>146</v>
      </c>
      <c r="B148" s="366" t="s">
        <v>44</v>
      </c>
      <c r="C148" s="366" t="s">
        <v>893</v>
      </c>
      <c r="D148" s="366">
        <v>1</v>
      </c>
      <c r="E148" s="366" t="s">
        <v>130</v>
      </c>
      <c r="F148" s="366">
        <v>1</v>
      </c>
      <c r="G148" s="366" t="s">
        <v>1039</v>
      </c>
      <c r="H148" s="366" t="s">
        <v>432</v>
      </c>
      <c r="I148" s="366" t="s">
        <v>481</v>
      </c>
      <c r="N148" s="366" t="s">
        <v>222</v>
      </c>
      <c r="Q148" s="366" t="s">
        <v>894</v>
      </c>
      <c r="R148" s="366" t="s">
        <v>895</v>
      </c>
      <c r="U148" s="366">
        <v>0</v>
      </c>
      <c r="W148" s="366">
        <v>142000</v>
      </c>
      <c r="AA148" s="366">
        <v>142000</v>
      </c>
      <c r="AB148" s="366">
        <v>142000</v>
      </c>
      <c r="AD148" s="366">
        <v>91.2</v>
      </c>
      <c r="AE148" s="366">
        <v>82.41</v>
      </c>
      <c r="AI148" s="366">
        <v>12.78</v>
      </c>
      <c r="AL148" s="366">
        <v>11.28553151</v>
      </c>
      <c r="AM148" s="366">
        <v>-8.4641486300000004</v>
      </c>
      <c r="AN148" s="366">
        <v>189.21138288</v>
      </c>
      <c r="AO148" s="366">
        <v>1332.4745273000001</v>
      </c>
      <c r="AP148" s="366">
        <v>642.25352112999997</v>
      </c>
      <c r="AQ148" s="366">
        <v>580.35211268</v>
      </c>
      <c r="AS148" s="366">
        <v>80</v>
      </c>
      <c r="AT148" s="366">
        <v>11.36</v>
      </c>
      <c r="AX148" s="366">
        <v>6.0038670000000002E-2</v>
      </c>
      <c r="AZ148" s="366">
        <v>4.2500000000000003E-2</v>
      </c>
      <c r="BB148" s="366">
        <v>1780.00278125</v>
      </c>
      <c r="BC148" s="366">
        <v>230.04039494</v>
      </c>
      <c r="BI148" s="366">
        <v>0.25</v>
      </c>
      <c r="BK148" s="366">
        <v>0.33586252</v>
      </c>
      <c r="BL148" s="366">
        <v>8.5862519999999998E-2</v>
      </c>
      <c r="BM148" s="366">
        <v>16.246166339999998</v>
      </c>
    </row>
    <row r="149" spans="1:65" hidden="1">
      <c r="A149" s="366">
        <v>147</v>
      </c>
      <c r="B149" s="366" t="s">
        <v>257</v>
      </c>
      <c r="C149" s="366" t="s">
        <v>744</v>
      </c>
      <c r="D149" s="366">
        <v>0.7</v>
      </c>
      <c r="E149" s="366" t="s">
        <v>131</v>
      </c>
      <c r="F149" s="366">
        <v>1</v>
      </c>
      <c r="G149" s="366" t="s">
        <v>1039</v>
      </c>
      <c r="H149" s="366" t="s">
        <v>432</v>
      </c>
      <c r="I149" s="366" t="s">
        <v>486</v>
      </c>
      <c r="N149" s="366" t="s">
        <v>489</v>
      </c>
      <c r="Q149" s="366" t="s">
        <v>885</v>
      </c>
      <c r="R149" s="366" t="s">
        <v>644</v>
      </c>
      <c r="U149" s="366">
        <v>0</v>
      </c>
      <c r="AA149" s="366">
        <v>500000</v>
      </c>
      <c r="AB149" s="366">
        <v>350000</v>
      </c>
      <c r="AE149" s="366">
        <v>75</v>
      </c>
      <c r="AI149" s="366">
        <v>4.8825000000000003</v>
      </c>
      <c r="AL149" s="366">
        <v>5.9911874999999997</v>
      </c>
      <c r="AM149" s="366">
        <v>-5.9911874999999997</v>
      </c>
      <c r="AN149" s="366">
        <v>79.882499999999993</v>
      </c>
      <c r="AO149" s="366">
        <v>228.23571429</v>
      </c>
      <c r="AP149" s="366">
        <v>0</v>
      </c>
      <c r="AQ149" s="366">
        <v>214.28571428999999</v>
      </c>
      <c r="AS149" s="366">
        <v>15.5</v>
      </c>
      <c r="AT149" s="366">
        <v>5.4249999999999998</v>
      </c>
      <c r="AX149" s="366">
        <v>6.7912249999999993E-2</v>
      </c>
      <c r="AZ149" s="366">
        <v>5.2499999999999998E-2</v>
      </c>
      <c r="BB149" s="366">
        <v>279.18496004000002</v>
      </c>
      <c r="BC149" s="366">
        <v>97.714736009999996</v>
      </c>
      <c r="BI149" s="366">
        <v>0.2</v>
      </c>
      <c r="BK149" s="366">
        <v>0.22323082</v>
      </c>
      <c r="BL149" s="366">
        <v>2.3230819999999999E-2</v>
      </c>
      <c r="BM149" s="366">
        <v>1.85573601</v>
      </c>
    </row>
    <row r="150" spans="1:65" hidden="1">
      <c r="A150" s="366">
        <v>148</v>
      </c>
      <c r="B150" s="366" t="s">
        <v>257</v>
      </c>
      <c r="C150" s="366" t="s">
        <v>746</v>
      </c>
      <c r="D150" s="366">
        <v>1</v>
      </c>
      <c r="E150" s="366" t="s">
        <v>131</v>
      </c>
      <c r="F150" s="366">
        <v>1</v>
      </c>
      <c r="G150" s="366" t="s">
        <v>1039</v>
      </c>
      <c r="H150" s="366" t="s">
        <v>432</v>
      </c>
      <c r="I150" s="366" t="s">
        <v>488</v>
      </c>
      <c r="N150" s="366" t="s">
        <v>747</v>
      </c>
      <c r="Q150" s="366" t="s">
        <v>1060</v>
      </c>
      <c r="R150" s="366" t="s">
        <v>1061</v>
      </c>
      <c r="U150" s="366">
        <v>0</v>
      </c>
      <c r="AA150" s="366">
        <v>380000</v>
      </c>
      <c r="AB150" s="366">
        <v>380000</v>
      </c>
      <c r="AE150" s="366">
        <v>105</v>
      </c>
      <c r="AI150" s="366">
        <v>6.84</v>
      </c>
      <c r="AL150" s="366">
        <v>6.9861698600000004</v>
      </c>
      <c r="AM150" s="366">
        <v>-6.9861698600000004</v>
      </c>
      <c r="AN150" s="366">
        <v>111.84</v>
      </c>
      <c r="AO150" s="366">
        <v>294.31578947000003</v>
      </c>
      <c r="AP150" s="366">
        <v>0</v>
      </c>
      <c r="AQ150" s="366">
        <v>276.31578947000003</v>
      </c>
      <c r="AS150" s="366">
        <v>20</v>
      </c>
      <c r="AT150" s="366">
        <v>7.6</v>
      </c>
      <c r="AX150" s="366">
        <v>6.7954219999999996E-2</v>
      </c>
      <c r="AZ150" s="366">
        <v>0.05</v>
      </c>
      <c r="BB150" s="366">
        <v>378.25059102</v>
      </c>
      <c r="BI150" s="366">
        <v>0.2</v>
      </c>
      <c r="BK150" s="366">
        <v>0.2851862</v>
      </c>
      <c r="BL150" s="366">
        <v>8.5186200000000004E-2</v>
      </c>
      <c r="BM150" s="366">
        <v>9.5272245899999994</v>
      </c>
    </row>
    <row r="151" spans="1:65" hidden="1">
      <c r="A151" s="366">
        <v>149</v>
      </c>
      <c r="B151" s="366" t="s">
        <v>257</v>
      </c>
      <c r="C151" s="366" t="s">
        <v>750</v>
      </c>
      <c r="D151" s="366">
        <v>0.5</v>
      </c>
      <c r="E151" s="366" t="s">
        <v>131</v>
      </c>
      <c r="F151" s="366">
        <v>1</v>
      </c>
      <c r="G151" s="366" t="s">
        <v>1039</v>
      </c>
      <c r="H151" s="366" t="s">
        <v>432</v>
      </c>
      <c r="I151" s="366" t="s">
        <v>486</v>
      </c>
      <c r="N151" s="366" t="s">
        <v>750</v>
      </c>
      <c r="Q151" s="366" t="s">
        <v>643</v>
      </c>
      <c r="R151" s="366" t="s">
        <v>1047</v>
      </c>
      <c r="U151" s="366">
        <v>0</v>
      </c>
      <c r="AA151" s="366">
        <v>1883700</v>
      </c>
      <c r="AB151" s="366">
        <v>941850</v>
      </c>
      <c r="AD151" s="366">
        <v>46.610169489999997</v>
      </c>
      <c r="AE151" s="366">
        <v>230.93220339000001</v>
      </c>
      <c r="AI151" s="366">
        <v>17.800965000000001</v>
      </c>
      <c r="AL151" s="366">
        <v>26.41906844</v>
      </c>
      <c r="AM151" s="366">
        <v>-26.41906844</v>
      </c>
      <c r="AN151" s="366">
        <v>295.34333787999998</v>
      </c>
      <c r="AO151" s="366">
        <v>313.57789231999999</v>
      </c>
      <c r="AP151" s="366">
        <v>49.487890309999997</v>
      </c>
      <c r="AQ151" s="366">
        <v>245.19000201</v>
      </c>
      <c r="AS151" s="366">
        <v>21</v>
      </c>
      <c r="AT151" s="366">
        <v>19.778849999999998</v>
      </c>
      <c r="AX151" s="366">
        <v>6.6969009999999995E-2</v>
      </c>
      <c r="AZ151" s="366">
        <v>4.7500000000000001E-2</v>
      </c>
      <c r="BB151" s="366">
        <v>418.06644269999998</v>
      </c>
      <c r="BI151" s="366">
        <v>0.2</v>
      </c>
      <c r="BK151" s="366">
        <v>0.33321402</v>
      </c>
      <c r="BL151" s="366">
        <v>0.13321401999999999</v>
      </c>
      <c r="BM151" s="366">
        <v>39.343873600000002</v>
      </c>
    </row>
    <row r="152" spans="1:65" hidden="1">
      <c r="A152" s="366">
        <v>150</v>
      </c>
      <c r="B152" s="366" t="s">
        <v>257</v>
      </c>
      <c r="C152" s="366" t="s">
        <v>896</v>
      </c>
      <c r="D152" s="366">
        <v>0.5</v>
      </c>
      <c r="E152" s="366" t="s">
        <v>131</v>
      </c>
      <c r="F152" s="366">
        <v>1</v>
      </c>
      <c r="G152" s="366" t="s">
        <v>1039</v>
      </c>
      <c r="H152" s="366" t="s">
        <v>432</v>
      </c>
      <c r="I152" s="366" t="s">
        <v>488</v>
      </c>
      <c r="N152" s="366" t="s">
        <v>752</v>
      </c>
      <c r="Q152" s="366" t="s">
        <v>1047</v>
      </c>
      <c r="R152" s="366" t="s">
        <v>1062</v>
      </c>
      <c r="U152" s="366">
        <v>0</v>
      </c>
      <c r="AA152" s="366">
        <v>3229200</v>
      </c>
      <c r="AB152" s="366">
        <v>1614600</v>
      </c>
      <c r="AE152" s="366">
        <v>263</v>
      </c>
      <c r="AI152" s="366">
        <v>17.001738</v>
      </c>
      <c r="AL152" s="366">
        <v>19.274092240000002</v>
      </c>
      <c r="AM152" s="366">
        <v>-19.274092240000002</v>
      </c>
      <c r="AN152" s="366">
        <v>280.00173799999999</v>
      </c>
      <c r="AO152" s="366">
        <v>173.41864115000001</v>
      </c>
      <c r="AP152" s="366">
        <v>0</v>
      </c>
      <c r="AQ152" s="366">
        <v>162.88864115000001</v>
      </c>
      <c r="AS152" s="366">
        <v>11.7</v>
      </c>
      <c r="AT152" s="366">
        <v>18.890820000000001</v>
      </c>
      <c r="AX152" s="366">
        <v>6.7466799999999993E-2</v>
      </c>
      <c r="AZ152" s="366">
        <v>4.7500000000000001E-2</v>
      </c>
      <c r="BB152" s="366">
        <v>232.92273236</v>
      </c>
      <c r="BI152" s="366">
        <v>0.25</v>
      </c>
      <c r="BK152" s="366">
        <v>0.34312396000000001</v>
      </c>
      <c r="BL152" s="366">
        <v>9.3123960000000006E-2</v>
      </c>
      <c r="BM152" s="366">
        <v>26.074871170000002</v>
      </c>
    </row>
    <row r="153" spans="1:65" hidden="1">
      <c r="A153" s="366">
        <v>151</v>
      </c>
      <c r="B153" s="366" t="s">
        <v>257</v>
      </c>
      <c r="C153" s="366" t="s">
        <v>753</v>
      </c>
      <c r="D153" s="366">
        <v>0.5</v>
      </c>
      <c r="E153" s="366" t="s">
        <v>131</v>
      </c>
      <c r="F153" s="366">
        <v>1</v>
      </c>
      <c r="G153" s="366" t="s">
        <v>1039</v>
      </c>
      <c r="H153" s="366" t="s">
        <v>432</v>
      </c>
      <c r="I153" s="366" t="s">
        <v>488</v>
      </c>
      <c r="N153" s="366" t="s">
        <v>753</v>
      </c>
      <c r="Q153" s="366" t="s">
        <v>1063</v>
      </c>
      <c r="R153" s="366" t="s">
        <v>1064</v>
      </c>
      <c r="U153" s="366">
        <v>0</v>
      </c>
      <c r="AA153" s="366">
        <v>2152800</v>
      </c>
      <c r="AB153" s="366">
        <v>1076400</v>
      </c>
      <c r="AE153" s="366">
        <v>105</v>
      </c>
      <c r="AI153" s="366">
        <v>6.78132</v>
      </c>
      <c r="AL153" s="366">
        <v>9.08797444</v>
      </c>
      <c r="AM153" s="366">
        <v>-9.08797444</v>
      </c>
      <c r="AN153" s="366">
        <v>111.78131999999999</v>
      </c>
      <c r="AO153" s="366">
        <v>103.84738016</v>
      </c>
      <c r="AP153" s="366">
        <v>0</v>
      </c>
      <c r="AQ153" s="366">
        <v>97.547380160000003</v>
      </c>
      <c r="AS153" s="366">
        <v>7</v>
      </c>
      <c r="AT153" s="366">
        <v>7.5347999999999997</v>
      </c>
      <c r="AX153" s="366">
        <v>6.7406610000000006E-2</v>
      </c>
      <c r="AZ153" s="366">
        <v>0.05</v>
      </c>
      <c r="BB153" s="366">
        <v>132.38770686000001</v>
      </c>
      <c r="BI153" s="366">
        <v>0.25</v>
      </c>
      <c r="BK153" s="366">
        <v>0.27482952999999999</v>
      </c>
      <c r="BL153" s="366">
        <v>2.4829529999999999E-2</v>
      </c>
      <c r="BM153" s="366">
        <v>2.77547766</v>
      </c>
    </row>
    <row r="154" spans="1:65" hidden="1">
      <c r="A154" s="366">
        <v>152</v>
      </c>
      <c r="B154" s="366" t="s">
        <v>45</v>
      </c>
      <c r="C154" s="366" t="s">
        <v>755</v>
      </c>
      <c r="D154" s="366">
        <v>1</v>
      </c>
      <c r="E154" s="366" t="s">
        <v>130</v>
      </c>
      <c r="F154" s="366">
        <v>1</v>
      </c>
      <c r="G154" s="366" t="s">
        <v>879</v>
      </c>
      <c r="H154" s="366" t="s">
        <v>312</v>
      </c>
      <c r="I154" s="366" t="s">
        <v>481</v>
      </c>
      <c r="N154" s="366" t="s">
        <v>639</v>
      </c>
      <c r="Q154" s="366" t="s">
        <v>1065</v>
      </c>
      <c r="R154" s="366" t="s">
        <v>1066</v>
      </c>
      <c r="U154" s="366">
        <v>0</v>
      </c>
      <c r="AA154" s="366">
        <v>275000</v>
      </c>
      <c r="AB154" s="366">
        <v>275000</v>
      </c>
      <c r="AD154" s="366">
        <v>275</v>
      </c>
      <c r="AE154" s="366">
        <v>130.625</v>
      </c>
      <c r="AI154" s="366">
        <v>23.375</v>
      </c>
      <c r="AL154" s="366">
        <v>24.094520549999999</v>
      </c>
      <c r="AN154" s="366">
        <v>453.09452055000003</v>
      </c>
      <c r="AO154" s="366">
        <v>1647.6164383600001</v>
      </c>
      <c r="AP154" s="366">
        <v>1000</v>
      </c>
      <c r="AQ154" s="366">
        <v>475</v>
      </c>
      <c r="AS154" s="366">
        <v>85</v>
      </c>
      <c r="AT154" s="366">
        <v>23.375</v>
      </c>
      <c r="AX154" s="366">
        <v>5.1589679999999999E-2</v>
      </c>
      <c r="AZ154" s="366">
        <v>3.5000000000000003E-2</v>
      </c>
      <c r="BB154" s="366">
        <v>2296.52144546</v>
      </c>
      <c r="BC154" s="366">
        <v>584.79339749999997</v>
      </c>
      <c r="BI154" s="366">
        <v>0.15</v>
      </c>
      <c r="BK154" s="366">
        <v>0.39384469999999999</v>
      </c>
      <c r="BL154" s="366">
        <v>0.2438447</v>
      </c>
      <c r="BM154" s="366">
        <v>110.48469887</v>
      </c>
    </row>
    <row r="155" spans="1:65" hidden="1">
      <c r="A155" s="366">
        <v>153</v>
      </c>
      <c r="B155" s="366" t="s">
        <v>45</v>
      </c>
      <c r="C155" s="366" t="s">
        <v>757</v>
      </c>
      <c r="D155" s="366">
        <v>1</v>
      </c>
      <c r="E155" s="366" t="s">
        <v>130</v>
      </c>
      <c r="F155" s="366">
        <v>1</v>
      </c>
      <c r="G155" s="366" t="s">
        <v>467</v>
      </c>
      <c r="H155" s="366" t="s">
        <v>432</v>
      </c>
      <c r="I155" s="366" t="s">
        <v>486</v>
      </c>
      <c r="N155" s="366" t="s">
        <v>642</v>
      </c>
      <c r="Q155" s="366" t="s">
        <v>765</v>
      </c>
      <c r="R155" s="366" t="s">
        <v>766</v>
      </c>
      <c r="U155" s="366">
        <v>0</v>
      </c>
      <c r="AA155" s="366">
        <v>58000</v>
      </c>
      <c r="AB155" s="366">
        <v>58000</v>
      </c>
      <c r="AD155" s="366">
        <v>87</v>
      </c>
      <c r="AE155" s="366">
        <v>27.55</v>
      </c>
      <c r="AI155" s="366">
        <v>6.38</v>
      </c>
      <c r="AL155" s="366">
        <v>6.8085246599999998</v>
      </c>
      <c r="AN155" s="366">
        <v>127.73852466</v>
      </c>
      <c r="AO155" s="366">
        <v>2202.3883561600001</v>
      </c>
      <c r="AP155" s="366">
        <v>1500</v>
      </c>
      <c r="AQ155" s="366">
        <v>475</v>
      </c>
      <c r="AS155" s="366">
        <v>110</v>
      </c>
      <c r="AT155" s="366">
        <v>6.38</v>
      </c>
      <c r="AX155" s="366">
        <v>4.9945780000000002E-2</v>
      </c>
      <c r="AZ155" s="366">
        <v>3.7499999999999999E-2</v>
      </c>
      <c r="BB155" s="366">
        <v>2773.83766745</v>
      </c>
      <c r="BC155" s="366">
        <v>148.12258471000001</v>
      </c>
      <c r="BI155" s="366">
        <v>0.15</v>
      </c>
      <c r="BK155" s="366">
        <v>0.25946799999999998</v>
      </c>
      <c r="BL155" s="366">
        <v>0.109468</v>
      </c>
      <c r="BM155" s="366">
        <v>13.983281359999999</v>
      </c>
    </row>
    <row r="156" spans="1:65" hidden="1">
      <c r="A156" s="366">
        <v>154</v>
      </c>
      <c r="B156" s="366" t="s">
        <v>45</v>
      </c>
      <c r="C156" s="366" t="s">
        <v>759</v>
      </c>
      <c r="D156" s="366">
        <v>1</v>
      </c>
      <c r="E156" s="366" t="s">
        <v>760</v>
      </c>
      <c r="F156" s="366">
        <v>1</v>
      </c>
      <c r="G156" s="366" t="s">
        <v>467</v>
      </c>
      <c r="H156" s="366" t="s">
        <v>432</v>
      </c>
      <c r="I156" s="366" t="s">
        <v>433</v>
      </c>
      <c r="N156" s="366" t="s">
        <v>761</v>
      </c>
      <c r="Q156" s="366" t="s">
        <v>762</v>
      </c>
      <c r="R156" s="366" t="s">
        <v>791</v>
      </c>
      <c r="U156" s="366">
        <v>0</v>
      </c>
      <c r="AA156" s="366">
        <v>110000</v>
      </c>
      <c r="AB156" s="366">
        <v>110000</v>
      </c>
      <c r="AD156" s="366">
        <v>27.5</v>
      </c>
      <c r="AE156" s="366">
        <v>55</v>
      </c>
      <c r="AI156" s="366">
        <v>6.05</v>
      </c>
      <c r="AL156" s="366">
        <v>-0.55192123000000004</v>
      </c>
      <c r="AN156" s="366">
        <v>87.998078770000006</v>
      </c>
      <c r="AO156" s="366">
        <v>799.98253424999996</v>
      </c>
      <c r="AP156" s="366">
        <v>250</v>
      </c>
      <c r="AQ156" s="366">
        <v>500</v>
      </c>
      <c r="AS156" s="366">
        <v>55</v>
      </c>
      <c r="AT156" s="366">
        <v>6.05</v>
      </c>
      <c r="AX156" s="366">
        <v>6.8751499999999993E-2</v>
      </c>
      <c r="AZ156" s="366">
        <v>4.7500000000000001E-2</v>
      </c>
      <c r="BB156" s="366">
        <v>1094.9359213600001</v>
      </c>
      <c r="BC156" s="366">
        <v>108.34295135000001</v>
      </c>
      <c r="BI156" s="366">
        <v>0.2</v>
      </c>
      <c r="BK156" s="366">
        <v>0.36869977999999998</v>
      </c>
      <c r="BL156" s="366">
        <v>0.16869977999999999</v>
      </c>
      <c r="BM156" s="366">
        <v>14.84525683</v>
      </c>
    </row>
    <row r="157" spans="1:65" hidden="1">
      <c r="A157" s="366">
        <v>155</v>
      </c>
      <c r="B157" s="366" t="s">
        <v>45</v>
      </c>
      <c r="C157" s="366" t="s">
        <v>763</v>
      </c>
      <c r="D157" s="366">
        <v>1</v>
      </c>
      <c r="E157" s="366" t="s">
        <v>304</v>
      </c>
      <c r="F157" s="366">
        <v>1</v>
      </c>
      <c r="G157" s="366" t="s">
        <v>879</v>
      </c>
      <c r="H157" s="366" t="s">
        <v>312</v>
      </c>
      <c r="I157" s="366" t="s">
        <v>468</v>
      </c>
      <c r="N157" s="366" t="s">
        <v>342</v>
      </c>
      <c r="Q157" s="366" t="s">
        <v>614</v>
      </c>
      <c r="R157" s="366" t="s">
        <v>745</v>
      </c>
      <c r="U157" s="366">
        <v>0</v>
      </c>
      <c r="AA157" s="366">
        <v>280000</v>
      </c>
      <c r="AB157" s="366">
        <v>280000</v>
      </c>
      <c r="AD157" s="366">
        <v>20</v>
      </c>
      <c r="AE157" s="366">
        <v>140</v>
      </c>
      <c r="AI157" s="366">
        <v>0</v>
      </c>
      <c r="AL157" s="366">
        <v>8</v>
      </c>
      <c r="AN157" s="366">
        <v>168</v>
      </c>
      <c r="AO157" s="366">
        <v>600</v>
      </c>
      <c r="AP157" s="366">
        <v>71.428571430000005</v>
      </c>
      <c r="AQ157" s="366">
        <v>500</v>
      </c>
      <c r="AT157" s="366">
        <v>0.1</v>
      </c>
      <c r="BB157" s="366">
        <v>930</v>
      </c>
      <c r="BC157" s="366">
        <v>260.2</v>
      </c>
      <c r="BI157" s="366">
        <v>0.2</v>
      </c>
      <c r="BK157" s="366">
        <v>0.55000000000000004</v>
      </c>
      <c r="BL157" s="366">
        <v>0.35</v>
      </c>
      <c r="BM157" s="366">
        <v>58.8</v>
      </c>
    </row>
    <row r="158" spans="1:65" hidden="1">
      <c r="A158" s="366">
        <v>156</v>
      </c>
      <c r="B158" s="366" t="s">
        <v>45</v>
      </c>
      <c r="C158" s="366" t="s">
        <v>764</v>
      </c>
      <c r="D158" s="366">
        <v>1</v>
      </c>
      <c r="E158" s="366" t="s">
        <v>130</v>
      </c>
      <c r="F158" s="366">
        <v>1</v>
      </c>
      <c r="G158" s="366" t="s">
        <v>879</v>
      </c>
      <c r="H158" s="366" t="s">
        <v>312</v>
      </c>
      <c r="I158" s="366" t="s">
        <v>488</v>
      </c>
      <c r="N158" s="366" t="s">
        <v>533</v>
      </c>
      <c r="Q158" s="366" t="s">
        <v>1067</v>
      </c>
      <c r="R158" s="366" t="s">
        <v>1068</v>
      </c>
      <c r="U158" s="366">
        <v>0</v>
      </c>
      <c r="AA158" s="366">
        <v>125000</v>
      </c>
      <c r="AB158" s="366">
        <v>125000</v>
      </c>
      <c r="AD158" s="366">
        <v>25</v>
      </c>
      <c r="AE158" s="366">
        <v>62.5</v>
      </c>
      <c r="AI158" s="366">
        <v>7.5</v>
      </c>
      <c r="AL158" s="366">
        <v>5.34863014</v>
      </c>
      <c r="AN158" s="366">
        <v>100.34863014</v>
      </c>
      <c r="AO158" s="366">
        <v>802.78904109999996</v>
      </c>
      <c r="AP158" s="366">
        <v>200</v>
      </c>
      <c r="AQ158" s="366">
        <v>500</v>
      </c>
      <c r="AS158" s="366">
        <v>60</v>
      </c>
      <c r="AT158" s="366">
        <v>7.5</v>
      </c>
      <c r="AV158" s="366">
        <v>69</v>
      </c>
      <c r="AX158" s="366">
        <v>7.4739440000000004E-2</v>
      </c>
      <c r="AZ158" s="366">
        <v>4.7500000000000001E-2</v>
      </c>
      <c r="BB158" s="366">
        <v>1194.4755505799999</v>
      </c>
      <c r="BC158" s="366">
        <v>134.30944382000001</v>
      </c>
      <c r="BI158" s="366">
        <v>0.2</v>
      </c>
      <c r="BK158" s="366">
        <v>0.48790715000000001</v>
      </c>
      <c r="BL158" s="366">
        <v>0.28790715</v>
      </c>
      <c r="BM158" s="366">
        <v>28.89108766</v>
      </c>
    </row>
    <row r="159" spans="1:65" hidden="1">
      <c r="A159" s="366">
        <v>157</v>
      </c>
      <c r="B159" s="366" t="s">
        <v>45</v>
      </c>
      <c r="C159" s="366" t="s">
        <v>767</v>
      </c>
      <c r="D159" s="366">
        <v>1</v>
      </c>
      <c r="E159" s="366" t="s">
        <v>130</v>
      </c>
      <c r="F159" s="366">
        <v>1</v>
      </c>
      <c r="G159" s="366" t="s">
        <v>879</v>
      </c>
      <c r="H159" s="366" t="s">
        <v>312</v>
      </c>
      <c r="I159" s="366" t="s">
        <v>486</v>
      </c>
      <c r="N159" s="366" t="s">
        <v>222</v>
      </c>
      <c r="Q159" s="366" t="s">
        <v>765</v>
      </c>
      <c r="R159" s="366" t="s">
        <v>766</v>
      </c>
      <c r="U159" s="366">
        <v>0</v>
      </c>
      <c r="AA159" s="366">
        <v>100000</v>
      </c>
      <c r="AB159" s="366">
        <v>100000</v>
      </c>
      <c r="AD159" s="366">
        <v>75</v>
      </c>
      <c r="AE159" s="366">
        <v>50</v>
      </c>
      <c r="AI159" s="366">
        <v>8</v>
      </c>
      <c r="AL159" s="366">
        <v>7.4880821900000001</v>
      </c>
      <c r="AN159" s="366">
        <v>140.48808219</v>
      </c>
      <c r="AO159" s="366">
        <v>1404.88082192</v>
      </c>
      <c r="AP159" s="366">
        <v>750</v>
      </c>
      <c r="AQ159" s="366">
        <v>500</v>
      </c>
      <c r="AS159" s="366">
        <v>80</v>
      </c>
      <c r="AT159" s="366">
        <v>8</v>
      </c>
      <c r="AX159" s="366">
        <v>5.6944330000000001E-2</v>
      </c>
      <c r="AZ159" s="366">
        <v>0.04</v>
      </c>
      <c r="BB159" s="366">
        <v>1891.25295508</v>
      </c>
      <c r="BC159" s="366">
        <v>173.12529551</v>
      </c>
      <c r="BI159" s="366">
        <v>0.2</v>
      </c>
      <c r="BK159" s="366">
        <v>0.3462017</v>
      </c>
      <c r="BL159" s="366">
        <v>0.14620169999999999</v>
      </c>
      <c r="BM159" s="366">
        <v>20.539596880000001</v>
      </c>
    </row>
    <row r="160" spans="1:65" hidden="1">
      <c r="A160" s="366">
        <v>158</v>
      </c>
      <c r="B160" s="366" t="s">
        <v>45</v>
      </c>
      <c r="C160" s="366" t="s">
        <v>768</v>
      </c>
      <c r="D160" s="366">
        <v>0.55000000000000004</v>
      </c>
      <c r="E160" s="366" t="s">
        <v>130</v>
      </c>
      <c r="F160" s="366">
        <v>1</v>
      </c>
      <c r="G160" s="366" t="s">
        <v>879</v>
      </c>
      <c r="H160" s="366" t="s">
        <v>312</v>
      </c>
      <c r="I160" s="366" t="s">
        <v>481</v>
      </c>
      <c r="N160" s="366" t="s">
        <v>222</v>
      </c>
      <c r="Q160" s="366" t="s">
        <v>756</v>
      </c>
      <c r="R160" s="366" t="s">
        <v>769</v>
      </c>
      <c r="U160" s="366">
        <v>0</v>
      </c>
      <c r="AA160" s="366">
        <v>250000</v>
      </c>
      <c r="AB160" s="366">
        <v>137500</v>
      </c>
      <c r="AD160" s="366">
        <v>103.125</v>
      </c>
      <c r="AE160" s="366">
        <v>68.75</v>
      </c>
      <c r="AI160" s="366">
        <v>11</v>
      </c>
      <c r="AL160" s="366">
        <v>10.296113009999999</v>
      </c>
      <c r="AN160" s="366">
        <v>193.17111301</v>
      </c>
      <c r="AO160" s="366">
        <v>1404.88082192</v>
      </c>
      <c r="AP160" s="366">
        <v>750</v>
      </c>
      <c r="AQ160" s="366">
        <v>500</v>
      </c>
      <c r="AS160" s="366">
        <v>80</v>
      </c>
      <c r="AT160" s="366">
        <v>11</v>
      </c>
      <c r="AX160" s="366">
        <v>5.6944330000000001E-2</v>
      </c>
      <c r="AZ160" s="366">
        <v>0.04</v>
      </c>
      <c r="BB160" s="366">
        <v>1891.25295508</v>
      </c>
      <c r="BC160" s="366">
        <v>238.04728132</v>
      </c>
      <c r="BI160" s="366">
        <v>0.2</v>
      </c>
      <c r="BK160" s="366">
        <v>0.3462017</v>
      </c>
      <c r="BL160" s="366">
        <v>0.14620169999999999</v>
      </c>
      <c r="BM160" s="366">
        <v>28.24194571</v>
      </c>
    </row>
    <row r="161" spans="1:65" hidden="1">
      <c r="A161" s="366">
        <v>159</v>
      </c>
      <c r="B161" s="366" t="s">
        <v>45</v>
      </c>
      <c r="C161" s="366" t="s">
        <v>1069</v>
      </c>
      <c r="D161" s="366">
        <v>1</v>
      </c>
      <c r="E161" s="366" t="s">
        <v>130</v>
      </c>
      <c r="F161" s="366">
        <v>1</v>
      </c>
      <c r="G161" s="366" t="s">
        <v>879</v>
      </c>
      <c r="H161" s="366" t="s">
        <v>312</v>
      </c>
      <c r="I161" s="366" t="s">
        <v>481</v>
      </c>
      <c r="N161" s="366" t="s">
        <v>205</v>
      </c>
      <c r="Q161" s="366" t="s">
        <v>756</v>
      </c>
      <c r="R161" s="366" t="s">
        <v>770</v>
      </c>
      <c r="U161" s="366">
        <v>0</v>
      </c>
      <c r="AA161" s="366">
        <v>80000</v>
      </c>
      <c r="AB161" s="366">
        <v>80000</v>
      </c>
      <c r="AD161" s="366">
        <v>40</v>
      </c>
      <c r="AE161" s="366">
        <v>40</v>
      </c>
      <c r="AI161" s="366">
        <v>5.6</v>
      </c>
      <c r="AL161" s="366">
        <v>4.28</v>
      </c>
      <c r="AN161" s="366">
        <v>89.88</v>
      </c>
      <c r="AO161" s="366">
        <v>1123.5</v>
      </c>
      <c r="AP161" s="366">
        <v>500</v>
      </c>
      <c r="AQ161" s="366">
        <v>500</v>
      </c>
      <c r="AS161" s="366">
        <v>70</v>
      </c>
      <c r="AT161" s="366">
        <v>5.6</v>
      </c>
      <c r="AX161" s="366">
        <v>6.2305300000000001E-2</v>
      </c>
      <c r="AZ161" s="366">
        <v>4.2500000000000003E-2</v>
      </c>
      <c r="BB161" s="366">
        <v>1557.5024335999999</v>
      </c>
      <c r="BC161" s="366">
        <v>113.40019469000001</v>
      </c>
      <c r="BI161" s="366">
        <v>0.2</v>
      </c>
      <c r="BK161" s="366">
        <v>0.386295</v>
      </c>
      <c r="BL161" s="366">
        <v>0.18629499999999999</v>
      </c>
      <c r="BM161" s="366">
        <v>16.74419469</v>
      </c>
    </row>
    <row r="162" spans="1:65" hidden="1">
      <c r="A162" s="366">
        <v>160</v>
      </c>
      <c r="B162" s="366" t="s">
        <v>45</v>
      </c>
      <c r="C162" s="366" t="s">
        <v>771</v>
      </c>
      <c r="D162" s="366">
        <v>1</v>
      </c>
      <c r="E162" s="366" t="s">
        <v>130</v>
      </c>
      <c r="F162" s="366">
        <v>1</v>
      </c>
      <c r="G162" s="366" t="s">
        <v>879</v>
      </c>
      <c r="H162" s="366" t="s">
        <v>312</v>
      </c>
      <c r="I162" s="366" t="s">
        <v>481</v>
      </c>
      <c r="N162" s="366" t="s">
        <v>222</v>
      </c>
      <c r="Q162" s="366" t="s">
        <v>756</v>
      </c>
      <c r="R162" s="366" t="s">
        <v>770</v>
      </c>
      <c r="U162" s="366">
        <v>0</v>
      </c>
      <c r="AA162" s="366">
        <v>137000</v>
      </c>
      <c r="AB162" s="366">
        <v>137000</v>
      </c>
      <c r="AD162" s="366">
        <v>102.75</v>
      </c>
      <c r="AE162" s="366">
        <v>68.5</v>
      </c>
      <c r="AI162" s="366">
        <v>10.96</v>
      </c>
      <c r="AL162" s="366">
        <v>9.1105</v>
      </c>
      <c r="AN162" s="366">
        <v>191.32050000000001</v>
      </c>
      <c r="AO162" s="366">
        <v>1396.5</v>
      </c>
      <c r="AP162" s="366">
        <v>750</v>
      </c>
      <c r="AQ162" s="366">
        <v>500</v>
      </c>
      <c r="AS162" s="366">
        <v>80</v>
      </c>
      <c r="AT162" s="366">
        <v>10.96</v>
      </c>
      <c r="AX162" s="366">
        <v>5.7286070000000001E-2</v>
      </c>
      <c r="AZ162" s="366">
        <v>3.5000000000000003E-2</v>
      </c>
      <c r="BB162" s="366">
        <v>2161.4319486700001</v>
      </c>
      <c r="BC162" s="366">
        <v>274.19617697000001</v>
      </c>
      <c r="BI162" s="366">
        <v>0.2</v>
      </c>
      <c r="BK162" s="366">
        <v>0.54774933999999997</v>
      </c>
      <c r="BL162" s="366">
        <v>0.34774934000000002</v>
      </c>
      <c r="BM162" s="366">
        <v>66.531576970000003</v>
      </c>
    </row>
    <row r="163" spans="1:65" hidden="1">
      <c r="A163" s="366">
        <v>161</v>
      </c>
      <c r="B163" s="366" t="s">
        <v>306</v>
      </c>
      <c r="C163" s="366" t="s">
        <v>772</v>
      </c>
      <c r="D163" s="366">
        <v>1</v>
      </c>
      <c r="E163" s="366" t="s">
        <v>307</v>
      </c>
      <c r="F163" s="366">
        <v>1</v>
      </c>
      <c r="G163" s="366" t="s">
        <v>773</v>
      </c>
      <c r="H163" s="366" t="s">
        <v>432</v>
      </c>
      <c r="I163" s="366" t="s">
        <v>433</v>
      </c>
      <c r="M163" s="366" t="s">
        <v>108</v>
      </c>
      <c r="N163" s="366" t="s">
        <v>747</v>
      </c>
      <c r="Q163" s="366" t="s">
        <v>669</v>
      </c>
      <c r="R163" s="366" t="s">
        <v>564</v>
      </c>
      <c r="U163" s="366">
        <v>0</v>
      </c>
      <c r="AA163" s="366">
        <v>67620</v>
      </c>
      <c r="AB163" s="366">
        <v>67620</v>
      </c>
      <c r="AC163" s="366">
        <v>483</v>
      </c>
      <c r="AD163" s="366">
        <v>9.66</v>
      </c>
      <c r="AE163" s="366">
        <v>17.34</v>
      </c>
      <c r="AI163" s="366">
        <v>0</v>
      </c>
      <c r="AL163" s="366">
        <v>0</v>
      </c>
      <c r="AN163" s="366">
        <v>27</v>
      </c>
      <c r="AO163" s="366">
        <v>399.29015084000002</v>
      </c>
      <c r="AP163" s="366">
        <v>142.85714286000001</v>
      </c>
      <c r="AQ163" s="366">
        <v>256.43300799000002</v>
      </c>
      <c r="AR163" s="366">
        <v>38.331854479999997</v>
      </c>
      <c r="AT163" s="366">
        <v>2.5920000000000001</v>
      </c>
      <c r="AX163" s="366">
        <v>9.6000000000000002E-2</v>
      </c>
      <c r="AZ163" s="366">
        <v>6.1276600000000001E-2</v>
      </c>
      <c r="BA163" s="366">
        <v>5.9276599999999999E-2</v>
      </c>
      <c r="BB163" s="366">
        <v>611.49963277999996</v>
      </c>
      <c r="BC163" s="366">
        <v>40</v>
      </c>
      <c r="BD163" s="366">
        <v>43.727207470000003</v>
      </c>
      <c r="BI163" s="366">
        <v>0.05</v>
      </c>
      <c r="BK163" s="366">
        <v>0.53146685999999999</v>
      </c>
      <c r="BL163" s="366">
        <v>0.48146686</v>
      </c>
      <c r="BM163" s="366">
        <v>12.999605170000001</v>
      </c>
    </row>
    <row r="164" spans="1:65" hidden="1">
      <c r="A164" s="366">
        <v>162</v>
      </c>
      <c r="B164" s="366" t="s">
        <v>306</v>
      </c>
      <c r="C164" s="366" t="s">
        <v>774</v>
      </c>
      <c r="D164" s="366">
        <v>1</v>
      </c>
      <c r="E164" s="366" t="s">
        <v>775</v>
      </c>
      <c r="F164" s="366">
        <v>1</v>
      </c>
      <c r="G164" s="366" t="s">
        <v>1011</v>
      </c>
      <c r="H164" s="366" t="s">
        <v>558</v>
      </c>
      <c r="I164" s="366" t="s">
        <v>433</v>
      </c>
      <c r="M164" s="366" t="s">
        <v>108</v>
      </c>
      <c r="N164" s="366" t="s">
        <v>776</v>
      </c>
      <c r="Q164" s="366" t="s">
        <v>552</v>
      </c>
      <c r="R164" s="366" t="s">
        <v>524</v>
      </c>
      <c r="S164" s="366" t="s">
        <v>794</v>
      </c>
      <c r="T164" s="366">
        <v>50</v>
      </c>
      <c r="U164" s="366">
        <v>0</v>
      </c>
      <c r="AA164" s="366">
        <v>117040</v>
      </c>
      <c r="AB164" s="366">
        <v>117040</v>
      </c>
      <c r="AC164" s="366">
        <v>836</v>
      </c>
      <c r="AD164" s="366">
        <v>16.72</v>
      </c>
      <c r="AE164" s="366">
        <v>25.28</v>
      </c>
      <c r="AI164" s="366">
        <v>0</v>
      </c>
      <c r="AL164" s="366">
        <v>0</v>
      </c>
      <c r="AN164" s="366">
        <v>42</v>
      </c>
      <c r="AO164" s="366">
        <v>358.85167464</v>
      </c>
      <c r="AP164" s="366">
        <v>142.85714286000001</v>
      </c>
      <c r="AQ164" s="366">
        <v>215.99453177999999</v>
      </c>
      <c r="AR164" s="366">
        <v>33.373205740000003</v>
      </c>
      <c r="AT164" s="366">
        <v>3.9060000000000001</v>
      </c>
      <c r="AX164" s="366">
        <v>9.2999999999999999E-2</v>
      </c>
      <c r="AZ164" s="366">
        <v>5.723077E-2</v>
      </c>
      <c r="BA164" s="366">
        <v>5.723077E-2</v>
      </c>
      <c r="BB164" s="366">
        <v>551.42692321000004</v>
      </c>
      <c r="BC164" s="366">
        <v>65</v>
      </c>
      <c r="BD164" s="366">
        <v>68.25</v>
      </c>
      <c r="BI164" s="366">
        <v>0.1</v>
      </c>
      <c r="BK164" s="366">
        <v>0.53664303000000002</v>
      </c>
      <c r="BL164" s="366">
        <v>0.43664302999999999</v>
      </c>
      <c r="BM164" s="366">
        <v>18.339007089999999</v>
      </c>
    </row>
    <row r="165" spans="1:65" hidden="1">
      <c r="A165" s="366">
        <v>163</v>
      </c>
      <c r="B165" s="366" t="s">
        <v>306</v>
      </c>
      <c r="C165" s="366" t="s">
        <v>777</v>
      </c>
      <c r="D165" s="366">
        <v>1</v>
      </c>
      <c r="E165" s="366" t="s">
        <v>775</v>
      </c>
      <c r="F165" s="366">
        <v>1</v>
      </c>
      <c r="G165" s="366" t="s">
        <v>1011</v>
      </c>
      <c r="H165" s="366" t="s">
        <v>558</v>
      </c>
      <c r="I165" s="366" t="s">
        <v>433</v>
      </c>
      <c r="M165" s="366" t="s">
        <v>108</v>
      </c>
      <c r="N165" s="366" t="s">
        <v>778</v>
      </c>
      <c r="Q165" s="366" t="s">
        <v>552</v>
      </c>
      <c r="R165" s="366" t="s">
        <v>524</v>
      </c>
      <c r="S165" s="366" t="s">
        <v>794</v>
      </c>
      <c r="T165" s="366">
        <v>34</v>
      </c>
      <c r="U165" s="366">
        <v>0</v>
      </c>
      <c r="AA165" s="366">
        <v>55860</v>
      </c>
      <c r="AB165" s="366">
        <v>55860</v>
      </c>
      <c r="AC165" s="366">
        <v>399</v>
      </c>
      <c r="AD165" s="366">
        <v>7.98</v>
      </c>
      <c r="AE165" s="366">
        <v>16.02</v>
      </c>
      <c r="AI165" s="366">
        <v>0</v>
      </c>
      <c r="AL165" s="366">
        <v>0</v>
      </c>
      <c r="AN165" s="366">
        <v>24</v>
      </c>
      <c r="AO165" s="366">
        <v>429.64554242999998</v>
      </c>
      <c r="AP165" s="366">
        <v>142.85714286000001</v>
      </c>
      <c r="AQ165" s="366">
        <v>286.78839957000002</v>
      </c>
      <c r="AR165" s="366">
        <v>42.10526316</v>
      </c>
      <c r="AT165" s="366">
        <v>2.3519999999999999</v>
      </c>
      <c r="AX165" s="366">
        <v>9.8000000000000004E-2</v>
      </c>
      <c r="AZ165" s="366">
        <v>5.7435899999999998E-2</v>
      </c>
      <c r="BA165" s="366">
        <v>5.7435899999999998E-2</v>
      </c>
      <c r="BB165" s="366">
        <v>693.22241774999998</v>
      </c>
      <c r="BC165" s="366">
        <v>39</v>
      </c>
      <c r="BD165" s="366">
        <v>40.950000000000003</v>
      </c>
      <c r="BI165" s="366">
        <v>0.1</v>
      </c>
      <c r="BK165" s="366">
        <v>0.61347518000000001</v>
      </c>
      <c r="BL165" s="366">
        <v>0.51347518000000003</v>
      </c>
      <c r="BM165" s="366">
        <v>12.32340426</v>
      </c>
    </row>
    <row r="166" spans="1:65" hidden="1">
      <c r="A166" s="366">
        <v>164</v>
      </c>
      <c r="B166" s="366" t="s">
        <v>306</v>
      </c>
      <c r="C166" s="366" t="s">
        <v>779</v>
      </c>
      <c r="D166" s="366">
        <v>1</v>
      </c>
      <c r="E166" s="366" t="s">
        <v>775</v>
      </c>
      <c r="F166" s="366">
        <v>1</v>
      </c>
      <c r="G166" s="366" t="s">
        <v>1011</v>
      </c>
      <c r="H166" s="366" t="s">
        <v>558</v>
      </c>
      <c r="I166" s="366" t="s">
        <v>433</v>
      </c>
      <c r="M166" s="366" t="s">
        <v>108</v>
      </c>
      <c r="N166" s="366" t="s">
        <v>672</v>
      </c>
      <c r="Q166" s="366" t="s">
        <v>504</v>
      </c>
      <c r="R166" s="366" t="s">
        <v>524</v>
      </c>
      <c r="S166" s="366" t="s">
        <v>794</v>
      </c>
      <c r="T166" s="366">
        <v>21</v>
      </c>
      <c r="U166" s="366">
        <v>0</v>
      </c>
      <c r="AA166" s="366">
        <v>40040</v>
      </c>
      <c r="AB166" s="366">
        <v>40040</v>
      </c>
      <c r="AC166" s="366">
        <v>286</v>
      </c>
      <c r="AD166" s="366">
        <v>5.72</v>
      </c>
      <c r="AE166" s="366">
        <v>12.28</v>
      </c>
      <c r="AI166" s="366">
        <v>0</v>
      </c>
      <c r="AL166" s="366">
        <v>0</v>
      </c>
      <c r="AN166" s="366">
        <v>18</v>
      </c>
      <c r="AO166" s="366">
        <v>449.55044955</v>
      </c>
      <c r="AP166" s="366">
        <v>142.85714286000001</v>
      </c>
      <c r="AQ166" s="366">
        <v>306.69330668999999</v>
      </c>
      <c r="AR166" s="366">
        <v>42.257742260000001</v>
      </c>
      <c r="AT166" s="366">
        <v>1.6919999999999999</v>
      </c>
      <c r="AX166" s="366">
        <v>9.4E-2</v>
      </c>
      <c r="AZ166" s="366">
        <v>6.1978020000000002E-2</v>
      </c>
      <c r="BA166" s="366">
        <v>6.1978020000000002E-2</v>
      </c>
      <c r="BB166" s="366">
        <v>644.7453256</v>
      </c>
      <c r="BC166" s="366">
        <v>26</v>
      </c>
      <c r="BD166" s="366">
        <v>27.3</v>
      </c>
      <c r="BI166" s="366">
        <v>0.1</v>
      </c>
      <c r="BK166" s="366">
        <v>0.43420016</v>
      </c>
      <c r="BL166" s="366">
        <v>0.33420016000000002</v>
      </c>
      <c r="BM166" s="366">
        <v>6.0156028399999997</v>
      </c>
    </row>
    <row r="167" spans="1:65" hidden="1">
      <c r="A167" s="366">
        <v>165</v>
      </c>
      <c r="B167" s="366" t="s">
        <v>306</v>
      </c>
      <c r="C167" s="366" t="s">
        <v>780</v>
      </c>
      <c r="D167" s="366">
        <v>1</v>
      </c>
      <c r="E167" s="366" t="s">
        <v>775</v>
      </c>
      <c r="F167" s="366">
        <v>1</v>
      </c>
      <c r="G167" s="366" t="s">
        <v>1011</v>
      </c>
      <c r="H167" s="366" t="s">
        <v>558</v>
      </c>
      <c r="I167" s="366" t="s">
        <v>468</v>
      </c>
      <c r="M167" s="366" t="s">
        <v>108</v>
      </c>
      <c r="N167" s="366" t="s">
        <v>581</v>
      </c>
      <c r="Q167" s="366" t="s">
        <v>698</v>
      </c>
      <c r="R167" s="366" t="s">
        <v>1014</v>
      </c>
      <c r="S167" s="366" t="s">
        <v>794</v>
      </c>
      <c r="T167" s="366">
        <v>2</v>
      </c>
      <c r="U167" s="366">
        <v>0</v>
      </c>
      <c r="AA167" s="366">
        <v>79660</v>
      </c>
      <c r="AB167" s="366">
        <v>79660</v>
      </c>
      <c r="AC167" s="366">
        <v>569</v>
      </c>
      <c r="AD167" s="366">
        <v>11.38</v>
      </c>
      <c r="AE167" s="366">
        <v>24.62</v>
      </c>
      <c r="AI167" s="366">
        <v>0</v>
      </c>
      <c r="AL167" s="366">
        <v>0</v>
      </c>
      <c r="AN167" s="366">
        <v>36</v>
      </c>
      <c r="AO167" s="366">
        <v>451.92066282000002</v>
      </c>
      <c r="AP167" s="366">
        <v>142.85714286000001</v>
      </c>
      <c r="AQ167" s="366">
        <v>309.06351996000001</v>
      </c>
      <c r="AR167" s="366">
        <v>38.413256339999997</v>
      </c>
      <c r="AT167" s="366">
        <v>3.06</v>
      </c>
      <c r="AX167" s="366">
        <v>8.5000000000000006E-2</v>
      </c>
      <c r="AZ167" s="366">
        <v>6.0714289999999997E-2</v>
      </c>
      <c r="BA167" s="366">
        <v>6.0714289999999997E-2</v>
      </c>
      <c r="BB167" s="366">
        <v>598.28740230999995</v>
      </c>
      <c r="BC167" s="366">
        <v>48</v>
      </c>
      <c r="BD167" s="366">
        <v>50.4</v>
      </c>
      <c r="BI167" s="366">
        <v>0.15</v>
      </c>
      <c r="BK167" s="366">
        <v>0.32387706999999999</v>
      </c>
      <c r="BL167" s="366">
        <v>0.17387706999999999</v>
      </c>
      <c r="BM167" s="366">
        <v>6.2595744699999996</v>
      </c>
    </row>
    <row r="168" spans="1:65" hidden="1">
      <c r="A168" s="366">
        <v>166</v>
      </c>
      <c r="B168" s="366" t="s">
        <v>306</v>
      </c>
      <c r="C168" s="366" t="s">
        <v>782</v>
      </c>
      <c r="D168" s="366">
        <v>1</v>
      </c>
      <c r="E168" s="366" t="s">
        <v>775</v>
      </c>
      <c r="F168" s="366">
        <v>1</v>
      </c>
      <c r="G168" s="366" t="s">
        <v>1011</v>
      </c>
      <c r="H168" s="366" t="s">
        <v>558</v>
      </c>
      <c r="I168" s="366" t="s">
        <v>468</v>
      </c>
      <c r="M168" s="366" t="s">
        <v>108</v>
      </c>
      <c r="N168" s="366" t="s">
        <v>783</v>
      </c>
      <c r="Q168" s="366" t="s">
        <v>495</v>
      </c>
      <c r="R168" s="366" t="s">
        <v>781</v>
      </c>
      <c r="S168" s="366" t="s">
        <v>794</v>
      </c>
      <c r="T168" s="366">
        <v>24</v>
      </c>
      <c r="U168" s="366">
        <v>0</v>
      </c>
      <c r="AA168" s="366">
        <v>81340</v>
      </c>
      <c r="AB168" s="366">
        <v>81340</v>
      </c>
      <c r="AC168" s="366">
        <v>581</v>
      </c>
      <c r="AD168" s="366">
        <v>11.62</v>
      </c>
      <c r="AE168" s="366">
        <v>29.38</v>
      </c>
      <c r="AI168" s="366">
        <v>0</v>
      </c>
      <c r="AL168" s="366">
        <v>0</v>
      </c>
      <c r="AN168" s="366">
        <v>41</v>
      </c>
      <c r="AO168" s="366">
        <v>504.05704450000002</v>
      </c>
      <c r="AP168" s="366">
        <v>142.85714286000001</v>
      </c>
      <c r="AQ168" s="366">
        <v>361.19990165000002</v>
      </c>
      <c r="AR168" s="366">
        <v>47.885419229999997</v>
      </c>
      <c r="AT168" s="366">
        <v>3.895</v>
      </c>
      <c r="AX168" s="366">
        <v>9.5000000000000001E-2</v>
      </c>
      <c r="AZ168" s="366">
        <v>6.1825400000000003E-2</v>
      </c>
      <c r="BA168" s="366">
        <v>6.1825400000000003E-2</v>
      </c>
      <c r="BB168" s="366">
        <v>732.41293441000005</v>
      </c>
      <c r="BC168" s="366">
        <v>60</v>
      </c>
      <c r="BD168" s="366">
        <v>63</v>
      </c>
      <c r="BI168" s="366">
        <v>0.15</v>
      </c>
      <c r="BK168" s="366">
        <v>0.45303580999999998</v>
      </c>
      <c r="BL168" s="366">
        <v>0.30303581000000002</v>
      </c>
      <c r="BM168" s="366">
        <v>12.42446809</v>
      </c>
    </row>
    <row r="169" spans="1:65" hidden="1">
      <c r="A169" s="366">
        <v>167</v>
      </c>
      <c r="B169" s="366" t="s">
        <v>306</v>
      </c>
      <c r="C169" s="366" t="s">
        <v>784</v>
      </c>
      <c r="D169" s="366">
        <v>1</v>
      </c>
      <c r="E169" s="366" t="s">
        <v>775</v>
      </c>
      <c r="F169" s="366">
        <v>1</v>
      </c>
      <c r="G169" s="366" t="s">
        <v>1011</v>
      </c>
      <c r="H169" s="366" t="s">
        <v>558</v>
      </c>
      <c r="I169" s="366" t="s">
        <v>468</v>
      </c>
      <c r="M169" s="366" t="s">
        <v>108</v>
      </c>
      <c r="N169" s="366" t="s">
        <v>785</v>
      </c>
      <c r="Q169" s="366" t="s">
        <v>698</v>
      </c>
      <c r="R169" s="366" t="s">
        <v>781</v>
      </c>
      <c r="S169" s="366" t="s">
        <v>794</v>
      </c>
      <c r="T169" s="366">
        <v>23</v>
      </c>
      <c r="U169" s="366">
        <v>0</v>
      </c>
      <c r="AA169" s="366">
        <v>108640</v>
      </c>
      <c r="AB169" s="366">
        <v>108640</v>
      </c>
      <c r="AC169" s="366">
        <v>776</v>
      </c>
      <c r="AD169" s="366">
        <v>15.52</v>
      </c>
      <c r="AE169" s="366">
        <v>30.48</v>
      </c>
      <c r="AI169" s="366">
        <v>0</v>
      </c>
      <c r="AL169" s="366">
        <v>0</v>
      </c>
      <c r="AN169" s="366">
        <v>46</v>
      </c>
      <c r="AO169" s="366">
        <v>423.41678940000003</v>
      </c>
      <c r="AP169" s="366">
        <v>142.85714286000001</v>
      </c>
      <c r="AQ169" s="366">
        <v>280.55964654000002</v>
      </c>
      <c r="AR169" s="366">
        <v>39.377761409999998</v>
      </c>
      <c r="AT169" s="366">
        <v>4.2779999999999996</v>
      </c>
      <c r="AX169" s="366">
        <v>9.2999999999999999E-2</v>
      </c>
      <c r="AZ169" s="366">
        <v>6.5714289999999995E-2</v>
      </c>
      <c r="BA169" s="366">
        <v>6.5714289999999995E-2</v>
      </c>
      <c r="BB169" s="366">
        <v>566.64473203</v>
      </c>
      <c r="BC169" s="366">
        <v>62</v>
      </c>
      <c r="BD169" s="366">
        <v>65.099999999999994</v>
      </c>
      <c r="BI169" s="366">
        <v>0.15</v>
      </c>
      <c r="BK169" s="366">
        <v>0.33826704000000002</v>
      </c>
      <c r="BL169" s="366">
        <v>0.18826704</v>
      </c>
      <c r="BM169" s="366">
        <v>8.66028369</v>
      </c>
    </row>
    <row r="170" spans="1:65" hidden="1">
      <c r="A170" s="366">
        <v>168</v>
      </c>
      <c r="B170" s="366" t="s">
        <v>306</v>
      </c>
      <c r="C170" s="366" t="s">
        <v>786</v>
      </c>
      <c r="D170" s="366">
        <v>1</v>
      </c>
      <c r="E170" s="366" t="s">
        <v>775</v>
      </c>
      <c r="F170" s="366">
        <v>1</v>
      </c>
      <c r="G170" s="366" t="s">
        <v>1011</v>
      </c>
      <c r="H170" s="366" t="s">
        <v>558</v>
      </c>
      <c r="I170" s="366" t="s">
        <v>468</v>
      </c>
      <c r="M170" s="366" t="s">
        <v>108</v>
      </c>
      <c r="N170" s="366" t="s">
        <v>778</v>
      </c>
      <c r="Q170" s="366" t="s">
        <v>855</v>
      </c>
      <c r="R170" s="366" t="s">
        <v>1015</v>
      </c>
      <c r="S170" s="366" t="s">
        <v>794</v>
      </c>
      <c r="T170" s="366">
        <v>13</v>
      </c>
      <c r="U170" s="366">
        <v>0</v>
      </c>
      <c r="AA170" s="366">
        <v>84000</v>
      </c>
      <c r="AB170" s="366">
        <v>84000</v>
      </c>
      <c r="AC170" s="366">
        <v>600</v>
      </c>
      <c r="AD170" s="366">
        <v>12</v>
      </c>
      <c r="AE170" s="366">
        <v>27</v>
      </c>
      <c r="AI170" s="366">
        <v>0</v>
      </c>
      <c r="AL170" s="366">
        <v>0</v>
      </c>
      <c r="AN170" s="366">
        <v>39</v>
      </c>
      <c r="AO170" s="366">
        <v>464.28571428999999</v>
      </c>
      <c r="AP170" s="366">
        <v>142.85714286000001</v>
      </c>
      <c r="AQ170" s="366">
        <v>321.42857142999998</v>
      </c>
      <c r="AR170" s="366">
        <v>39.928571429999998</v>
      </c>
      <c r="AT170" s="366">
        <v>3.3540000000000001</v>
      </c>
      <c r="AX170" s="366">
        <v>8.5999999999999993E-2</v>
      </c>
      <c r="AZ170" s="366">
        <v>5.9153440000000002E-2</v>
      </c>
      <c r="BA170" s="366">
        <v>5.9153440000000002E-2</v>
      </c>
      <c r="BB170" s="366">
        <v>638.29787234000003</v>
      </c>
      <c r="BC170" s="366">
        <v>54</v>
      </c>
      <c r="BD170" s="366">
        <v>56.7</v>
      </c>
      <c r="BI170" s="366">
        <v>0.2</v>
      </c>
      <c r="BK170" s="366">
        <v>0.37479541999999999</v>
      </c>
      <c r="BL170" s="366">
        <v>0.17479542000000001</v>
      </c>
      <c r="BM170" s="366">
        <v>6.8170212799999996</v>
      </c>
    </row>
    <row r="171" spans="1:65" hidden="1">
      <c r="A171" s="366">
        <v>169</v>
      </c>
      <c r="B171" s="366" t="s">
        <v>306</v>
      </c>
      <c r="C171" s="366" t="s">
        <v>787</v>
      </c>
      <c r="D171" s="366">
        <v>0.5</v>
      </c>
      <c r="E171" s="366" t="s">
        <v>775</v>
      </c>
      <c r="F171" s="366">
        <v>1</v>
      </c>
      <c r="G171" s="366" t="s">
        <v>898</v>
      </c>
      <c r="H171" s="366" t="s">
        <v>558</v>
      </c>
      <c r="I171" s="366" t="s">
        <v>433</v>
      </c>
      <c r="M171" s="366" t="s">
        <v>108</v>
      </c>
      <c r="N171" s="366" t="s">
        <v>544</v>
      </c>
      <c r="Q171" s="366" t="s">
        <v>669</v>
      </c>
      <c r="R171" s="366" t="s">
        <v>564</v>
      </c>
      <c r="S171" s="366" t="s">
        <v>791</v>
      </c>
      <c r="U171" s="366">
        <v>0</v>
      </c>
      <c r="AA171" s="366">
        <v>53130</v>
      </c>
      <c r="AB171" s="366">
        <v>53130</v>
      </c>
      <c r="AC171" s="366">
        <v>379.5</v>
      </c>
      <c r="AD171" s="366">
        <v>11.385</v>
      </c>
      <c r="AE171" s="366">
        <v>15.615</v>
      </c>
      <c r="AI171" s="366">
        <v>0</v>
      </c>
      <c r="AL171" s="366">
        <v>0</v>
      </c>
      <c r="AN171" s="366">
        <v>27</v>
      </c>
      <c r="AO171" s="366">
        <v>508.18746470999997</v>
      </c>
      <c r="AP171" s="366">
        <v>214.28571428999999</v>
      </c>
      <c r="AQ171" s="366">
        <v>293.90175041999998</v>
      </c>
      <c r="AR171" s="366">
        <v>47.261434219999998</v>
      </c>
      <c r="AT171" s="366">
        <v>2.5110000000000001</v>
      </c>
      <c r="AX171" s="366">
        <v>9.2999999999999999E-2</v>
      </c>
      <c r="AZ171" s="366">
        <v>4.7489360000000001E-2</v>
      </c>
      <c r="BA171" s="366">
        <v>4.548936E-2</v>
      </c>
      <c r="BB171" s="366">
        <v>982.46407271999999</v>
      </c>
      <c r="BC171" s="366">
        <v>50</v>
      </c>
      <c r="BD171" s="366">
        <v>55.199719360000003</v>
      </c>
      <c r="BI171" s="366">
        <v>0.2</v>
      </c>
      <c r="BK171" s="366">
        <v>0.93327097000000003</v>
      </c>
      <c r="BL171" s="366">
        <v>0.73327096999999997</v>
      </c>
      <c r="BM171" s="366">
        <v>19.79831618</v>
      </c>
    </row>
    <row r="172" spans="1:65" hidden="1">
      <c r="A172" s="366">
        <v>170</v>
      </c>
      <c r="B172" s="366" t="s">
        <v>306</v>
      </c>
      <c r="C172" s="366" t="s">
        <v>788</v>
      </c>
      <c r="D172" s="366">
        <v>0.5</v>
      </c>
      <c r="E172" s="366" t="s">
        <v>775</v>
      </c>
      <c r="F172" s="366">
        <v>1</v>
      </c>
      <c r="G172" s="366" t="s">
        <v>1011</v>
      </c>
      <c r="H172" s="366" t="s">
        <v>558</v>
      </c>
      <c r="I172" s="366" t="s">
        <v>433</v>
      </c>
      <c r="M172" s="366" t="s">
        <v>108</v>
      </c>
      <c r="N172" s="366" t="s">
        <v>544</v>
      </c>
      <c r="Q172" s="366" t="s">
        <v>669</v>
      </c>
      <c r="R172" s="366" t="s">
        <v>524</v>
      </c>
      <c r="S172" s="366" t="s">
        <v>794</v>
      </c>
      <c r="T172" s="366">
        <v>59.5</v>
      </c>
      <c r="U172" s="366">
        <v>0</v>
      </c>
      <c r="AA172" s="366">
        <v>120680</v>
      </c>
      <c r="AB172" s="366">
        <v>60340</v>
      </c>
      <c r="AC172" s="366">
        <v>862</v>
      </c>
      <c r="AD172" s="366">
        <v>25.86</v>
      </c>
      <c r="AE172" s="366">
        <v>17.14</v>
      </c>
      <c r="AI172" s="366">
        <v>0</v>
      </c>
      <c r="AL172" s="366">
        <v>0</v>
      </c>
      <c r="AN172" s="366">
        <v>43</v>
      </c>
      <c r="AO172" s="366">
        <v>712.62843884999995</v>
      </c>
      <c r="AP172" s="366">
        <v>428.57142857000002</v>
      </c>
      <c r="AQ172" s="366">
        <v>284.05701027999999</v>
      </c>
      <c r="AR172" s="366">
        <v>62.711302619999998</v>
      </c>
      <c r="AT172" s="366">
        <v>3.7839999999999998</v>
      </c>
      <c r="AX172" s="366">
        <v>8.7999999999999995E-2</v>
      </c>
      <c r="AZ172" s="366">
        <v>4.868368E-2</v>
      </c>
      <c r="BA172" s="366">
        <v>4.868368E-2</v>
      </c>
      <c r="BB172" s="366">
        <v>1218.0974478000001</v>
      </c>
      <c r="BC172" s="366">
        <v>73.5</v>
      </c>
      <c r="BD172" s="366">
        <v>77.726249999999993</v>
      </c>
      <c r="BI172" s="366">
        <v>0.1</v>
      </c>
      <c r="BK172" s="366">
        <v>0.70930232999999998</v>
      </c>
      <c r="BL172" s="366">
        <v>0.60930233</v>
      </c>
      <c r="BM172" s="366">
        <v>26.2</v>
      </c>
    </row>
    <row r="173" spans="1:65" hidden="1">
      <c r="A173" s="366">
        <v>171</v>
      </c>
      <c r="B173" s="366" t="s">
        <v>306</v>
      </c>
      <c r="C173" s="366" t="s">
        <v>899</v>
      </c>
      <c r="D173" s="366">
        <v>0.5</v>
      </c>
      <c r="E173" s="366" t="s">
        <v>775</v>
      </c>
      <c r="F173" s="366">
        <v>1</v>
      </c>
      <c r="G173" s="366" t="s">
        <v>1011</v>
      </c>
      <c r="H173" s="366" t="s">
        <v>558</v>
      </c>
      <c r="I173" s="366" t="s">
        <v>433</v>
      </c>
      <c r="M173" s="366" t="s">
        <v>108</v>
      </c>
      <c r="N173" s="366" t="s">
        <v>544</v>
      </c>
      <c r="Q173" s="366" t="s">
        <v>669</v>
      </c>
      <c r="R173" s="366" t="s">
        <v>524</v>
      </c>
      <c r="S173" s="366" t="s">
        <v>794</v>
      </c>
      <c r="T173" s="366">
        <v>33.5</v>
      </c>
      <c r="U173" s="366">
        <v>0</v>
      </c>
      <c r="AA173" s="366">
        <v>97860</v>
      </c>
      <c r="AB173" s="366">
        <v>48930</v>
      </c>
      <c r="AC173" s="366">
        <v>699</v>
      </c>
      <c r="AD173" s="366">
        <v>20.97</v>
      </c>
      <c r="AE173" s="366">
        <v>3.53</v>
      </c>
      <c r="AI173" s="366">
        <v>0</v>
      </c>
      <c r="AL173" s="366">
        <v>0</v>
      </c>
      <c r="AN173" s="366">
        <v>24.5</v>
      </c>
      <c r="AO173" s="366">
        <v>500.71530758</v>
      </c>
      <c r="AP173" s="366">
        <v>428.57142857000002</v>
      </c>
      <c r="AQ173" s="366">
        <v>72.143879010000006</v>
      </c>
      <c r="AR173" s="366">
        <v>46.0658083</v>
      </c>
      <c r="AT173" s="366">
        <v>2.254</v>
      </c>
      <c r="AX173" s="366">
        <v>9.1999999999999998E-2</v>
      </c>
      <c r="AZ173" s="366">
        <v>4.8998670000000001E-2</v>
      </c>
      <c r="BA173" s="366">
        <v>4.8998670000000001E-2</v>
      </c>
      <c r="BB173" s="366">
        <v>889.02513795000004</v>
      </c>
      <c r="BC173" s="366">
        <v>43.5</v>
      </c>
      <c r="BD173" s="366">
        <v>46.001249999999999</v>
      </c>
      <c r="BI173" s="366">
        <v>0.1</v>
      </c>
      <c r="BK173" s="366">
        <v>0.77551020000000004</v>
      </c>
      <c r="BL173" s="366">
        <v>0.67551019999999995</v>
      </c>
      <c r="BM173" s="366">
        <v>16.55</v>
      </c>
    </row>
    <row r="174" spans="1:65" hidden="1">
      <c r="A174" s="366">
        <v>172</v>
      </c>
      <c r="B174" s="366" t="s">
        <v>309</v>
      </c>
      <c r="C174" s="366" t="s">
        <v>789</v>
      </c>
      <c r="D174" s="366">
        <v>1</v>
      </c>
      <c r="E174" s="366" t="s">
        <v>130</v>
      </c>
      <c r="F174" s="366">
        <v>1</v>
      </c>
      <c r="G174" s="366" t="s">
        <v>900</v>
      </c>
      <c r="H174" s="366" t="s">
        <v>312</v>
      </c>
      <c r="I174" s="366" t="s">
        <v>433</v>
      </c>
      <c r="M174" s="366" t="s">
        <v>108</v>
      </c>
      <c r="N174" s="366" t="s">
        <v>544</v>
      </c>
      <c r="Q174" s="366" t="s">
        <v>790</v>
      </c>
      <c r="R174" s="366" t="s">
        <v>791</v>
      </c>
      <c r="U174" s="366">
        <v>0</v>
      </c>
      <c r="W174" s="366">
        <v>60000</v>
      </c>
      <c r="AA174" s="366">
        <v>60000</v>
      </c>
      <c r="AB174" s="366">
        <v>60000</v>
      </c>
      <c r="AC174" s="366">
        <v>145</v>
      </c>
      <c r="AE174" s="366">
        <v>0</v>
      </c>
      <c r="AN174" s="366">
        <v>0</v>
      </c>
      <c r="AO174" s="366">
        <v>0</v>
      </c>
      <c r="AP174" s="366">
        <v>0</v>
      </c>
      <c r="AQ174" s="366">
        <v>0</v>
      </c>
      <c r="AR174" s="366">
        <v>25</v>
      </c>
      <c r="AS174" s="366">
        <v>24.074074070000002</v>
      </c>
      <c r="AT174" s="366">
        <v>1.4444444400000001</v>
      </c>
      <c r="BC174" s="366">
        <v>22</v>
      </c>
    </row>
    <row r="175" spans="1:65" hidden="1">
      <c r="A175" s="366">
        <v>173</v>
      </c>
      <c r="B175" s="366" t="s">
        <v>309</v>
      </c>
      <c r="C175" s="366" t="s">
        <v>792</v>
      </c>
      <c r="D175" s="366">
        <v>1</v>
      </c>
      <c r="E175" s="366" t="s">
        <v>130</v>
      </c>
      <c r="F175" s="366">
        <v>1</v>
      </c>
      <c r="G175" s="366" t="s">
        <v>900</v>
      </c>
      <c r="H175" s="366" t="s">
        <v>558</v>
      </c>
      <c r="I175" s="366" t="s">
        <v>433</v>
      </c>
      <c r="M175" s="366" t="s">
        <v>108</v>
      </c>
      <c r="N175" s="366" t="s">
        <v>544</v>
      </c>
      <c r="Q175" s="366" t="s">
        <v>790</v>
      </c>
      <c r="R175" s="366" t="s">
        <v>794</v>
      </c>
      <c r="U175" s="366">
        <v>0</v>
      </c>
      <c r="W175" s="366">
        <v>14000</v>
      </c>
      <c r="AA175" s="366">
        <v>14000</v>
      </c>
      <c r="AB175" s="366">
        <v>14000</v>
      </c>
      <c r="AC175" s="366">
        <v>267</v>
      </c>
      <c r="AE175" s="366">
        <v>0</v>
      </c>
      <c r="AN175" s="366">
        <v>0</v>
      </c>
      <c r="AO175" s="366">
        <v>0</v>
      </c>
      <c r="AP175" s="366">
        <v>0</v>
      </c>
      <c r="AQ175" s="366">
        <v>0</v>
      </c>
      <c r="AR175" s="366">
        <v>18</v>
      </c>
      <c r="AS175" s="366">
        <v>15.87301587</v>
      </c>
      <c r="AT175" s="366">
        <v>0.22222222</v>
      </c>
      <c r="BC175" s="366">
        <v>10</v>
      </c>
    </row>
    <row r="176" spans="1:65" hidden="1">
      <c r="A176" s="366">
        <v>174</v>
      </c>
      <c r="B176" s="366" t="s">
        <v>309</v>
      </c>
      <c r="C176" s="366" t="s">
        <v>793</v>
      </c>
      <c r="D176" s="366">
        <v>1</v>
      </c>
      <c r="E176" s="366" t="s">
        <v>130</v>
      </c>
      <c r="F176" s="366">
        <v>1</v>
      </c>
      <c r="G176" s="366" t="s">
        <v>1070</v>
      </c>
      <c r="H176" s="366" t="s">
        <v>558</v>
      </c>
      <c r="I176" s="366" t="s">
        <v>468</v>
      </c>
      <c r="M176" s="366" t="s">
        <v>108</v>
      </c>
      <c r="N176" s="366" t="s">
        <v>544</v>
      </c>
      <c r="Q176" s="366" t="s">
        <v>790</v>
      </c>
      <c r="R176" s="366" t="s">
        <v>633</v>
      </c>
      <c r="U176" s="366">
        <v>0</v>
      </c>
      <c r="W176" s="366">
        <v>36000</v>
      </c>
      <c r="AA176" s="366">
        <v>36000</v>
      </c>
      <c r="AB176" s="366">
        <v>36000</v>
      </c>
      <c r="AC176" s="366">
        <v>148</v>
      </c>
      <c r="AE176" s="366">
        <v>0</v>
      </c>
      <c r="AN176" s="366">
        <v>0</v>
      </c>
      <c r="AO176" s="366">
        <v>0</v>
      </c>
      <c r="AP176" s="366">
        <v>0</v>
      </c>
      <c r="AQ176" s="366">
        <v>0</v>
      </c>
      <c r="AR176" s="366">
        <v>21</v>
      </c>
      <c r="AS176" s="366">
        <v>19.444444440000002</v>
      </c>
      <c r="AT176" s="366">
        <v>0.7</v>
      </c>
      <c r="BC176" s="366">
        <v>9</v>
      </c>
    </row>
    <row r="177" spans="1:65" hidden="1">
      <c r="A177" s="366">
        <v>175</v>
      </c>
      <c r="B177" s="366" t="s">
        <v>309</v>
      </c>
      <c r="C177" s="366" t="s">
        <v>795</v>
      </c>
      <c r="D177" s="366">
        <v>1</v>
      </c>
      <c r="E177" s="366" t="s">
        <v>130</v>
      </c>
      <c r="F177" s="366">
        <v>1</v>
      </c>
      <c r="G177" s="366" t="s">
        <v>1070</v>
      </c>
      <c r="H177" s="366" t="s">
        <v>558</v>
      </c>
      <c r="I177" s="366" t="s">
        <v>468</v>
      </c>
      <c r="M177" s="366" t="s">
        <v>108</v>
      </c>
      <c r="N177" s="366" t="s">
        <v>544</v>
      </c>
      <c r="Q177" s="366" t="s">
        <v>790</v>
      </c>
      <c r="R177" s="366" t="s">
        <v>496</v>
      </c>
      <c r="U177" s="366">
        <v>0</v>
      </c>
      <c r="W177" s="366">
        <v>0</v>
      </c>
      <c r="AC177" s="366">
        <v>170</v>
      </c>
      <c r="AE177" s="366">
        <v>0</v>
      </c>
      <c r="AN177" s="366">
        <v>0</v>
      </c>
      <c r="BC177" s="366">
        <v>5</v>
      </c>
    </row>
    <row r="178" spans="1:65" hidden="1">
      <c r="A178" s="366">
        <v>176</v>
      </c>
      <c r="B178" s="366" t="s">
        <v>309</v>
      </c>
      <c r="C178" s="366" t="s">
        <v>796</v>
      </c>
      <c r="D178" s="366">
        <v>1</v>
      </c>
      <c r="E178" s="366" t="s">
        <v>130</v>
      </c>
      <c r="F178" s="366">
        <v>1</v>
      </c>
      <c r="G178" s="366" t="s">
        <v>1070</v>
      </c>
      <c r="H178" s="366" t="s">
        <v>558</v>
      </c>
      <c r="I178" s="366" t="s">
        <v>468</v>
      </c>
      <c r="M178" s="366" t="s">
        <v>108</v>
      </c>
      <c r="N178" s="366" t="s">
        <v>544</v>
      </c>
      <c r="Q178" s="366" t="s">
        <v>790</v>
      </c>
      <c r="R178" s="366" t="s">
        <v>751</v>
      </c>
      <c r="U178" s="366">
        <v>0</v>
      </c>
      <c r="W178" s="366">
        <v>0</v>
      </c>
      <c r="AC178" s="366">
        <v>160</v>
      </c>
      <c r="AE178" s="366">
        <v>0</v>
      </c>
      <c r="AN178" s="366">
        <v>0</v>
      </c>
      <c r="BC178" s="366">
        <v>0</v>
      </c>
    </row>
    <row r="179" spans="1:65" hidden="1">
      <c r="A179" s="366">
        <v>177</v>
      </c>
      <c r="B179" s="366" t="s">
        <v>309</v>
      </c>
      <c r="C179" s="366" t="s">
        <v>797</v>
      </c>
      <c r="D179" s="366">
        <v>1</v>
      </c>
      <c r="E179" s="366" t="s">
        <v>130</v>
      </c>
      <c r="F179" s="366">
        <v>1</v>
      </c>
      <c r="G179" s="366" t="s">
        <v>1070</v>
      </c>
      <c r="H179" s="366" t="s">
        <v>558</v>
      </c>
      <c r="I179" s="366" t="s">
        <v>468</v>
      </c>
      <c r="M179" s="366" t="s">
        <v>108</v>
      </c>
      <c r="N179" s="366" t="s">
        <v>544</v>
      </c>
      <c r="Q179" s="366" t="s">
        <v>790</v>
      </c>
      <c r="R179" s="366" t="s">
        <v>751</v>
      </c>
      <c r="U179" s="366">
        <v>0</v>
      </c>
      <c r="W179" s="366">
        <v>48000</v>
      </c>
      <c r="AA179" s="366">
        <v>48000</v>
      </c>
      <c r="AB179" s="366">
        <v>48000</v>
      </c>
      <c r="AC179" s="366">
        <v>800</v>
      </c>
      <c r="AE179" s="366">
        <v>0</v>
      </c>
      <c r="AN179" s="366">
        <v>0</v>
      </c>
      <c r="AO179" s="366">
        <v>0</v>
      </c>
      <c r="AP179" s="366">
        <v>0</v>
      </c>
      <c r="AQ179" s="366">
        <v>0</v>
      </c>
      <c r="AR179" s="366">
        <v>35</v>
      </c>
      <c r="AS179" s="366">
        <v>31.25</v>
      </c>
      <c r="AT179" s="366">
        <v>1.5</v>
      </c>
      <c r="BC179" s="366">
        <v>26</v>
      </c>
    </row>
    <row r="180" spans="1:65" hidden="1">
      <c r="A180" s="366">
        <v>178</v>
      </c>
      <c r="B180" s="366" t="s">
        <v>309</v>
      </c>
      <c r="C180" s="366" t="s">
        <v>798</v>
      </c>
      <c r="D180" s="366">
        <v>1</v>
      </c>
      <c r="E180" s="366" t="s">
        <v>130</v>
      </c>
      <c r="F180" s="366">
        <v>1</v>
      </c>
      <c r="G180" s="366" t="s">
        <v>1070</v>
      </c>
      <c r="H180" s="366" t="s">
        <v>558</v>
      </c>
      <c r="I180" s="366" t="s">
        <v>486</v>
      </c>
      <c r="M180" s="366" t="s">
        <v>108</v>
      </c>
      <c r="N180" s="366" t="s">
        <v>544</v>
      </c>
      <c r="Q180" s="366" t="s">
        <v>549</v>
      </c>
      <c r="R180" s="366" t="s">
        <v>799</v>
      </c>
      <c r="U180" s="366">
        <v>0</v>
      </c>
      <c r="W180" s="366">
        <v>40000</v>
      </c>
      <c r="AA180" s="366">
        <v>40000</v>
      </c>
      <c r="AB180" s="366">
        <v>40000</v>
      </c>
      <c r="AC180" s="366">
        <v>130</v>
      </c>
      <c r="AE180" s="366">
        <v>0</v>
      </c>
      <c r="AN180" s="366">
        <v>0</v>
      </c>
      <c r="AO180" s="366">
        <v>0</v>
      </c>
      <c r="AP180" s="366">
        <v>0</v>
      </c>
      <c r="AQ180" s="366">
        <v>0</v>
      </c>
      <c r="AR180" s="366">
        <v>30</v>
      </c>
      <c r="AS180" s="366">
        <v>27.5</v>
      </c>
      <c r="AT180" s="366">
        <v>1.1000000000000001</v>
      </c>
    </row>
    <row r="181" spans="1:65" hidden="1">
      <c r="A181" s="366">
        <v>179</v>
      </c>
      <c r="B181" s="366" t="s">
        <v>309</v>
      </c>
      <c r="C181" s="366" t="s">
        <v>800</v>
      </c>
      <c r="D181" s="366">
        <v>1</v>
      </c>
      <c r="E181" s="366" t="s">
        <v>130</v>
      </c>
      <c r="F181" s="366">
        <v>1</v>
      </c>
      <c r="G181" s="366" t="s">
        <v>1070</v>
      </c>
      <c r="H181" s="366" t="s">
        <v>558</v>
      </c>
      <c r="I181" s="366" t="s">
        <v>486</v>
      </c>
      <c r="M181" s="366" t="s">
        <v>108</v>
      </c>
      <c r="N181" s="366" t="s">
        <v>544</v>
      </c>
      <c r="Q181" s="366" t="s">
        <v>801</v>
      </c>
      <c r="R181" s="366" t="s">
        <v>802</v>
      </c>
      <c r="U181" s="366">
        <v>0</v>
      </c>
      <c r="W181" s="366">
        <v>62000</v>
      </c>
      <c r="AA181" s="366">
        <v>62000</v>
      </c>
      <c r="AB181" s="366">
        <v>62000</v>
      </c>
      <c r="AC181" s="366">
        <v>222</v>
      </c>
      <c r="AE181" s="366">
        <v>0</v>
      </c>
      <c r="AN181" s="366">
        <v>0</v>
      </c>
      <c r="AO181" s="366">
        <v>0</v>
      </c>
      <c r="AP181" s="366">
        <v>0</v>
      </c>
      <c r="AQ181" s="366">
        <v>0</v>
      </c>
    </row>
    <row r="182" spans="1:65" hidden="1">
      <c r="A182" s="366">
        <v>180</v>
      </c>
      <c r="B182" s="366" t="s">
        <v>309</v>
      </c>
      <c r="C182" s="366" t="s">
        <v>803</v>
      </c>
      <c r="D182" s="366">
        <v>1</v>
      </c>
      <c r="E182" s="366" t="s">
        <v>130</v>
      </c>
      <c r="F182" s="366">
        <v>1</v>
      </c>
      <c r="G182" s="366" t="s">
        <v>1070</v>
      </c>
      <c r="H182" s="366" t="s">
        <v>558</v>
      </c>
      <c r="I182" s="366" t="s">
        <v>468</v>
      </c>
      <c r="M182" s="366" t="s">
        <v>108</v>
      </c>
      <c r="N182" s="366" t="s">
        <v>544</v>
      </c>
      <c r="Q182" s="366" t="s">
        <v>855</v>
      </c>
      <c r="R182" s="366" t="s">
        <v>818</v>
      </c>
      <c r="U182" s="366">
        <v>0</v>
      </c>
      <c r="W182" s="366">
        <v>17000</v>
      </c>
      <c r="AA182" s="366">
        <v>17000</v>
      </c>
      <c r="AB182" s="366">
        <v>17000</v>
      </c>
      <c r="AC182" s="366">
        <v>77</v>
      </c>
      <c r="AE182" s="366">
        <v>0</v>
      </c>
      <c r="AN182" s="366">
        <v>0</v>
      </c>
      <c r="AO182" s="366">
        <v>0</v>
      </c>
      <c r="AP182" s="366">
        <v>0</v>
      </c>
      <c r="AQ182" s="366">
        <v>0</v>
      </c>
      <c r="AR182" s="366">
        <v>32</v>
      </c>
      <c r="AS182" s="366">
        <v>41.176470590000001</v>
      </c>
      <c r="AT182" s="366">
        <v>0.7</v>
      </c>
    </row>
    <row r="183" spans="1:65" hidden="1">
      <c r="A183" s="366">
        <v>181</v>
      </c>
      <c r="B183" s="366" t="s">
        <v>309</v>
      </c>
      <c r="C183" s="366" t="s">
        <v>804</v>
      </c>
      <c r="D183" s="366">
        <v>1</v>
      </c>
      <c r="E183" s="366" t="s">
        <v>130</v>
      </c>
      <c r="F183" s="366">
        <v>1</v>
      </c>
      <c r="G183" s="366" t="s">
        <v>1070</v>
      </c>
      <c r="H183" s="366" t="s">
        <v>558</v>
      </c>
      <c r="I183" s="366" t="s">
        <v>468</v>
      </c>
      <c r="M183" s="366" t="s">
        <v>108</v>
      </c>
      <c r="N183" s="366" t="s">
        <v>544</v>
      </c>
      <c r="Q183" s="366" t="s">
        <v>855</v>
      </c>
      <c r="R183" s="366" t="s">
        <v>818</v>
      </c>
      <c r="U183" s="366">
        <v>0</v>
      </c>
      <c r="AC183" s="366">
        <v>110</v>
      </c>
      <c r="AE183" s="366">
        <v>0</v>
      </c>
      <c r="AN183" s="366">
        <v>0</v>
      </c>
    </row>
    <row r="184" spans="1:65" hidden="1">
      <c r="A184" s="366">
        <v>182</v>
      </c>
      <c r="B184" s="366" t="s">
        <v>309</v>
      </c>
      <c r="C184" s="366" t="s">
        <v>805</v>
      </c>
      <c r="D184" s="366">
        <v>1</v>
      </c>
      <c r="E184" s="366" t="s">
        <v>130</v>
      </c>
      <c r="F184" s="366">
        <v>1</v>
      </c>
      <c r="G184" s="366" t="s">
        <v>1070</v>
      </c>
      <c r="H184" s="366" t="s">
        <v>558</v>
      </c>
      <c r="I184" s="366" t="s">
        <v>486</v>
      </c>
      <c r="M184" s="366" t="s">
        <v>108</v>
      </c>
      <c r="N184" s="366" t="s">
        <v>544</v>
      </c>
      <c r="Q184" s="366" t="s">
        <v>632</v>
      </c>
      <c r="R184" s="366" t="s">
        <v>818</v>
      </c>
      <c r="U184" s="366">
        <v>0</v>
      </c>
      <c r="W184" s="366">
        <v>33000</v>
      </c>
      <c r="AA184" s="366">
        <v>33000</v>
      </c>
      <c r="AB184" s="366">
        <v>33000</v>
      </c>
      <c r="AC184" s="366">
        <v>200</v>
      </c>
      <c r="AE184" s="366">
        <v>0</v>
      </c>
      <c r="AN184" s="366">
        <v>0</v>
      </c>
      <c r="AO184" s="366">
        <v>0</v>
      </c>
      <c r="AP184" s="366">
        <v>0</v>
      </c>
      <c r="AQ184" s="366">
        <v>0</v>
      </c>
      <c r="AR184" s="366">
        <v>20</v>
      </c>
      <c r="AT184" s="366">
        <v>0.6</v>
      </c>
    </row>
    <row r="185" spans="1:65" hidden="1">
      <c r="A185" s="366">
        <v>183</v>
      </c>
      <c r="B185" s="366" t="s">
        <v>309</v>
      </c>
      <c r="C185" s="366" t="s">
        <v>807</v>
      </c>
      <c r="D185" s="366">
        <v>1</v>
      </c>
      <c r="E185" s="366" t="s">
        <v>130</v>
      </c>
      <c r="F185" s="366">
        <v>1</v>
      </c>
      <c r="G185" s="366" t="s">
        <v>1070</v>
      </c>
      <c r="H185" s="366" t="s">
        <v>558</v>
      </c>
      <c r="I185" s="366" t="s">
        <v>486</v>
      </c>
      <c r="M185" s="366" t="s">
        <v>108</v>
      </c>
      <c r="N185" s="366" t="s">
        <v>544</v>
      </c>
      <c r="Q185" s="366" t="s">
        <v>632</v>
      </c>
      <c r="R185" s="366" t="s">
        <v>818</v>
      </c>
      <c r="U185" s="366">
        <v>0</v>
      </c>
      <c r="W185" s="366">
        <v>33000</v>
      </c>
      <c r="AA185" s="366">
        <v>33000</v>
      </c>
      <c r="AB185" s="366">
        <v>33000</v>
      </c>
      <c r="AC185" s="366">
        <v>224</v>
      </c>
      <c r="AE185" s="366">
        <v>0</v>
      </c>
      <c r="AN185" s="366">
        <v>0</v>
      </c>
      <c r="AO185" s="366">
        <v>0</v>
      </c>
      <c r="AP185" s="366">
        <v>0</v>
      </c>
      <c r="AQ185" s="366">
        <v>0</v>
      </c>
      <c r="AR185" s="366">
        <v>17</v>
      </c>
      <c r="AS185" s="366">
        <v>15.15151515</v>
      </c>
      <c r="AT185" s="366">
        <v>0.5</v>
      </c>
    </row>
    <row r="186" spans="1:65" hidden="1">
      <c r="A186" s="366">
        <v>184</v>
      </c>
      <c r="B186" s="366" t="s">
        <v>309</v>
      </c>
      <c r="C186" s="366" t="s">
        <v>808</v>
      </c>
      <c r="D186" s="366">
        <v>1</v>
      </c>
      <c r="E186" s="366" t="s">
        <v>130</v>
      </c>
      <c r="F186" s="366">
        <v>1</v>
      </c>
      <c r="G186" s="366" t="s">
        <v>1070</v>
      </c>
      <c r="H186" s="366" t="s">
        <v>558</v>
      </c>
      <c r="I186" s="366" t="s">
        <v>486</v>
      </c>
      <c r="M186" s="366" t="s">
        <v>108</v>
      </c>
      <c r="N186" s="366" t="s">
        <v>544</v>
      </c>
      <c r="Q186" s="366" t="s">
        <v>632</v>
      </c>
      <c r="R186" s="366" t="s">
        <v>806</v>
      </c>
      <c r="U186" s="366">
        <v>0</v>
      </c>
      <c r="W186" s="366">
        <v>40000</v>
      </c>
      <c r="AA186" s="366">
        <v>40000</v>
      </c>
      <c r="AB186" s="366">
        <v>40000</v>
      </c>
      <c r="AC186" s="366">
        <v>113</v>
      </c>
      <c r="AE186" s="366">
        <v>0</v>
      </c>
      <c r="AN186" s="366">
        <v>0</v>
      </c>
      <c r="AO186" s="366">
        <v>0</v>
      </c>
      <c r="AP186" s="366">
        <v>0</v>
      </c>
      <c r="AQ186" s="366">
        <v>0</v>
      </c>
    </row>
    <row r="187" spans="1:65" hidden="1">
      <c r="A187" s="366">
        <v>185</v>
      </c>
      <c r="B187" s="366" t="s">
        <v>309</v>
      </c>
      <c r="C187" s="366" t="s">
        <v>809</v>
      </c>
      <c r="D187" s="366">
        <v>1</v>
      </c>
      <c r="E187" s="366" t="s">
        <v>130</v>
      </c>
      <c r="F187" s="366">
        <v>1</v>
      </c>
      <c r="G187" s="366" t="s">
        <v>1070</v>
      </c>
      <c r="H187" s="366" t="s">
        <v>558</v>
      </c>
      <c r="I187" s="366" t="s">
        <v>486</v>
      </c>
      <c r="M187" s="366" t="s">
        <v>108</v>
      </c>
      <c r="N187" s="366" t="s">
        <v>544</v>
      </c>
      <c r="Q187" s="366" t="s">
        <v>632</v>
      </c>
      <c r="R187" s="366" t="s">
        <v>806</v>
      </c>
      <c r="U187" s="366">
        <v>0</v>
      </c>
      <c r="AC187" s="366">
        <v>96</v>
      </c>
      <c r="AE187" s="366">
        <v>0</v>
      </c>
      <c r="AN187" s="366">
        <v>0</v>
      </c>
    </row>
    <row r="188" spans="1:65" hidden="1">
      <c r="A188" s="366">
        <v>186</v>
      </c>
      <c r="B188" s="366" t="s">
        <v>309</v>
      </c>
      <c r="C188" s="366" t="s">
        <v>810</v>
      </c>
      <c r="D188" s="366">
        <v>1</v>
      </c>
      <c r="E188" s="366" t="s">
        <v>130</v>
      </c>
      <c r="F188" s="366">
        <v>1</v>
      </c>
      <c r="G188" s="366" t="s">
        <v>1070</v>
      </c>
      <c r="H188" s="366" t="s">
        <v>558</v>
      </c>
      <c r="I188" s="366" t="s">
        <v>481</v>
      </c>
      <c r="M188" s="366" t="s">
        <v>108</v>
      </c>
      <c r="N188" s="366" t="s">
        <v>544</v>
      </c>
      <c r="Q188" s="366" t="s">
        <v>806</v>
      </c>
      <c r="R188" s="366" t="s">
        <v>490</v>
      </c>
      <c r="U188" s="366">
        <v>0</v>
      </c>
      <c r="W188" s="366">
        <v>55000</v>
      </c>
      <c r="AA188" s="366">
        <v>55000</v>
      </c>
      <c r="AB188" s="366">
        <v>55000</v>
      </c>
      <c r="AC188" s="366">
        <v>300</v>
      </c>
      <c r="AE188" s="366">
        <v>20</v>
      </c>
      <c r="AN188" s="366">
        <v>20</v>
      </c>
      <c r="AO188" s="366">
        <v>363.63636364000001</v>
      </c>
      <c r="AP188" s="366">
        <v>0</v>
      </c>
      <c r="AQ188" s="366">
        <v>363.63636364000001</v>
      </c>
      <c r="AX188" s="366">
        <v>0</v>
      </c>
      <c r="BK188" s="366">
        <v>-1</v>
      </c>
    </row>
    <row r="189" spans="1:65" hidden="1">
      <c r="A189" s="366">
        <v>187</v>
      </c>
      <c r="B189" s="366" t="s">
        <v>309</v>
      </c>
      <c r="C189" s="366" t="s">
        <v>811</v>
      </c>
      <c r="D189" s="366">
        <v>1</v>
      </c>
      <c r="E189" s="366" t="s">
        <v>130</v>
      </c>
      <c r="F189" s="366">
        <v>1</v>
      </c>
      <c r="G189" s="366" t="s">
        <v>1070</v>
      </c>
      <c r="H189" s="366" t="s">
        <v>558</v>
      </c>
      <c r="I189" s="366" t="s">
        <v>486</v>
      </c>
      <c r="M189" s="366" t="s">
        <v>108</v>
      </c>
      <c r="N189" s="366" t="s">
        <v>544</v>
      </c>
      <c r="Q189" s="366" t="s">
        <v>632</v>
      </c>
      <c r="R189" s="366" t="s">
        <v>806</v>
      </c>
      <c r="U189" s="366">
        <v>0</v>
      </c>
      <c r="AC189" s="366">
        <v>110</v>
      </c>
      <c r="AE189" s="366">
        <v>0</v>
      </c>
      <c r="AN189" s="366">
        <v>0</v>
      </c>
    </row>
    <row r="190" spans="1:65" hidden="1">
      <c r="A190" s="366">
        <v>188</v>
      </c>
      <c r="B190" s="366" t="s">
        <v>309</v>
      </c>
      <c r="C190" s="366" t="s">
        <v>812</v>
      </c>
      <c r="D190" s="366">
        <v>1</v>
      </c>
      <c r="E190" s="366" t="s">
        <v>130</v>
      </c>
      <c r="F190" s="366">
        <v>1</v>
      </c>
      <c r="G190" s="366" t="s">
        <v>900</v>
      </c>
      <c r="H190" s="366" t="s">
        <v>312</v>
      </c>
      <c r="I190" s="366" t="s">
        <v>433</v>
      </c>
      <c r="M190" s="366" t="s">
        <v>108</v>
      </c>
      <c r="N190" s="366" t="s">
        <v>544</v>
      </c>
      <c r="Q190" s="366" t="s">
        <v>813</v>
      </c>
      <c r="R190" s="366" t="s">
        <v>814</v>
      </c>
      <c r="U190" s="366">
        <v>0</v>
      </c>
      <c r="W190" s="366">
        <v>61164</v>
      </c>
      <c r="AA190" s="366">
        <v>61164</v>
      </c>
      <c r="AB190" s="366">
        <v>61164</v>
      </c>
      <c r="AD190" s="366">
        <v>30</v>
      </c>
      <c r="AE190" s="366">
        <v>3</v>
      </c>
      <c r="AN190" s="366">
        <v>33</v>
      </c>
      <c r="AO190" s="366">
        <v>539.53305866000005</v>
      </c>
      <c r="AP190" s="366">
        <v>490.48459878</v>
      </c>
      <c r="AQ190" s="366">
        <v>49.048459880000003</v>
      </c>
      <c r="AR190" s="366">
        <v>64</v>
      </c>
      <c r="AS190" s="366">
        <v>72.664384999999996</v>
      </c>
      <c r="AT190" s="366">
        <v>4.4444444399999998</v>
      </c>
      <c r="AX190" s="366">
        <v>0.13468013000000001</v>
      </c>
      <c r="AZ190" s="366">
        <v>5.5E-2</v>
      </c>
      <c r="BB190" s="366">
        <v>1249.33393518</v>
      </c>
      <c r="BC190" s="366">
        <v>52</v>
      </c>
      <c r="BK190" s="366">
        <v>0.57575757999999999</v>
      </c>
    </row>
    <row r="191" spans="1:65" hidden="1">
      <c r="A191" s="366">
        <v>189</v>
      </c>
      <c r="B191" s="366" t="s">
        <v>309</v>
      </c>
      <c r="C191" s="366" t="s">
        <v>901</v>
      </c>
      <c r="D191" s="366">
        <v>1</v>
      </c>
      <c r="E191" s="366" t="s">
        <v>130</v>
      </c>
      <c r="F191" s="366">
        <v>1</v>
      </c>
      <c r="G191" s="366" t="s">
        <v>900</v>
      </c>
      <c r="H191" s="366" t="s">
        <v>312</v>
      </c>
      <c r="I191" s="366" t="s">
        <v>433</v>
      </c>
      <c r="M191" s="366" t="s">
        <v>108</v>
      </c>
      <c r="N191" s="366" t="s">
        <v>544</v>
      </c>
      <c r="Q191" s="366" t="s">
        <v>790</v>
      </c>
      <c r="R191" s="366" t="s">
        <v>791</v>
      </c>
      <c r="U191" s="366">
        <v>0</v>
      </c>
      <c r="W191" s="366">
        <v>55277</v>
      </c>
      <c r="AA191" s="366">
        <v>55277</v>
      </c>
      <c r="AB191" s="366">
        <v>55277</v>
      </c>
      <c r="AD191" s="366">
        <v>15</v>
      </c>
      <c r="AE191" s="366">
        <v>17</v>
      </c>
      <c r="AN191" s="366">
        <v>32</v>
      </c>
      <c r="AO191" s="366">
        <v>578.90261772999997</v>
      </c>
      <c r="AP191" s="366">
        <v>271.36060206000002</v>
      </c>
      <c r="AQ191" s="366">
        <v>307.54201567000001</v>
      </c>
      <c r="AR191" s="366">
        <v>31</v>
      </c>
      <c r="AS191" s="366">
        <v>41.60862565</v>
      </c>
      <c r="AT191" s="366">
        <v>2.2999999999999998</v>
      </c>
      <c r="AX191" s="366">
        <v>7.1874999999999994E-2</v>
      </c>
      <c r="AZ191" s="366">
        <v>5.5E-2</v>
      </c>
      <c r="BB191" s="366">
        <v>715.38578378</v>
      </c>
      <c r="BC191" s="366">
        <v>41.81818182</v>
      </c>
      <c r="BI191" s="366">
        <v>0.15</v>
      </c>
      <c r="BK191" s="366">
        <v>0.30681818</v>
      </c>
      <c r="BL191" s="366">
        <v>0.15681818</v>
      </c>
      <c r="BM191" s="366">
        <v>5.0181818199999997</v>
      </c>
    </row>
    <row r="192" spans="1:65" hidden="1">
      <c r="A192" s="366">
        <v>190</v>
      </c>
      <c r="B192" s="366" t="s">
        <v>309</v>
      </c>
      <c r="C192" s="366" t="s">
        <v>902</v>
      </c>
      <c r="D192" s="366">
        <v>1</v>
      </c>
      <c r="E192" s="366" t="s">
        <v>130</v>
      </c>
      <c r="F192" s="366">
        <v>1</v>
      </c>
      <c r="G192" s="366" t="s">
        <v>900</v>
      </c>
      <c r="H192" s="366" t="s">
        <v>312</v>
      </c>
      <c r="I192" s="366" t="s">
        <v>433</v>
      </c>
      <c r="M192" s="366" t="s">
        <v>108</v>
      </c>
      <c r="N192" s="366" t="s">
        <v>544</v>
      </c>
      <c r="Q192" s="366" t="s">
        <v>790</v>
      </c>
      <c r="R192" s="366" t="s">
        <v>791</v>
      </c>
      <c r="U192" s="366">
        <v>0</v>
      </c>
      <c r="W192" s="366">
        <v>46366</v>
      </c>
      <c r="AA192" s="366">
        <v>46366</v>
      </c>
      <c r="AB192" s="366">
        <v>46366</v>
      </c>
      <c r="AD192" s="366">
        <v>15</v>
      </c>
      <c r="AE192" s="366">
        <v>9</v>
      </c>
      <c r="AN192" s="366">
        <v>24</v>
      </c>
      <c r="AO192" s="366">
        <v>517.62067032000004</v>
      </c>
      <c r="AP192" s="366">
        <v>323.51291895000003</v>
      </c>
      <c r="AQ192" s="366">
        <v>194.10775136999999</v>
      </c>
      <c r="AR192" s="366">
        <v>40</v>
      </c>
      <c r="AS192" s="366">
        <v>36.664797479999997</v>
      </c>
      <c r="AT192" s="366">
        <v>1.7</v>
      </c>
      <c r="AX192" s="366">
        <v>7.083333E-2</v>
      </c>
      <c r="AZ192" s="366">
        <v>5.5E-2</v>
      </c>
      <c r="BB192" s="366">
        <v>630.38551439000003</v>
      </c>
      <c r="BC192" s="366">
        <v>30.90909091</v>
      </c>
      <c r="BI192" s="366">
        <v>0.15</v>
      </c>
      <c r="BK192" s="366">
        <v>0.28787879</v>
      </c>
      <c r="BL192" s="366">
        <v>0.13787879</v>
      </c>
      <c r="BM192" s="366">
        <v>3.3090909100000001</v>
      </c>
    </row>
    <row r="193" spans="1:65" hidden="1">
      <c r="A193" s="366">
        <v>191</v>
      </c>
      <c r="B193" s="366" t="s">
        <v>309</v>
      </c>
      <c r="C193" s="366" t="s">
        <v>815</v>
      </c>
      <c r="D193" s="366">
        <v>1</v>
      </c>
      <c r="E193" s="366" t="s">
        <v>130</v>
      </c>
      <c r="F193" s="366">
        <v>1</v>
      </c>
      <c r="G193" s="366" t="s">
        <v>1070</v>
      </c>
      <c r="H193" s="366" t="s">
        <v>558</v>
      </c>
      <c r="I193" s="366" t="s">
        <v>468</v>
      </c>
      <c r="M193" s="366" t="s">
        <v>108</v>
      </c>
      <c r="N193" s="366" t="s">
        <v>544</v>
      </c>
      <c r="Q193" s="366" t="s">
        <v>790</v>
      </c>
      <c r="R193" s="366" t="s">
        <v>1016</v>
      </c>
      <c r="U193" s="366">
        <v>0</v>
      </c>
      <c r="W193" s="366">
        <v>71073</v>
      </c>
      <c r="AA193" s="366">
        <v>71073</v>
      </c>
      <c r="AB193" s="366">
        <v>71073</v>
      </c>
      <c r="AD193" s="366">
        <v>25</v>
      </c>
      <c r="AE193" s="366">
        <v>11</v>
      </c>
      <c r="AN193" s="366">
        <v>36</v>
      </c>
      <c r="AO193" s="366">
        <v>506.52146384999998</v>
      </c>
      <c r="AP193" s="366">
        <v>351.75101655999998</v>
      </c>
      <c r="AQ193" s="366">
        <v>154.77044728999999</v>
      </c>
      <c r="AR193" s="366">
        <v>42</v>
      </c>
      <c r="AS193" s="366">
        <v>37.989109790000001</v>
      </c>
      <c r="AT193" s="366">
        <v>2.7</v>
      </c>
      <c r="AX193" s="366">
        <v>7.4999999999999997E-2</v>
      </c>
      <c r="AZ193" s="366">
        <v>5.7000000000000002E-2</v>
      </c>
      <c r="BB193" s="366">
        <v>630.23698376000004</v>
      </c>
      <c r="BC193" s="366">
        <v>47.368421050000002</v>
      </c>
      <c r="BI193" s="366">
        <v>0.15</v>
      </c>
      <c r="BK193" s="366">
        <v>0.31578947000000002</v>
      </c>
      <c r="BL193" s="366">
        <v>0.16578946999999999</v>
      </c>
      <c r="BM193" s="366">
        <v>5.9684210499999999</v>
      </c>
    </row>
    <row r="194" spans="1:65" hidden="1">
      <c r="A194" s="366">
        <v>192</v>
      </c>
      <c r="B194" s="366" t="s">
        <v>309</v>
      </c>
      <c r="C194" s="366" t="s">
        <v>1017</v>
      </c>
      <c r="D194" s="366">
        <v>1</v>
      </c>
      <c r="E194" s="366" t="s">
        <v>130</v>
      </c>
      <c r="F194" s="366">
        <v>1</v>
      </c>
      <c r="G194" s="366" t="s">
        <v>1070</v>
      </c>
      <c r="H194" s="366" t="s">
        <v>558</v>
      </c>
      <c r="I194" s="366" t="s">
        <v>468</v>
      </c>
      <c r="M194" s="366" t="s">
        <v>108</v>
      </c>
      <c r="N194" s="366" t="s">
        <v>544</v>
      </c>
      <c r="Q194" s="366" t="s">
        <v>790</v>
      </c>
      <c r="R194" s="366" t="s">
        <v>636</v>
      </c>
      <c r="U194" s="366">
        <v>0</v>
      </c>
      <c r="W194" s="366">
        <v>58524</v>
      </c>
      <c r="AA194" s="366">
        <v>58524</v>
      </c>
      <c r="AB194" s="366">
        <v>58524</v>
      </c>
      <c r="AD194" s="366">
        <v>15</v>
      </c>
      <c r="AE194" s="366">
        <v>24</v>
      </c>
      <c r="AN194" s="366">
        <v>39</v>
      </c>
      <c r="AO194" s="366">
        <v>666.39327455</v>
      </c>
      <c r="AP194" s="366">
        <v>256.30510559999999</v>
      </c>
      <c r="AQ194" s="366">
        <v>410.08816896000002</v>
      </c>
      <c r="AR194" s="366">
        <v>57</v>
      </c>
      <c r="AS194" s="366">
        <v>51.261021120000002</v>
      </c>
      <c r="AT194" s="366">
        <v>3</v>
      </c>
      <c r="AX194" s="366">
        <v>7.6923080000000005E-2</v>
      </c>
      <c r="AZ194" s="366">
        <v>5.7000000000000002E-2</v>
      </c>
      <c r="BB194" s="366">
        <v>850.41717257000005</v>
      </c>
      <c r="BC194" s="366">
        <v>52.631578949999998</v>
      </c>
      <c r="BI194" s="366">
        <v>0.15</v>
      </c>
      <c r="BK194" s="366">
        <v>0.34952767000000001</v>
      </c>
      <c r="BL194" s="366">
        <v>0.19952766999999999</v>
      </c>
      <c r="BM194" s="366">
        <v>7.7815789500000001</v>
      </c>
    </row>
    <row r="195" spans="1:65" hidden="1">
      <c r="A195" s="366">
        <v>193</v>
      </c>
      <c r="B195" s="366" t="s">
        <v>309</v>
      </c>
      <c r="C195" s="366" t="s">
        <v>1071</v>
      </c>
      <c r="D195" s="366">
        <v>1</v>
      </c>
      <c r="E195" s="366" t="s">
        <v>130</v>
      </c>
      <c r="F195" s="366">
        <v>1</v>
      </c>
      <c r="G195" s="366" t="s">
        <v>1070</v>
      </c>
      <c r="H195" s="366" t="s">
        <v>558</v>
      </c>
      <c r="I195" s="366" t="s">
        <v>468</v>
      </c>
      <c r="M195" s="366" t="s">
        <v>108</v>
      </c>
      <c r="N195" s="366" t="s">
        <v>544</v>
      </c>
      <c r="Q195" s="366" t="s">
        <v>495</v>
      </c>
      <c r="R195" s="366" t="s">
        <v>1018</v>
      </c>
      <c r="U195" s="366">
        <v>0</v>
      </c>
      <c r="W195" s="366">
        <v>49972</v>
      </c>
      <c r="AA195" s="366">
        <v>49972</v>
      </c>
      <c r="AB195" s="366">
        <v>49972</v>
      </c>
      <c r="AD195" s="366">
        <v>10</v>
      </c>
      <c r="AE195" s="366">
        <v>25</v>
      </c>
      <c r="AN195" s="366">
        <v>35</v>
      </c>
      <c r="AO195" s="366">
        <v>700.39221964000001</v>
      </c>
      <c r="AP195" s="366">
        <v>200.11206275999999</v>
      </c>
      <c r="AQ195" s="366">
        <v>500.28015689</v>
      </c>
      <c r="AR195" s="366">
        <v>57</v>
      </c>
      <c r="AS195" s="366">
        <v>52.029136319999999</v>
      </c>
      <c r="AT195" s="366">
        <v>2.6</v>
      </c>
      <c r="AX195" s="366">
        <v>7.4285710000000005E-2</v>
      </c>
      <c r="AZ195" s="366">
        <v>5.7000000000000002E-2</v>
      </c>
      <c r="BB195" s="366">
        <v>863.16015621999998</v>
      </c>
      <c r="BC195" s="366">
        <v>45.614035090000002</v>
      </c>
      <c r="BI195" s="366">
        <v>0.2</v>
      </c>
      <c r="BK195" s="366">
        <v>0.30325815</v>
      </c>
      <c r="BL195" s="366">
        <v>0.10325815000000001</v>
      </c>
      <c r="BM195" s="366">
        <v>3.6140350899999998</v>
      </c>
    </row>
    <row r="196" spans="1:65" hidden="1">
      <c r="A196" s="366">
        <v>194</v>
      </c>
      <c r="B196" s="366" t="s">
        <v>309</v>
      </c>
      <c r="C196" s="366" t="s">
        <v>816</v>
      </c>
      <c r="D196" s="366">
        <v>1</v>
      </c>
      <c r="E196" s="366" t="s">
        <v>130</v>
      </c>
      <c r="F196" s="366">
        <v>1</v>
      </c>
      <c r="G196" s="366" t="s">
        <v>1070</v>
      </c>
      <c r="H196" s="366" t="s">
        <v>558</v>
      </c>
      <c r="I196" s="366" t="s">
        <v>468</v>
      </c>
      <c r="M196" s="366" t="s">
        <v>108</v>
      </c>
      <c r="N196" s="366" t="s">
        <v>544</v>
      </c>
      <c r="Q196" s="366" t="s">
        <v>794</v>
      </c>
      <c r="R196" s="366" t="s">
        <v>818</v>
      </c>
      <c r="U196" s="366">
        <v>0</v>
      </c>
      <c r="W196" s="366">
        <v>23000</v>
      </c>
      <c r="AA196" s="366">
        <v>23000</v>
      </c>
      <c r="AB196" s="366">
        <v>23000</v>
      </c>
      <c r="AD196" s="366">
        <v>10</v>
      </c>
      <c r="AE196" s="366">
        <v>9</v>
      </c>
      <c r="AN196" s="366">
        <v>19</v>
      </c>
      <c r="AO196" s="366">
        <v>826.08695651999994</v>
      </c>
      <c r="AP196" s="366">
        <v>434.78260870000003</v>
      </c>
      <c r="AQ196" s="366">
        <v>391.30434782999998</v>
      </c>
      <c r="AT196" s="366">
        <v>1.425</v>
      </c>
      <c r="AX196" s="366">
        <v>7.4999999999999997E-2</v>
      </c>
      <c r="AZ196" s="366">
        <v>5.5E-2</v>
      </c>
      <c r="BB196" s="366">
        <v>0</v>
      </c>
      <c r="BC196" s="366">
        <v>25.90909091</v>
      </c>
      <c r="BI196" s="366">
        <v>0.2</v>
      </c>
      <c r="BK196" s="366">
        <v>0.36363635999999999</v>
      </c>
      <c r="BL196" s="366">
        <v>0.16363636000000001</v>
      </c>
      <c r="BM196" s="366">
        <v>3.1090909099999999</v>
      </c>
    </row>
    <row r="197" spans="1:65" hidden="1">
      <c r="A197" s="366">
        <v>195</v>
      </c>
      <c r="B197" s="366" t="s">
        <v>309</v>
      </c>
      <c r="C197" s="366" t="s">
        <v>1072</v>
      </c>
      <c r="D197" s="366">
        <v>1</v>
      </c>
      <c r="E197" s="366" t="s">
        <v>130</v>
      </c>
      <c r="F197" s="366">
        <v>1</v>
      </c>
      <c r="G197" s="366" t="s">
        <v>1070</v>
      </c>
      <c r="H197" s="366" t="s">
        <v>558</v>
      </c>
      <c r="I197" s="366" t="s">
        <v>468</v>
      </c>
      <c r="M197" s="366" t="s">
        <v>108</v>
      </c>
      <c r="N197" s="366" t="s">
        <v>544</v>
      </c>
      <c r="Q197" s="366" t="s">
        <v>495</v>
      </c>
      <c r="R197" s="366" t="s">
        <v>758</v>
      </c>
      <c r="U197" s="366">
        <v>0</v>
      </c>
      <c r="W197" s="366">
        <v>57893</v>
      </c>
      <c r="AA197" s="366">
        <v>57893</v>
      </c>
      <c r="AB197" s="366">
        <v>57893</v>
      </c>
      <c r="AD197" s="366">
        <v>7.5</v>
      </c>
      <c r="AE197" s="366">
        <v>25</v>
      </c>
      <c r="AN197" s="366">
        <v>32.5</v>
      </c>
      <c r="AO197" s="366">
        <v>561.38047777999998</v>
      </c>
      <c r="AP197" s="366">
        <v>129.54934102999999</v>
      </c>
      <c r="AQ197" s="366">
        <v>431.83113674999998</v>
      </c>
      <c r="AR197" s="366">
        <v>44</v>
      </c>
      <c r="AS197" s="366">
        <v>39.728464580000001</v>
      </c>
      <c r="AT197" s="366">
        <v>2.2999999999999998</v>
      </c>
      <c r="AX197" s="366">
        <v>7.0769230000000002E-2</v>
      </c>
      <c r="AZ197" s="366">
        <v>5.7000000000000002E-2</v>
      </c>
      <c r="BB197" s="366">
        <v>659.09277227999996</v>
      </c>
      <c r="BC197" s="366">
        <v>40.350877189999999</v>
      </c>
      <c r="BI197" s="366">
        <v>0.2</v>
      </c>
      <c r="BK197" s="366">
        <v>0.24156544999999999</v>
      </c>
      <c r="BL197" s="366">
        <v>4.1565449999999997E-2</v>
      </c>
      <c r="BM197" s="366">
        <v>1.3508771900000001</v>
      </c>
    </row>
    <row r="198" spans="1:65" hidden="1">
      <c r="A198" s="366">
        <v>196</v>
      </c>
      <c r="B198" s="366" t="s">
        <v>309</v>
      </c>
      <c r="C198" s="366" t="s">
        <v>817</v>
      </c>
      <c r="D198" s="366">
        <v>1</v>
      </c>
      <c r="E198" s="366" t="s">
        <v>130</v>
      </c>
      <c r="F198" s="366">
        <v>1</v>
      </c>
      <c r="G198" s="366" t="s">
        <v>1070</v>
      </c>
      <c r="H198" s="366" t="s">
        <v>558</v>
      </c>
      <c r="I198" s="366" t="s">
        <v>468</v>
      </c>
      <c r="M198" s="366" t="s">
        <v>108</v>
      </c>
      <c r="N198" s="366" t="s">
        <v>544</v>
      </c>
      <c r="Q198" s="366" t="s">
        <v>794</v>
      </c>
      <c r="R198" s="366" t="s">
        <v>633</v>
      </c>
      <c r="U198" s="366">
        <v>0</v>
      </c>
      <c r="W198" s="366">
        <v>62000</v>
      </c>
      <c r="AA198" s="366">
        <v>62000</v>
      </c>
      <c r="AB198" s="366">
        <v>62000</v>
      </c>
      <c r="AD198" s="366">
        <v>30</v>
      </c>
      <c r="AE198" s="366">
        <v>6</v>
      </c>
      <c r="AN198" s="366">
        <v>36</v>
      </c>
      <c r="AO198" s="366">
        <v>580.64516129000003</v>
      </c>
      <c r="AP198" s="366">
        <v>483.87096774000003</v>
      </c>
      <c r="AQ198" s="366">
        <v>96.774193550000007</v>
      </c>
      <c r="AR198" s="366">
        <v>50</v>
      </c>
      <c r="AS198" s="366">
        <v>45.161290319999999</v>
      </c>
      <c r="AT198" s="366">
        <v>2.8</v>
      </c>
      <c r="AX198" s="366">
        <v>7.7777780000000005E-2</v>
      </c>
      <c r="AZ198" s="366">
        <v>5.7000000000000002E-2</v>
      </c>
      <c r="BB198" s="366">
        <v>749.22301560000005</v>
      </c>
      <c r="BC198" s="366">
        <v>49.122807020000003</v>
      </c>
      <c r="BI198" s="366">
        <v>0.15</v>
      </c>
      <c r="BK198" s="366">
        <v>0.36452242000000001</v>
      </c>
      <c r="BL198" s="366">
        <v>0.21452241999999999</v>
      </c>
      <c r="BM198" s="366">
        <v>7.7228070200000003</v>
      </c>
    </row>
    <row r="199" spans="1:65" hidden="1">
      <c r="A199" s="366">
        <v>197</v>
      </c>
      <c r="B199" s="366" t="s">
        <v>309</v>
      </c>
      <c r="C199" s="366" t="s">
        <v>819</v>
      </c>
      <c r="D199" s="366">
        <v>1</v>
      </c>
      <c r="E199" s="366" t="s">
        <v>130</v>
      </c>
      <c r="F199" s="366">
        <v>1</v>
      </c>
      <c r="G199" s="366" t="s">
        <v>1070</v>
      </c>
      <c r="H199" s="366" t="s">
        <v>558</v>
      </c>
      <c r="I199" s="366" t="s">
        <v>486</v>
      </c>
      <c r="M199" s="366" t="s">
        <v>108</v>
      </c>
      <c r="N199" s="366" t="s">
        <v>544</v>
      </c>
      <c r="Q199" s="366" t="s">
        <v>633</v>
      </c>
      <c r="R199" s="366" t="s">
        <v>818</v>
      </c>
      <c r="U199" s="366">
        <v>0</v>
      </c>
      <c r="W199" s="366">
        <v>73000</v>
      </c>
      <c r="AA199" s="366">
        <v>73000</v>
      </c>
      <c r="AB199" s="366">
        <v>73000</v>
      </c>
      <c r="AD199" s="366">
        <v>16</v>
      </c>
      <c r="AE199" s="366">
        <v>15</v>
      </c>
      <c r="AN199" s="366">
        <v>31</v>
      </c>
      <c r="AO199" s="366">
        <v>424.65753425000003</v>
      </c>
      <c r="AP199" s="366">
        <v>219.17808219</v>
      </c>
      <c r="AQ199" s="366">
        <v>205.47945204999999</v>
      </c>
      <c r="AX199" s="366">
        <v>0</v>
      </c>
      <c r="BI199" s="366">
        <v>0.2</v>
      </c>
      <c r="BK199" s="366">
        <v>-1</v>
      </c>
      <c r="BL199" s="366">
        <v>-1.2</v>
      </c>
      <c r="BM199" s="366">
        <v>-37.200000000000003</v>
      </c>
    </row>
    <row r="200" spans="1:65" hidden="1">
      <c r="A200" s="366">
        <v>198</v>
      </c>
      <c r="B200" s="366" t="s">
        <v>309</v>
      </c>
      <c r="C200" s="366" t="s">
        <v>820</v>
      </c>
      <c r="D200" s="366">
        <v>1</v>
      </c>
      <c r="E200" s="366" t="s">
        <v>130</v>
      </c>
      <c r="F200" s="366">
        <v>1</v>
      </c>
      <c r="G200" s="366" t="s">
        <v>1070</v>
      </c>
      <c r="H200" s="366" t="s">
        <v>558</v>
      </c>
      <c r="I200" s="366" t="s">
        <v>486</v>
      </c>
      <c r="M200" s="366" t="s">
        <v>108</v>
      </c>
      <c r="N200" s="366" t="s">
        <v>544</v>
      </c>
      <c r="Q200" s="366" t="s">
        <v>633</v>
      </c>
      <c r="R200" s="366" t="s">
        <v>818</v>
      </c>
      <c r="U200" s="366">
        <v>0</v>
      </c>
      <c r="W200" s="366">
        <v>55000</v>
      </c>
      <c r="AA200" s="366">
        <v>55000</v>
      </c>
      <c r="AB200" s="366">
        <v>55000</v>
      </c>
      <c r="AD200" s="366">
        <v>9</v>
      </c>
      <c r="AE200" s="366">
        <v>17</v>
      </c>
      <c r="AN200" s="366">
        <v>26</v>
      </c>
      <c r="AO200" s="366">
        <v>472.72727272999998</v>
      </c>
      <c r="AP200" s="366">
        <v>163.63636364000001</v>
      </c>
      <c r="AQ200" s="366">
        <v>309.09090909000003</v>
      </c>
      <c r="AR200" s="366">
        <v>32</v>
      </c>
      <c r="AS200" s="366">
        <v>29.09090909</v>
      </c>
      <c r="AT200" s="366">
        <v>1.6</v>
      </c>
      <c r="AX200" s="366">
        <v>6.1538460000000003E-2</v>
      </c>
      <c r="AZ200" s="366">
        <v>5.7000000000000002E-2</v>
      </c>
      <c r="BB200" s="366">
        <v>482.61638406999998</v>
      </c>
      <c r="BC200" s="366">
        <v>28.07017544</v>
      </c>
      <c r="BI200" s="366">
        <v>0.2</v>
      </c>
      <c r="BK200" s="366">
        <v>7.9622129999999999E-2</v>
      </c>
      <c r="BL200" s="366">
        <v>-0.12037787</v>
      </c>
      <c r="BM200" s="366">
        <v>-3.1298245599999999</v>
      </c>
    </row>
    <row r="201" spans="1:65" hidden="1">
      <c r="A201" s="366">
        <v>199</v>
      </c>
      <c r="B201" s="366" t="s">
        <v>309</v>
      </c>
      <c r="C201" s="366" t="s">
        <v>821</v>
      </c>
      <c r="D201" s="366">
        <v>1</v>
      </c>
      <c r="E201" s="366" t="s">
        <v>130</v>
      </c>
      <c r="F201" s="366">
        <v>1</v>
      </c>
      <c r="G201" s="366" t="s">
        <v>1070</v>
      </c>
      <c r="H201" s="366" t="s">
        <v>558</v>
      </c>
      <c r="I201" s="366" t="s">
        <v>468</v>
      </c>
      <c r="M201" s="366" t="s">
        <v>108</v>
      </c>
      <c r="N201" s="366" t="s">
        <v>544</v>
      </c>
      <c r="Q201" s="366" t="s">
        <v>855</v>
      </c>
      <c r="R201" s="366" t="s">
        <v>806</v>
      </c>
      <c r="U201" s="366">
        <v>0</v>
      </c>
      <c r="W201" s="366">
        <v>60000</v>
      </c>
      <c r="AA201" s="366">
        <v>60000</v>
      </c>
      <c r="AB201" s="366">
        <v>60000</v>
      </c>
      <c r="AD201" s="366">
        <v>20</v>
      </c>
      <c r="AE201" s="366">
        <v>10</v>
      </c>
      <c r="AN201" s="366">
        <v>30</v>
      </c>
      <c r="AO201" s="366">
        <v>500</v>
      </c>
      <c r="AP201" s="366">
        <v>333.33333333000002</v>
      </c>
      <c r="AQ201" s="366">
        <v>166.66666667000001</v>
      </c>
      <c r="AR201" s="366">
        <v>33</v>
      </c>
      <c r="AS201" s="366">
        <v>30</v>
      </c>
      <c r="AT201" s="366">
        <v>1.8</v>
      </c>
      <c r="AX201" s="366">
        <v>0.06</v>
      </c>
      <c r="AZ201" s="366">
        <v>5.7000000000000002E-2</v>
      </c>
      <c r="BB201" s="366">
        <v>497.69814607000001</v>
      </c>
      <c r="BC201" s="366">
        <v>31.578947370000002</v>
      </c>
      <c r="BI201" s="366">
        <v>0.2</v>
      </c>
      <c r="BK201" s="366">
        <v>5.2631579999999997E-2</v>
      </c>
      <c r="BL201" s="366">
        <v>-0.14736842</v>
      </c>
      <c r="BM201" s="366">
        <v>-4.4210526300000001</v>
      </c>
    </row>
    <row r="202" spans="1:65" hidden="1">
      <c r="A202" s="366">
        <v>200</v>
      </c>
      <c r="B202" s="366" t="s">
        <v>309</v>
      </c>
      <c r="C202" s="366" t="s">
        <v>822</v>
      </c>
      <c r="D202" s="366">
        <v>1</v>
      </c>
      <c r="E202" s="366" t="s">
        <v>130</v>
      </c>
      <c r="F202" s="366">
        <v>1</v>
      </c>
      <c r="G202" s="366" t="s">
        <v>1070</v>
      </c>
      <c r="H202" s="366" t="s">
        <v>558</v>
      </c>
      <c r="I202" s="366" t="s">
        <v>481</v>
      </c>
      <c r="M202" s="366" t="s">
        <v>108</v>
      </c>
      <c r="N202" s="366" t="s">
        <v>544</v>
      </c>
      <c r="Q202" s="366" t="s">
        <v>1065</v>
      </c>
      <c r="R202" s="366" t="s">
        <v>490</v>
      </c>
      <c r="U202" s="366">
        <v>0</v>
      </c>
      <c r="W202" s="366">
        <v>99000</v>
      </c>
      <c r="AA202" s="366">
        <v>99000</v>
      </c>
      <c r="AB202" s="366">
        <v>99000</v>
      </c>
      <c r="AD202" s="366">
        <v>17</v>
      </c>
      <c r="AE202" s="366">
        <v>20</v>
      </c>
      <c r="AN202" s="366">
        <v>37</v>
      </c>
      <c r="AO202" s="366">
        <v>373.73737374000001</v>
      </c>
      <c r="AP202" s="366">
        <v>171.71717172000001</v>
      </c>
      <c r="AQ202" s="366">
        <v>202.02020202</v>
      </c>
      <c r="AX202" s="366">
        <v>0</v>
      </c>
      <c r="BI202" s="366">
        <v>0.2</v>
      </c>
      <c r="BK202" s="366">
        <v>-1</v>
      </c>
      <c r="BL202" s="366">
        <v>-1.2</v>
      </c>
      <c r="BM202" s="366">
        <v>-44.4</v>
      </c>
    </row>
    <row r="203" spans="1:65" hidden="1">
      <c r="A203" s="366">
        <v>201</v>
      </c>
      <c r="B203" s="366" t="s">
        <v>309</v>
      </c>
      <c r="C203" s="366" t="s">
        <v>689</v>
      </c>
      <c r="D203" s="366">
        <v>1</v>
      </c>
      <c r="E203" s="366" t="s">
        <v>130</v>
      </c>
      <c r="F203" s="366">
        <v>1</v>
      </c>
      <c r="G203" s="366" t="s">
        <v>1070</v>
      </c>
      <c r="H203" s="366" t="s">
        <v>558</v>
      </c>
      <c r="I203" s="366" t="s">
        <v>486</v>
      </c>
      <c r="M203" s="366" t="s">
        <v>108</v>
      </c>
      <c r="N203" s="366" t="s">
        <v>544</v>
      </c>
      <c r="Q203" s="366" t="s">
        <v>633</v>
      </c>
      <c r="R203" s="366" t="s">
        <v>818</v>
      </c>
      <c r="U203" s="366">
        <v>0</v>
      </c>
      <c r="W203" s="366">
        <v>99000</v>
      </c>
      <c r="AA203" s="366">
        <v>99000</v>
      </c>
      <c r="AB203" s="366">
        <v>99000</v>
      </c>
      <c r="AC203" s="366">
        <v>350</v>
      </c>
      <c r="AN203" s="366">
        <v>0</v>
      </c>
      <c r="AO203" s="366">
        <v>0</v>
      </c>
      <c r="AP203" s="366">
        <v>0</v>
      </c>
      <c r="AQ203" s="366">
        <v>0</v>
      </c>
      <c r="BI203" s="366">
        <v>0.2</v>
      </c>
    </row>
    <row r="204" spans="1:65" hidden="1">
      <c r="A204" s="366">
        <v>202</v>
      </c>
      <c r="B204" s="366" t="s">
        <v>303</v>
      </c>
      <c r="C204" s="366" t="s">
        <v>823</v>
      </c>
      <c r="D204" s="366">
        <v>1</v>
      </c>
      <c r="E204" s="366" t="s">
        <v>304</v>
      </c>
      <c r="F204" s="366">
        <v>1</v>
      </c>
      <c r="G204" s="366" t="s">
        <v>1073</v>
      </c>
      <c r="H204" s="366" t="s">
        <v>558</v>
      </c>
      <c r="I204" s="366" t="s">
        <v>468</v>
      </c>
      <c r="M204" s="366" t="s">
        <v>108</v>
      </c>
      <c r="N204" s="366" t="s">
        <v>544</v>
      </c>
      <c r="Q204" s="366" t="s">
        <v>717</v>
      </c>
      <c r="R204" s="366" t="s">
        <v>659</v>
      </c>
      <c r="U204" s="366">
        <v>0</v>
      </c>
      <c r="X204" s="366">
        <v>146700</v>
      </c>
      <c r="AA204" s="366">
        <v>146700</v>
      </c>
      <c r="AB204" s="366">
        <v>146700</v>
      </c>
      <c r="AC204" s="366">
        <v>163</v>
      </c>
      <c r="AD204" s="366">
        <v>12</v>
      </c>
      <c r="AE204" s="366">
        <v>48</v>
      </c>
      <c r="AN204" s="366">
        <v>60</v>
      </c>
      <c r="AO204" s="366">
        <v>408.99795501</v>
      </c>
      <c r="AP204" s="366">
        <v>81.799591000000007</v>
      </c>
      <c r="AQ204" s="366">
        <v>327.19836400999998</v>
      </c>
      <c r="AT204" s="366">
        <v>3.9</v>
      </c>
      <c r="AX204" s="366">
        <v>6.5000000000000002E-2</v>
      </c>
      <c r="AZ204" s="366">
        <v>4.917258E-2</v>
      </c>
      <c r="BB204" s="366">
        <v>511.24744376000001</v>
      </c>
      <c r="BC204" s="366">
        <v>75</v>
      </c>
      <c r="BI204" s="366">
        <v>0.15</v>
      </c>
      <c r="BK204" s="366">
        <v>0.25</v>
      </c>
      <c r="BL204" s="366">
        <v>0.1</v>
      </c>
      <c r="BM204" s="366">
        <v>6</v>
      </c>
    </row>
    <row r="205" spans="1:65" hidden="1">
      <c r="A205" s="366">
        <v>203</v>
      </c>
      <c r="B205" s="366" t="s">
        <v>303</v>
      </c>
      <c r="C205" s="366" t="s">
        <v>826</v>
      </c>
      <c r="D205" s="366">
        <v>1</v>
      </c>
      <c r="E205" s="366" t="s">
        <v>304</v>
      </c>
      <c r="F205" s="366">
        <v>1</v>
      </c>
      <c r="G205" s="366" t="s">
        <v>824</v>
      </c>
      <c r="H205" s="366" t="s">
        <v>558</v>
      </c>
      <c r="I205" s="366" t="s">
        <v>433</v>
      </c>
      <c r="M205" s="366" t="s">
        <v>108</v>
      </c>
      <c r="N205" s="366" t="s">
        <v>544</v>
      </c>
      <c r="Q205" s="366" t="s">
        <v>504</v>
      </c>
      <c r="R205" s="366" t="s">
        <v>698</v>
      </c>
      <c r="U205" s="366">
        <v>0</v>
      </c>
      <c r="X205" s="366">
        <v>80000</v>
      </c>
      <c r="AA205" s="366">
        <v>80000</v>
      </c>
      <c r="AB205" s="366">
        <v>80000</v>
      </c>
      <c r="AD205" s="366">
        <v>20</v>
      </c>
      <c r="AE205" s="366">
        <v>43.115000000000002</v>
      </c>
      <c r="AN205" s="366">
        <v>63.115000000000002</v>
      </c>
      <c r="AO205" s="366">
        <v>788.9375</v>
      </c>
      <c r="AP205" s="366">
        <v>250</v>
      </c>
      <c r="AQ205" s="366">
        <v>538.9375</v>
      </c>
      <c r="AT205" s="366">
        <v>4.5</v>
      </c>
      <c r="AX205" s="366">
        <v>7.1298420000000001E-2</v>
      </c>
      <c r="AZ205" s="366">
        <v>5.5263890000000003E-2</v>
      </c>
      <c r="BB205" s="366">
        <v>962.5</v>
      </c>
      <c r="BC205" s="366">
        <v>77</v>
      </c>
      <c r="BI205" s="366">
        <v>0.15</v>
      </c>
      <c r="BK205" s="366">
        <v>0.21999525</v>
      </c>
      <c r="BL205" s="366">
        <v>6.9995249999999995E-2</v>
      </c>
      <c r="BM205" s="366">
        <v>4.4177499999999998</v>
      </c>
    </row>
    <row r="206" spans="1:65" hidden="1">
      <c r="A206" s="366">
        <v>204</v>
      </c>
      <c r="B206" s="366" t="s">
        <v>303</v>
      </c>
      <c r="C206" s="366" t="s">
        <v>827</v>
      </c>
      <c r="D206" s="366">
        <v>0.5</v>
      </c>
      <c r="E206" s="366" t="s">
        <v>304</v>
      </c>
      <c r="F206" s="366">
        <v>1</v>
      </c>
      <c r="G206" s="366" t="s">
        <v>824</v>
      </c>
      <c r="H206" s="366" t="s">
        <v>558</v>
      </c>
      <c r="I206" s="366" t="s">
        <v>433</v>
      </c>
      <c r="M206" s="366" t="s">
        <v>108</v>
      </c>
      <c r="N206" s="366" t="s">
        <v>544</v>
      </c>
      <c r="Q206" s="366" t="s">
        <v>607</v>
      </c>
      <c r="R206" s="366" t="s">
        <v>479</v>
      </c>
      <c r="U206" s="366">
        <v>0</v>
      </c>
      <c r="X206" s="366">
        <v>100000</v>
      </c>
      <c r="AB206" s="366">
        <v>100000</v>
      </c>
      <c r="AD206" s="366">
        <v>0</v>
      </c>
      <c r="AE206" s="366">
        <v>50</v>
      </c>
      <c r="AN206" s="366">
        <v>50</v>
      </c>
      <c r="AO206" s="366">
        <v>500</v>
      </c>
      <c r="AP206" s="366">
        <v>0</v>
      </c>
      <c r="AQ206" s="366">
        <v>500</v>
      </c>
      <c r="AT206" s="366">
        <v>3.5</v>
      </c>
      <c r="AX206" s="366">
        <v>7.0000000000000007E-2</v>
      </c>
      <c r="AZ206" s="366">
        <v>5.5161540000000002E-2</v>
      </c>
      <c r="BB206" s="366">
        <v>600</v>
      </c>
      <c r="BC206" s="366">
        <v>60</v>
      </c>
      <c r="BI206" s="366">
        <v>0.15</v>
      </c>
      <c r="BK206" s="366">
        <v>0.2</v>
      </c>
      <c r="BL206" s="366">
        <v>0.05</v>
      </c>
      <c r="BM206" s="366">
        <v>2.5</v>
      </c>
    </row>
    <row r="207" spans="1:65" hidden="1">
      <c r="A207" s="366">
        <v>205</v>
      </c>
      <c r="B207" s="366" t="s">
        <v>303</v>
      </c>
      <c r="C207" s="366" t="s">
        <v>828</v>
      </c>
      <c r="D207" s="366">
        <v>1</v>
      </c>
      <c r="E207" s="366" t="s">
        <v>304</v>
      </c>
      <c r="F207" s="366">
        <v>1</v>
      </c>
      <c r="G207" s="366" t="s">
        <v>1073</v>
      </c>
      <c r="H207" s="366" t="s">
        <v>558</v>
      </c>
      <c r="I207" s="366" t="s">
        <v>486</v>
      </c>
      <c r="M207" s="366" t="s">
        <v>108</v>
      </c>
      <c r="N207" s="366" t="s">
        <v>544</v>
      </c>
      <c r="Q207" s="366" t="s">
        <v>653</v>
      </c>
      <c r="R207" s="366" t="s">
        <v>903</v>
      </c>
      <c r="U207" s="366">
        <v>0</v>
      </c>
      <c r="X207" s="366">
        <v>176400</v>
      </c>
      <c r="AA207" s="366">
        <v>176400</v>
      </c>
      <c r="AB207" s="366">
        <v>176400</v>
      </c>
      <c r="AC207" s="366">
        <v>196</v>
      </c>
      <c r="AD207" s="366">
        <v>20</v>
      </c>
      <c r="AE207" s="366">
        <v>60</v>
      </c>
      <c r="AN207" s="366">
        <v>80</v>
      </c>
      <c r="AO207" s="366">
        <v>453.51473922999998</v>
      </c>
      <c r="AP207" s="366">
        <v>113.37868481</v>
      </c>
      <c r="AQ207" s="366">
        <v>340.13605441999999</v>
      </c>
      <c r="AT207" s="366">
        <v>5.6</v>
      </c>
      <c r="AX207" s="366">
        <v>7.0000000000000007E-2</v>
      </c>
      <c r="AZ207" s="366">
        <v>5.0433409999999998E-2</v>
      </c>
      <c r="BB207" s="366">
        <v>595.23809524000001</v>
      </c>
      <c r="BC207" s="366">
        <v>105</v>
      </c>
      <c r="BI207" s="366">
        <v>0.15</v>
      </c>
      <c r="BK207" s="366">
        <v>0.3125</v>
      </c>
      <c r="BL207" s="366">
        <v>0.16250000000000001</v>
      </c>
      <c r="BM207" s="366">
        <v>13</v>
      </c>
    </row>
    <row r="208" spans="1:65" hidden="1">
      <c r="A208" s="366">
        <v>206</v>
      </c>
      <c r="B208" s="366" t="s">
        <v>303</v>
      </c>
      <c r="C208" s="366" t="s">
        <v>829</v>
      </c>
      <c r="D208" s="366">
        <v>1</v>
      </c>
      <c r="E208" s="366" t="s">
        <v>304</v>
      </c>
      <c r="F208" s="366">
        <v>1</v>
      </c>
      <c r="G208" s="366" t="s">
        <v>1073</v>
      </c>
      <c r="H208" s="366" t="s">
        <v>558</v>
      </c>
      <c r="I208" s="366" t="s">
        <v>468</v>
      </c>
      <c r="M208" s="366" t="s">
        <v>108</v>
      </c>
      <c r="N208" s="366" t="s">
        <v>108</v>
      </c>
      <c r="Q208" s="366" t="s">
        <v>613</v>
      </c>
      <c r="R208" s="366" t="s">
        <v>825</v>
      </c>
      <c r="U208" s="366">
        <v>0</v>
      </c>
      <c r="X208" s="366">
        <v>93600</v>
      </c>
      <c r="AA208" s="366">
        <v>93600</v>
      </c>
      <c r="AB208" s="366">
        <v>93600</v>
      </c>
      <c r="AC208" s="366">
        <v>104</v>
      </c>
      <c r="AD208" s="366">
        <v>5</v>
      </c>
      <c r="AE208" s="366">
        <v>12</v>
      </c>
      <c r="AN208" s="366">
        <v>17</v>
      </c>
      <c r="AO208" s="366">
        <v>181.62393162000001</v>
      </c>
      <c r="AP208" s="366">
        <v>53.418803420000003</v>
      </c>
      <c r="AQ208" s="366">
        <v>128.20512821</v>
      </c>
      <c r="AT208" s="366">
        <v>1.32</v>
      </c>
      <c r="AX208" s="366">
        <v>7.7647060000000004E-2</v>
      </c>
      <c r="AZ208" s="366">
        <v>4.9929080000000001E-2</v>
      </c>
      <c r="BB208" s="366">
        <v>267.09401709000002</v>
      </c>
      <c r="BC208" s="366">
        <v>25</v>
      </c>
      <c r="BI208" s="366">
        <v>0.15</v>
      </c>
      <c r="BK208" s="366">
        <v>0.47058823999999999</v>
      </c>
      <c r="BL208" s="366">
        <v>0.32058824000000002</v>
      </c>
      <c r="BM208" s="366">
        <v>5.45</v>
      </c>
    </row>
    <row r="209" spans="1:65" hidden="1">
      <c r="A209" s="366">
        <v>207</v>
      </c>
      <c r="B209" s="366" t="s">
        <v>303</v>
      </c>
      <c r="C209" s="366" t="s">
        <v>14</v>
      </c>
      <c r="D209" s="366">
        <v>1</v>
      </c>
      <c r="E209" s="366" t="s">
        <v>304</v>
      </c>
      <c r="F209" s="366">
        <v>0</v>
      </c>
      <c r="G209" s="366" t="s">
        <v>824</v>
      </c>
      <c r="H209" s="366" t="s">
        <v>558</v>
      </c>
      <c r="I209" s="366" t="s">
        <v>1034</v>
      </c>
      <c r="M209" s="366" t="s">
        <v>108</v>
      </c>
      <c r="N209" s="366" t="s">
        <v>108</v>
      </c>
      <c r="Q209" s="366" t="s">
        <v>474</v>
      </c>
      <c r="R209" s="366" t="s">
        <v>549</v>
      </c>
      <c r="U209" s="366">
        <v>0</v>
      </c>
      <c r="X209" s="366">
        <v>500000</v>
      </c>
      <c r="AA209" s="366">
        <v>500000</v>
      </c>
      <c r="AB209" s="366">
        <v>500000</v>
      </c>
      <c r="AD209" s="366">
        <v>60</v>
      </c>
      <c r="AE209" s="366">
        <v>200</v>
      </c>
      <c r="AN209" s="366">
        <v>260</v>
      </c>
      <c r="AO209" s="366">
        <v>520</v>
      </c>
      <c r="AP209" s="366">
        <v>120</v>
      </c>
      <c r="AQ209" s="366">
        <v>400</v>
      </c>
      <c r="AT209" s="366">
        <v>18</v>
      </c>
      <c r="AX209" s="366">
        <v>6.9230769999999997E-2</v>
      </c>
      <c r="AZ209" s="366">
        <v>5.369488E-2</v>
      </c>
      <c r="BB209" s="366">
        <v>634</v>
      </c>
      <c r="BC209" s="366">
        <v>317</v>
      </c>
      <c r="BI209" s="366">
        <v>0.2</v>
      </c>
      <c r="BK209" s="366">
        <v>0.21923076999999999</v>
      </c>
      <c r="BL209" s="366">
        <v>1.9230770000000001E-2</v>
      </c>
      <c r="BM209" s="366">
        <v>5</v>
      </c>
    </row>
    <row r="210" spans="1:65" hidden="1">
      <c r="A210" s="366">
        <v>208</v>
      </c>
      <c r="B210" s="366" t="s">
        <v>300</v>
      </c>
      <c r="C210" s="366" t="s">
        <v>830</v>
      </c>
      <c r="D210" s="366">
        <v>1</v>
      </c>
      <c r="E210" s="366" t="s">
        <v>831</v>
      </c>
      <c r="F210" s="366">
        <v>1</v>
      </c>
      <c r="G210" s="366" t="s">
        <v>904</v>
      </c>
      <c r="H210" s="366" t="s">
        <v>312</v>
      </c>
      <c r="I210" s="366" t="s">
        <v>433</v>
      </c>
      <c r="M210" s="366" t="s">
        <v>108</v>
      </c>
      <c r="N210" s="366" t="s">
        <v>108</v>
      </c>
      <c r="Q210" s="366" t="s">
        <v>504</v>
      </c>
      <c r="R210" s="366" t="s">
        <v>762</v>
      </c>
      <c r="U210" s="366">
        <v>1</v>
      </c>
      <c r="AA210" s="366">
        <v>15000</v>
      </c>
      <c r="AB210" s="366">
        <v>15000</v>
      </c>
      <c r="AC210" s="366">
        <v>1</v>
      </c>
      <c r="AD210" s="366">
        <v>1.1166666700000001</v>
      </c>
      <c r="AE210" s="366">
        <v>5</v>
      </c>
      <c r="AN210" s="366">
        <v>6.1166666699999999</v>
      </c>
      <c r="AO210" s="366">
        <v>407.77777778000001</v>
      </c>
      <c r="AP210" s="366">
        <v>74.444444439999998</v>
      </c>
      <c r="AQ210" s="366">
        <v>333.33333333000002</v>
      </c>
      <c r="AR210" s="366">
        <v>80</v>
      </c>
      <c r="AS210" s="366">
        <v>80</v>
      </c>
      <c r="AT210" s="366">
        <v>1.2</v>
      </c>
      <c r="AX210" s="366">
        <v>0.19618529000000001</v>
      </c>
      <c r="AZ210" s="366">
        <v>0.05</v>
      </c>
      <c r="BA210" s="366">
        <v>0.05</v>
      </c>
      <c r="BB210" s="366">
        <v>1513.0023640700001</v>
      </c>
      <c r="BC210" s="366">
        <v>26</v>
      </c>
      <c r="BI210" s="366">
        <v>0.1</v>
      </c>
      <c r="BK210" s="366">
        <v>2.71036002</v>
      </c>
      <c r="BL210" s="366">
        <v>2.6103600199999999</v>
      </c>
      <c r="BM210" s="366">
        <v>15.96670213</v>
      </c>
    </row>
    <row r="211" spans="1:65" hidden="1">
      <c r="A211" s="366">
        <v>209</v>
      </c>
      <c r="B211" s="366" t="s">
        <v>300</v>
      </c>
      <c r="C211" s="366" t="s">
        <v>832</v>
      </c>
      <c r="D211" s="366">
        <v>1</v>
      </c>
      <c r="E211" s="366" t="s">
        <v>831</v>
      </c>
      <c r="F211" s="366">
        <v>1</v>
      </c>
      <c r="G211" s="366" t="s">
        <v>824</v>
      </c>
      <c r="H211" s="366" t="s">
        <v>432</v>
      </c>
      <c r="I211" s="366" t="s">
        <v>433</v>
      </c>
      <c r="M211" s="366" t="s">
        <v>108</v>
      </c>
      <c r="N211" s="366" t="s">
        <v>108</v>
      </c>
      <c r="Q211" s="366" t="s">
        <v>470</v>
      </c>
      <c r="R211" s="366" t="s">
        <v>614</v>
      </c>
      <c r="U211" s="366">
        <v>1</v>
      </c>
      <c r="AA211" s="366">
        <v>45000</v>
      </c>
      <c r="AB211" s="366">
        <v>45000</v>
      </c>
      <c r="AC211" s="366">
        <v>3</v>
      </c>
      <c r="AD211" s="366">
        <v>3.35</v>
      </c>
      <c r="AE211" s="366">
        <v>13.8</v>
      </c>
      <c r="AN211" s="366">
        <v>17.149999999999999</v>
      </c>
      <c r="AO211" s="366">
        <v>381.11111111000002</v>
      </c>
      <c r="AP211" s="366">
        <v>74.444444439999998</v>
      </c>
      <c r="AQ211" s="366">
        <v>306.66666666999998</v>
      </c>
      <c r="AR211" s="366">
        <v>37.777777780000001</v>
      </c>
      <c r="AS211" s="366">
        <v>37.777777780000001</v>
      </c>
      <c r="AT211" s="366">
        <v>1.7</v>
      </c>
      <c r="AX211" s="366">
        <v>9.9125359999999996E-2</v>
      </c>
      <c r="AZ211" s="366">
        <v>5.5E-2</v>
      </c>
      <c r="BA211" s="366">
        <v>5.5E-2</v>
      </c>
      <c r="BB211" s="366">
        <v>649.52121690000001</v>
      </c>
      <c r="BC211" s="366">
        <v>29.228454760000002</v>
      </c>
      <c r="BI211" s="366">
        <v>0.1</v>
      </c>
      <c r="BK211" s="366">
        <v>0.70428307999999995</v>
      </c>
      <c r="BL211" s="366">
        <v>0.60428307999999997</v>
      </c>
      <c r="BM211" s="366">
        <v>10.36345476</v>
      </c>
    </row>
    <row r="212" spans="1:65" hidden="1">
      <c r="A212" s="366">
        <v>210</v>
      </c>
      <c r="B212" s="366" t="s">
        <v>300</v>
      </c>
      <c r="C212" s="366" t="s">
        <v>1074</v>
      </c>
      <c r="D212" s="366">
        <v>1</v>
      </c>
      <c r="E212" s="366" t="s">
        <v>831</v>
      </c>
      <c r="F212" s="366">
        <v>1</v>
      </c>
      <c r="G212" s="366" t="s">
        <v>1075</v>
      </c>
      <c r="H212" s="366" t="s">
        <v>558</v>
      </c>
      <c r="I212" s="366" t="s">
        <v>468</v>
      </c>
      <c r="M212" s="366" t="s">
        <v>108</v>
      </c>
      <c r="N212" s="366" t="s">
        <v>108</v>
      </c>
      <c r="Q212" s="366" t="s">
        <v>614</v>
      </c>
      <c r="R212" s="366" t="s">
        <v>496</v>
      </c>
      <c r="S212" s="366" t="s">
        <v>614</v>
      </c>
      <c r="T212" s="366">
        <v>9.5</v>
      </c>
      <c r="U212" s="366">
        <v>1</v>
      </c>
      <c r="AA212" s="366">
        <v>15000</v>
      </c>
      <c r="AB212" s="366">
        <v>15000</v>
      </c>
      <c r="AC212" s="366">
        <v>1</v>
      </c>
      <c r="AD212" s="366">
        <v>1</v>
      </c>
      <c r="AE212" s="366">
        <v>4</v>
      </c>
      <c r="AN212" s="366">
        <v>5</v>
      </c>
      <c r="AO212" s="366">
        <v>333.33333333000002</v>
      </c>
      <c r="AP212" s="366">
        <v>66.666666669999998</v>
      </c>
      <c r="AQ212" s="366">
        <v>266.66666666999998</v>
      </c>
      <c r="AR212" s="366">
        <v>26.666666670000001</v>
      </c>
      <c r="AS212" s="366">
        <v>26.666666670000001</v>
      </c>
      <c r="AT212" s="366">
        <v>0.4</v>
      </c>
      <c r="AX212" s="366">
        <v>0.08</v>
      </c>
      <c r="AZ212" s="366">
        <v>5.5E-2</v>
      </c>
      <c r="BA212" s="366">
        <v>5.5E-2</v>
      </c>
      <c r="BB212" s="366">
        <v>458.48556487000002</v>
      </c>
      <c r="BC212" s="366">
        <v>6.8772834700000001</v>
      </c>
      <c r="BI212" s="366">
        <v>0.1</v>
      </c>
      <c r="BK212" s="366">
        <v>0.37545668999999998</v>
      </c>
      <c r="BL212" s="366">
        <v>0.27545669</v>
      </c>
      <c r="BM212" s="366">
        <v>1.3772834700000001</v>
      </c>
    </row>
    <row r="213" spans="1:65" hidden="1">
      <c r="A213" s="366">
        <v>211</v>
      </c>
      <c r="B213" s="366" t="s">
        <v>136</v>
      </c>
      <c r="C213" s="366" t="s">
        <v>833</v>
      </c>
      <c r="D213" s="366">
        <v>1</v>
      </c>
      <c r="E213" s="366" t="s">
        <v>131</v>
      </c>
      <c r="F213" s="366">
        <v>1</v>
      </c>
      <c r="G213" s="366" t="s">
        <v>1039</v>
      </c>
      <c r="H213" s="366" t="s">
        <v>432</v>
      </c>
      <c r="I213" s="366" t="s">
        <v>488</v>
      </c>
      <c r="N213" s="366" t="s">
        <v>108</v>
      </c>
      <c r="Q213" s="366" t="s">
        <v>546</v>
      </c>
      <c r="R213" s="366" t="s">
        <v>1076</v>
      </c>
      <c r="U213" s="366">
        <v>0</v>
      </c>
      <c r="AA213" s="366">
        <v>538195</v>
      </c>
      <c r="AB213" s="366">
        <v>538195</v>
      </c>
      <c r="AE213" s="366">
        <v>215.27799999999999</v>
      </c>
      <c r="AI213" s="366">
        <v>11.47388684</v>
      </c>
      <c r="AL213" s="366">
        <v>12.76644185</v>
      </c>
      <c r="AM213" s="366">
        <v>-12.76644185</v>
      </c>
      <c r="AN213" s="366">
        <v>226.75188684</v>
      </c>
      <c r="AO213" s="366">
        <v>421.31920000000002</v>
      </c>
      <c r="AP213" s="366">
        <v>0</v>
      </c>
      <c r="AQ213" s="366">
        <v>400</v>
      </c>
      <c r="AR213" s="366">
        <v>0</v>
      </c>
      <c r="AS213" s="366">
        <v>25.38</v>
      </c>
      <c r="AT213" s="366">
        <v>13.6593891</v>
      </c>
      <c r="AX213" s="366">
        <v>6.0239359999999999E-2</v>
      </c>
      <c r="AZ213" s="366">
        <v>4.7500000000000001E-2</v>
      </c>
      <c r="BB213" s="366">
        <v>505.26315789</v>
      </c>
      <c r="BI213" s="366">
        <v>0.2</v>
      </c>
      <c r="BK213" s="366">
        <v>0.19924075999999999</v>
      </c>
      <c r="BL213" s="366">
        <v>-7.5924E-4</v>
      </c>
      <c r="BM213" s="366">
        <v>-0.17215895000000001</v>
      </c>
    </row>
    <row r="214" spans="1:65" hidden="1">
      <c r="A214" s="366">
        <v>212</v>
      </c>
      <c r="B214" s="366" t="s">
        <v>136</v>
      </c>
      <c r="C214" s="366" t="s">
        <v>834</v>
      </c>
      <c r="D214" s="366">
        <v>1</v>
      </c>
      <c r="E214" s="366" t="s">
        <v>131</v>
      </c>
      <c r="F214" s="366">
        <v>1</v>
      </c>
      <c r="G214" s="366" t="s">
        <v>1052</v>
      </c>
      <c r="H214" s="366" t="s">
        <v>558</v>
      </c>
      <c r="I214" s="366" t="s">
        <v>481</v>
      </c>
      <c r="N214" s="366" t="s">
        <v>108</v>
      </c>
      <c r="Q214" s="366" t="s">
        <v>587</v>
      </c>
      <c r="R214" s="366" t="s">
        <v>585</v>
      </c>
      <c r="U214" s="366">
        <v>0</v>
      </c>
      <c r="AA214" s="366">
        <v>266944.71999999997</v>
      </c>
      <c r="AB214" s="366">
        <v>266944.71999999997</v>
      </c>
      <c r="AE214" s="366">
        <v>106.777888</v>
      </c>
      <c r="AI214" s="366">
        <v>5.6910478700000002</v>
      </c>
      <c r="AL214" s="366">
        <v>9.1515819100000009</v>
      </c>
      <c r="AM214" s="366">
        <v>-9.1515819100000009</v>
      </c>
      <c r="AN214" s="366">
        <v>112.46893587</v>
      </c>
      <c r="AO214" s="366">
        <v>421.31920000000002</v>
      </c>
      <c r="AP214" s="366">
        <v>0</v>
      </c>
      <c r="AQ214" s="366">
        <v>400</v>
      </c>
      <c r="AR214" s="366">
        <v>0</v>
      </c>
      <c r="AS214" s="366">
        <v>25.38</v>
      </c>
      <c r="AT214" s="366">
        <v>6.7750569900000004</v>
      </c>
      <c r="AX214" s="366">
        <v>6.0239359999999999E-2</v>
      </c>
      <c r="AZ214" s="366">
        <v>4.4999999999999998E-2</v>
      </c>
      <c r="BB214" s="366">
        <v>533.33333332999996</v>
      </c>
      <c r="BI214" s="366">
        <v>0.2</v>
      </c>
      <c r="BK214" s="366">
        <v>0.26586525</v>
      </c>
      <c r="BL214" s="366">
        <v>6.586525E-2</v>
      </c>
      <c r="BM214" s="366">
        <v>7.4077942800000001</v>
      </c>
    </row>
    <row r="215" spans="1:65" hidden="1">
      <c r="A215" s="366">
        <v>213</v>
      </c>
      <c r="B215" s="366" t="s">
        <v>127</v>
      </c>
      <c r="C215" s="366" t="s">
        <v>835</v>
      </c>
      <c r="D215" s="366">
        <v>1</v>
      </c>
      <c r="E215" s="366" t="s">
        <v>129</v>
      </c>
      <c r="F215" s="366">
        <v>1</v>
      </c>
      <c r="G215" s="366" t="s">
        <v>1012</v>
      </c>
      <c r="H215" s="366" t="s">
        <v>558</v>
      </c>
      <c r="I215" s="366" t="s">
        <v>433</v>
      </c>
      <c r="M215" s="366" t="s">
        <v>108</v>
      </c>
      <c r="N215" s="366" t="s">
        <v>836</v>
      </c>
      <c r="Q215" s="366" t="s">
        <v>564</v>
      </c>
      <c r="R215" s="366" t="s">
        <v>700</v>
      </c>
      <c r="U215" s="366">
        <v>0</v>
      </c>
      <c r="AA215" s="366">
        <v>173126.56760000001</v>
      </c>
      <c r="AB215" s="366">
        <v>173126.56760000001</v>
      </c>
      <c r="AD215" s="366">
        <v>3.6000733899999999</v>
      </c>
      <c r="AE215" s="366">
        <v>10.80022018</v>
      </c>
      <c r="AN215" s="366">
        <v>14.400293570000001</v>
      </c>
      <c r="AO215" s="366">
        <v>83.177837859999997</v>
      </c>
      <c r="AQ215" s="366">
        <v>62.383378399999998</v>
      </c>
      <c r="AR215" s="366">
        <v>6.2383378399999998</v>
      </c>
      <c r="AS215" s="366">
        <v>6.2383378399999998</v>
      </c>
      <c r="AT215" s="366">
        <v>1.0800220199999999</v>
      </c>
      <c r="AX215" s="366">
        <v>7.4999999999999997E-2</v>
      </c>
      <c r="AZ215" s="366">
        <v>5.5E-2</v>
      </c>
      <c r="BB215" s="366">
        <v>107.25704431</v>
      </c>
      <c r="BC215" s="366">
        <v>107.25704431</v>
      </c>
      <c r="BI215" s="366">
        <v>0.2</v>
      </c>
      <c r="BK215" s="366">
        <v>0.28949065000000002</v>
      </c>
      <c r="BL215" s="366">
        <v>8.9490650000000005E-2</v>
      </c>
      <c r="BM215" s="366">
        <v>1.2886916500000001</v>
      </c>
    </row>
    <row r="216" spans="1:65" hidden="1">
      <c r="A216" s="366">
        <v>214</v>
      </c>
      <c r="B216" s="366" t="s">
        <v>127</v>
      </c>
      <c r="C216" s="366" t="s">
        <v>837</v>
      </c>
      <c r="D216" s="366">
        <v>0.5</v>
      </c>
      <c r="E216" s="366" t="s">
        <v>676</v>
      </c>
      <c r="F216" s="366">
        <v>1</v>
      </c>
      <c r="G216" s="366" t="s">
        <v>1012</v>
      </c>
      <c r="H216" s="366" t="s">
        <v>558</v>
      </c>
      <c r="I216" s="366" t="s">
        <v>433</v>
      </c>
      <c r="M216" s="366" t="s">
        <v>108</v>
      </c>
      <c r="N216" s="366" t="s">
        <v>686</v>
      </c>
      <c r="Q216" s="366" t="s">
        <v>504</v>
      </c>
      <c r="R216" s="366" t="s">
        <v>474</v>
      </c>
      <c r="U216" s="366">
        <v>1</v>
      </c>
      <c r="AA216" s="366">
        <v>148864.73699999999</v>
      </c>
      <c r="AB216" s="366">
        <v>74432.368499999997</v>
      </c>
      <c r="AD216" s="366">
        <v>4.23943695</v>
      </c>
      <c r="AE216" s="366">
        <v>12.718310860000001</v>
      </c>
      <c r="AN216" s="366">
        <v>16.957747810000001</v>
      </c>
      <c r="AO216" s="366">
        <v>227.82759906999999</v>
      </c>
      <c r="AQ216" s="366">
        <v>170.87069930000001</v>
      </c>
      <c r="AR216" s="366">
        <v>15.947931929999999</v>
      </c>
      <c r="AS216" s="366">
        <v>15.947931929999999</v>
      </c>
      <c r="AT216" s="366">
        <v>1.18704235</v>
      </c>
      <c r="AX216" s="366">
        <v>7.0000000000000007E-2</v>
      </c>
      <c r="AZ216" s="366">
        <v>5.5E-2</v>
      </c>
      <c r="BB216" s="366">
        <v>274.19612181000002</v>
      </c>
      <c r="BC216" s="366">
        <v>274.19612181000002</v>
      </c>
      <c r="BI216" s="366">
        <v>0.2</v>
      </c>
      <c r="BK216" s="366">
        <v>0.20352460999999999</v>
      </c>
      <c r="BL216" s="366">
        <v>3.5246100000000001E-3</v>
      </c>
      <c r="BM216" s="366">
        <v>5.9769410000000002E-2</v>
      </c>
    </row>
    <row r="217" spans="1:65" hidden="1">
      <c r="A217" s="366">
        <v>215</v>
      </c>
    </row>
    <row r="218" spans="1:65" hidden="1">
      <c r="A218" s="366">
        <v>216</v>
      </c>
      <c r="B218" s="366" t="s">
        <v>127</v>
      </c>
      <c r="C218" s="366" t="s">
        <v>838</v>
      </c>
      <c r="D218" s="366">
        <v>1</v>
      </c>
      <c r="E218" s="366" t="s">
        <v>676</v>
      </c>
      <c r="F218" s="366">
        <v>1</v>
      </c>
      <c r="G218" s="366" t="s">
        <v>1012</v>
      </c>
      <c r="H218" s="366" t="s">
        <v>558</v>
      </c>
      <c r="I218" s="366" t="s">
        <v>433</v>
      </c>
      <c r="M218" s="366" t="s">
        <v>108</v>
      </c>
      <c r="N218" s="366" t="s">
        <v>686</v>
      </c>
      <c r="Q218" s="366" t="s">
        <v>461</v>
      </c>
      <c r="R218" s="366" t="s">
        <v>905</v>
      </c>
      <c r="U218" s="366">
        <v>1</v>
      </c>
      <c r="AA218" s="366">
        <v>106928.58259999999</v>
      </c>
      <c r="AB218" s="366">
        <v>106928.58259999999</v>
      </c>
      <c r="AD218" s="366">
        <v>2.22352208</v>
      </c>
      <c r="AE218" s="366">
        <v>6.6705662300000004</v>
      </c>
      <c r="AN218" s="366">
        <v>8.8940883100000008</v>
      </c>
      <c r="AO218" s="366">
        <v>83.177837859999997</v>
      </c>
      <c r="AQ218" s="366">
        <v>62.383378399999998</v>
      </c>
      <c r="AR218" s="366">
        <v>6.2383378399999998</v>
      </c>
      <c r="AS218" s="366">
        <v>6.2383378399999998</v>
      </c>
      <c r="AT218" s="366">
        <v>0.66705661999999999</v>
      </c>
      <c r="AX218" s="366">
        <v>7.4999999999999997E-2</v>
      </c>
      <c r="AZ218" s="366">
        <v>5.5E-2</v>
      </c>
      <c r="BB218" s="366">
        <v>107.25704431</v>
      </c>
      <c r="BC218" s="366">
        <v>107.25704431</v>
      </c>
      <c r="BI218" s="366">
        <v>0.2</v>
      </c>
      <c r="BK218" s="366">
        <v>0.28949065000000002</v>
      </c>
      <c r="BL218" s="366">
        <v>8.9490650000000005E-2</v>
      </c>
      <c r="BM218" s="366">
        <v>0.79593775</v>
      </c>
    </row>
    <row r="219" spans="1:65" hidden="1">
      <c r="A219" s="366">
        <v>217</v>
      </c>
      <c r="B219" s="366" t="s">
        <v>127</v>
      </c>
      <c r="C219" s="366" t="s">
        <v>839</v>
      </c>
      <c r="D219" s="366">
        <v>1</v>
      </c>
      <c r="E219" s="366" t="s">
        <v>131</v>
      </c>
      <c r="F219" s="366">
        <v>1</v>
      </c>
      <c r="G219" s="366" t="s">
        <v>1012</v>
      </c>
      <c r="H219" s="366" t="s">
        <v>558</v>
      </c>
      <c r="I219" s="366" t="s">
        <v>433</v>
      </c>
      <c r="M219" s="366" t="s">
        <v>108</v>
      </c>
      <c r="N219" s="366" t="s">
        <v>695</v>
      </c>
      <c r="Q219" s="366" t="s">
        <v>504</v>
      </c>
      <c r="R219" s="366" t="s">
        <v>474</v>
      </c>
      <c r="U219" s="366">
        <v>1</v>
      </c>
      <c r="AA219" s="366">
        <v>32194.8249</v>
      </c>
      <c r="AB219" s="366">
        <v>32194.8249</v>
      </c>
      <c r="AD219" s="366">
        <v>0.66947398000000002</v>
      </c>
      <c r="AE219" s="366">
        <v>2.0084219399999999</v>
      </c>
      <c r="AN219" s="366">
        <v>2.67789593</v>
      </c>
      <c r="AO219" s="366">
        <v>83.177837859999997</v>
      </c>
      <c r="AQ219" s="366">
        <v>62.383378399999998</v>
      </c>
      <c r="AR219" s="366">
        <v>6.2383378399999998</v>
      </c>
      <c r="AS219" s="366">
        <v>6.2383378399999998</v>
      </c>
      <c r="AT219" s="366">
        <v>0.20084219</v>
      </c>
      <c r="AX219" s="366">
        <v>7.4999999999999997E-2</v>
      </c>
      <c r="AZ219" s="366">
        <v>5.5E-2</v>
      </c>
      <c r="BB219" s="366">
        <v>107.25704431</v>
      </c>
      <c r="BC219" s="366">
        <v>107.25704431</v>
      </c>
      <c r="BI219" s="366">
        <v>0.2</v>
      </c>
      <c r="BK219" s="366">
        <v>0.28949065000000002</v>
      </c>
      <c r="BL219" s="366">
        <v>8.9490650000000005E-2</v>
      </c>
      <c r="BM219" s="366">
        <v>0.23964664999999999</v>
      </c>
    </row>
    <row r="220" spans="1:65" hidden="1">
      <c r="A220" s="366">
        <v>218</v>
      </c>
      <c r="B220" s="366" t="s">
        <v>127</v>
      </c>
      <c r="C220" s="366" t="s">
        <v>840</v>
      </c>
      <c r="D220" s="366">
        <v>0.5</v>
      </c>
      <c r="E220" s="366" t="s">
        <v>676</v>
      </c>
      <c r="F220" s="366">
        <v>1</v>
      </c>
      <c r="G220" s="366" t="s">
        <v>683</v>
      </c>
      <c r="H220" s="366" t="s">
        <v>558</v>
      </c>
      <c r="I220" s="366" t="s">
        <v>433</v>
      </c>
      <c r="M220" s="366" t="s">
        <v>841</v>
      </c>
      <c r="N220" s="366" t="s">
        <v>842</v>
      </c>
      <c r="Q220" s="366" t="s">
        <v>466</v>
      </c>
      <c r="R220" s="366" t="s">
        <v>495</v>
      </c>
      <c r="U220" s="366">
        <v>1</v>
      </c>
      <c r="AA220" s="366">
        <v>179578.07750000001</v>
      </c>
      <c r="AB220" s="366">
        <v>89789.038750000007</v>
      </c>
      <c r="AD220" s="366">
        <v>1.75220113</v>
      </c>
      <c r="AE220" s="366">
        <v>2.9020831199999999</v>
      </c>
      <c r="AN220" s="366">
        <v>4.6542842499999999</v>
      </c>
      <c r="AO220" s="366">
        <v>51.835773199999998</v>
      </c>
      <c r="AQ220" s="366">
        <v>32.321129169999999</v>
      </c>
      <c r="AR220" s="366">
        <v>4.1925993000000004</v>
      </c>
      <c r="AS220" s="366">
        <v>4.1925993000000004</v>
      </c>
      <c r="AT220" s="366">
        <v>0.37644946000000001</v>
      </c>
      <c r="AX220" s="366">
        <v>8.0882350000000006E-2</v>
      </c>
      <c r="AZ220" s="366">
        <v>6.6000000000000003E-2</v>
      </c>
      <c r="BB220" s="366">
        <v>60.070195609999999</v>
      </c>
      <c r="BC220" s="366">
        <v>60.070195609999999</v>
      </c>
      <c r="BI220" s="366">
        <v>0.15</v>
      </c>
      <c r="BK220" s="366">
        <v>0.15885598000000001</v>
      </c>
      <c r="BL220" s="366">
        <v>8.8559799999999994E-3</v>
      </c>
      <c r="BM220" s="366">
        <v>4.1218240000000003E-2</v>
      </c>
    </row>
    <row r="221" spans="1:65" hidden="1">
      <c r="A221" s="366">
        <v>219</v>
      </c>
      <c r="B221" s="366" t="s">
        <v>127</v>
      </c>
      <c r="C221" s="366" t="s">
        <v>906</v>
      </c>
      <c r="D221" s="366">
        <v>1</v>
      </c>
      <c r="E221" s="366" t="s">
        <v>129</v>
      </c>
      <c r="F221" s="366">
        <v>1</v>
      </c>
      <c r="G221" s="366" t="s">
        <v>1012</v>
      </c>
      <c r="H221" s="366" t="s">
        <v>558</v>
      </c>
      <c r="I221" s="366" t="s">
        <v>433</v>
      </c>
      <c r="M221" s="366" t="s">
        <v>841</v>
      </c>
      <c r="N221" s="366" t="s">
        <v>843</v>
      </c>
      <c r="Q221" s="366" t="s">
        <v>464</v>
      </c>
      <c r="R221" s="366" t="s">
        <v>700</v>
      </c>
      <c r="U221" s="366">
        <v>0</v>
      </c>
      <c r="AA221" s="366">
        <v>33115.597500000003</v>
      </c>
      <c r="AB221" s="366">
        <v>33115.597500000003</v>
      </c>
      <c r="AD221" s="366">
        <v>0.89380289999999996</v>
      </c>
      <c r="AE221" s="366">
        <v>2.68140869</v>
      </c>
      <c r="AN221" s="366">
        <v>3.5752115899999999</v>
      </c>
      <c r="AO221" s="366">
        <v>107.96156068000001</v>
      </c>
      <c r="AQ221" s="366">
        <v>80.971170509999993</v>
      </c>
      <c r="AR221" s="366">
        <v>9.1767326600000008</v>
      </c>
      <c r="AS221" s="366">
        <v>9.1767326600000008</v>
      </c>
      <c r="AT221" s="366">
        <v>0.30389298999999997</v>
      </c>
      <c r="AX221" s="366">
        <v>8.5000000000000006E-2</v>
      </c>
      <c r="AZ221" s="366">
        <v>6.25E-2</v>
      </c>
      <c r="BB221" s="366">
        <v>138.84418206000001</v>
      </c>
      <c r="BC221" s="366">
        <v>138.84418206000001</v>
      </c>
      <c r="BI221" s="366">
        <v>0.25</v>
      </c>
      <c r="BK221" s="366">
        <v>0.28605201000000002</v>
      </c>
      <c r="BL221" s="366">
        <v>3.6052010000000002E-2</v>
      </c>
      <c r="BM221" s="366">
        <v>0.12889355999999999</v>
      </c>
    </row>
    <row r="222" spans="1:65" hidden="1">
      <c r="A222" s="366">
        <v>220</v>
      </c>
      <c r="B222" s="366" t="s">
        <v>127</v>
      </c>
      <c r="C222" s="366" t="s">
        <v>907</v>
      </c>
      <c r="D222" s="366">
        <v>1</v>
      </c>
      <c r="E222" s="366" t="s">
        <v>129</v>
      </c>
      <c r="F222" s="366">
        <v>1</v>
      </c>
      <c r="G222" s="366" t="s">
        <v>1012</v>
      </c>
      <c r="H222" s="366" t="s">
        <v>558</v>
      </c>
      <c r="I222" s="366" t="s">
        <v>433</v>
      </c>
      <c r="M222" s="366" t="s">
        <v>841</v>
      </c>
      <c r="N222" s="366" t="s">
        <v>843</v>
      </c>
      <c r="Q222" s="366" t="s">
        <v>908</v>
      </c>
      <c r="R222" s="366" t="s">
        <v>740</v>
      </c>
      <c r="U222" s="366">
        <v>0</v>
      </c>
      <c r="AA222" s="366">
        <v>164684.13560000001</v>
      </c>
      <c r="AB222" s="366">
        <v>164684.13560000001</v>
      </c>
      <c r="AD222" s="366">
        <v>4.4448890700000003</v>
      </c>
      <c r="AE222" s="366">
        <v>13.33466722</v>
      </c>
      <c r="AN222" s="366">
        <v>17.779556299999999</v>
      </c>
      <c r="AO222" s="366">
        <v>107.96156068000001</v>
      </c>
      <c r="AQ222" s="366">
        <v>80.971170509999993</v>
      </c>
      <c r="AR222" s="366">
        <v>9.1767326600000008</v>
      </c>
      <c r="AS222" s="366">
        <v>9.1767326600000008</v>
      </c>
      <c r="AT222" s="366">
        <v>1.5112622899999999</v>
      </c>
      <c r="AX222" s="366">
        <v>8.5000000000000006E-2</v>
      </c>
      <c r="AZ222" s="366">
        <v>6.25E-2</v>
      </c>
      <c r="BB222" s="366">
        <v>138.84418206000001</v>
      </c>
      <c r="BC222" s="366">
        <v>138.84418206000001</v>
      </c>
      <c r="BI222" s="366">
        <v>0.25</v>
      </c>
      <c r="BK222" s="366">
        <v>0.28605201000000002</v>
      </c>
      <c r="BL222" s="366">
        <v>3.6052010000000002E-2</v>
      </c>
      <c r="BM222" s="366">
        <v>0.64098873000000001</v>
      </c>
    </row>
    <row r="223" spans="1:65" hidden="1">
      <c r="A223" s="366">
        <v>221</v>
      </c>
      <c r="B223" s="366" t="s">
        <v>127</v>
      </c>
      <c r="C223" s="366" t="s">
        <v>1019</v>
      </c>
      <c r="D223" s="366">
        <v>0.5</v>
      </c>
      <c r="E223" s="366" t="s">
        <v>676</v>
      </c>
      <c r="F223" s="366">
        <v>1</v>
      </c>
      <c r="G223" s="366" t="s">
        <v>1012</v>
      </c>
      <c r="H223" s="366" t="s">
        <v>558</v>
      </c>
      <c r="I223" s="366" t="s">
        <v>433</v>
      </c>
      <c r="M223" s="366" t="s">
        <v>841</v>
      </c>
      <c r="N223" s="366" t="s">
        <v>707</v>
      </c>
      <c r="Q223" s="366" t="s">
        <v>477</v>
      </c>
      <c r="R223" s="366" t="s">
        <v>908</v>
      </c>
      <c r="U223" s="366">
        <v>0</v>
      </c>
      <c r="AA223" s="366">
        <v>200750.52129999999</v>
      </c>
      <c r="AB223" s="366">
        <v>100375.26065</v>
      </c>
      <c r="AD223" s="366">
        <v>0.97004248000000004</v>
      </c>
      <c r="AE223" s="366">
        <v>2.9101274400000001</v>
      </c>
      <c r="AN223" s="366">
        <v>3.8801699200000002</v>
      </c>
      <c r="AO223" s="366">
        <v>38.656636040000002</v>
      </c>
      <c r="AQ223" s="366">
        <v>28.99247703</v>
      </c>
      <c r="AR223" s="366">
        <v>3.20850079</v>
      </c>
      <c r="AS223" s="366">
        <v>3.20850079</v>
      </c>
      <c r="AT223" s="366">
        <v>0.32205410000000001</v>
      </c>
      <c r="AX223" s="366">
        <v>8.3000000000000004E-2</v>
      </c>
      <c r="AZ223" s="366">
        <v>6.25E-2</v>
      </c>
      <c r="BB223" s="366">
        <v>48.544692820000002</v>
      </c>
      <c r="BC223" s="366">
        <v>48.544692820000002</v>
      </c>
      <c r="BI223" s="366">
        <v>0.25</v>
      </c>
      <c r="BK223" s="366">
        <v>0.25579195999999998</v>
      </c>
      <c r="BL223" s="366">
        <v>5.7919599999999996E-3</v>
      </c>
      <c r="BM223" s="366">
        <v>2.2473799999999999E-2</v>
      </c>
    </row>
    <row r="224" spans="1:65" hidden="1">
      <c r="A224" s="366">
        <v>222</v>
      </c>
      <c r="B224" s="366" t="s">
        <v>127</v>
      </c>
      <c r="C224" s="366" t="s">
        <v>1020</v>
      </c>
      <c r="D224" s="366">
        <v>1</v>
      </c>
      <c r="E224" s="366" t="s">
        <v>676</v>
      </c>
      <c r="F224" s="366">
        <v>1</v>
      </c>
      <c r="G224" s="366" t="s">
        <v>1012</v>
      </c>
      <c r="H224" s="366" t="s">
        <v>558</v>
      </c>
      <c r="I224" s="366" t="s">
        <v>433</v>
      </c>
      <c r="M224" s="366" t="s">
        <v>845</v>
      </c>
      <c r="N224" s="366" t="s">
        <v>844</v>
      </c>
      <c r="Q224" s="366" t="s">
        <v>566</v>
      </c>
      <c r="R224" s="366" t="s">
        <v>908</v>
      </c>
      <c r="U224" s="366">
        <v>1</v>
      </c>
      <c r="AA224" s="366">
        <v>397699.47970000003</v>
      </c>
      <c r="AB224" s="366">
        <v>397699.47970000003</v>
      </c>
      <c r="AD224" s="366">
        <v>10.73406413</v>
      </c>
      <c r="AE224" s="366">
        <v>32.20219238</v>
      </c>
      <c r="AN224" s="366">
        <v>42.93625651</v>
      </c>
      <c r="AO224" s="366">
        <v>107.96156068000001</v>
      </c>
      <c r="AQ224" s="366">
        <v>80.971170509999993</v>
      </c>
      <c r="AR224" s="366">
        <v>9.1767326600000008</v>
      </c>
      <c r="AS224" s="366">
        <v>9.1767326600000008</v>
      </c>
      <c r="AT224" s="366">
        <v>3.6495818</v>
      </c>
      <c r="AX224" s="366">
        <v>8.5000000000000006E-2</v>
      </c>
      <c r="AZ224" s="366">
        <v>6.25E-2</v>
      </c>
      <c r="BB224" s="366">
        <v>138.84418206000001</v>
      </c>
      <c r="BC224" s="366">
        <v>138.84418206000001</v>
      </c>
      <c r="BI224" s="366">
        <v>0.25</v>
      </c>
      <c r="BK224" s="366">
        <v>0.28605201000000002</v>
      </c>
      <c r="BL224" s="366">
        <v>3.6052010000000002E-2</v>
      </c>
      <c r="BM224" s="366">
        <v>1.54793833</v>
      </c>
    </row>
    <row r="225" spans="1:65" hidden="1">
      <c r="A225" s="366">
        <v>223</v>
      </c>
      <c r="B225" s="366" t="s">
        <v>127</v>
      </c>
      <c r="C225" s="366" t="s">
        <v>1021</v>
      </c>
      <c r="D225" s="366">
        <v>0.5</v>
      </c>
      <c r="E225" s="366" t="s">
        <v>676</v>
      </c>
      <c r="F225" s="366">
        <v>1</v>
      </c>
      <c r="G225" s="366" t="s">
        <v>1012</v>
      </c>
      <c r="H225" s="366" t="s">
        <v>558</v>
      </c>
      <c r="I225" s="366" t="s">
        <v>433</v>
      </c>
      <c r="M225" s="366" t="s">
        <v>847</v>
      </c>
      <c r="N225" s="366" t="s">
        <v>846</v>
      </c>
      <c r="Q225" s="366" t="s">
        <v>495</v>
      </c>
      <c r="R225" s="366" t="s">
        <v>474</v>
      </c>
      <c r="U225" s="366">
        <v>1</v>
      </c>
      <c r="AA225" s="366">
        <v>61428.087200000002</v>
      </c>
      <c r="AB225" s="366">
        <v>30714.043600000001</v>
      </c>
      <c r="AD225" s="366">
        <v>0.29682540000000002</v>
      </c>
      <c r="AE225" s="366">
        <v>0.89047620000000005</v>
      </c>
      <c r="AN225" s="366">
        <v>1.1873016000000001</v>
      </c>
      <c r="AO225" s="366">
        <v>38.656636040000002</v>
      </c>
      <c r="AQ225" s="366">
        <v>28.99247703</v>
      </c>
      <c r="AR225" s="366">
        <v>3.20850079</v>
      </c>
      <c r="AS225" s="366">
        <v>3.20850079</v>
      </c>
      <c r="AT225" s="366">
        <v>9.8546030000000007E-2</v>
      </c>
      <c r="AX225" s="366">
        <v>8.3000000000000004E-2</v>
      </c>
      <c r="AZ225" s="366">
        <v>6.25E-2</v>
      </c>
      <c r="BB225" s="366">
        <v>48.544692820000002</v>
      </c>
      <c r="BC225" s="366">
        <v>48.544692820000002</v>
      </c>
      <c r="BI225" s="366">
        <v>0.25</v>
      </c>
      <c r="BK225" s="366">
        <v>0.25579195999999998</v>
      </c>
      <c r="BL225" s="366">
        <v>5.7919599999999996E-3</v>
      </c>
      <c r="BM225" s="366">
        <v>6.8768099999999997E-3</v>
      </c>
    </row>
    <row r="226" spans="1:65" hidden="1">
      <c r="A226" s="366">
        <v>224</v>
      </c>
      <c r="B226" s="366" t="s">
        <v>127</v>
      </c>
      <c r="C226" s="366" t="s">
        <v>848</v>
      </c>
      <c r="D226" s="366">
        <v>0.5</v>
      </c>
      <c r="E226" s="366" t="s">
        <v>676</v>
      </c>
      <c r="F226" s="366">
        <v>1</v>
      </c>
      <c r="G226" s="366" t="s">
        <v>683</v>
      </c>
      <c r="H226" s="366" t="s">
        <v>558</v>
      </c>
      <c r="I226" s="366" t="s">
        <v>433</v>
      </c>
      <c r="M226" s="366" t="s">
        <v>847</v>
      </c>
      <c r="N226" s="366" t="s">
        <v>848</v>
      </c>
      <c r="Q226" s="366" t="s">
        <v>552</v>
      </c>
      <c r="R226" s="366" t="s">
        <v>495</v>
      </c>
      <c r="U226" s="366">
        <v>1</v>
      </c>
      <c r="AA226" s="366">
        <v>50152.630100000002</v>
      </c>
      <c r="AB226" s="366">
        <v>25076.315050000001</v>
      </c>
      <c r="AD226" s="366">
        <v>0.48935536000000002</v>
      </c>
      <c r="AE226" s="366">
        <v>0.81049481999999995</v>
      </c>
      <c r="AN226" s="366">
        <v>1.29985018</v>
      </c>
      <c r="AO226" s="366">
        <v>51.835773199999998</v>
      </c>
      <c r="AQ226" s="366">
        <v>32.321129169999999</v>
      </c>
      <c r="AR226" s="366">
        <v>4.1925993000000004</v>
      </c>
      <c r="AS226" s="366">
        <v>4.1925993000000004</v>
      </c>
      <c r="AT226" s="366">
        <v>0.10513494</v>
      </c>
      <c r="AX226" s="366">
        <v>8.0882350000000006E-2</v>
      </c>
      <c r="AZ226" s="366">
        <v>6.6000000000000003E-2</v>
      </c>
      <c r="BB226" s="366">
        <v>60.070195609999999</v>
      </c>
      <c r="BC226" s="366">
        <v>60.070195609999999</v>
      </c>
      <c r="BI226" s="366">
        <v>0.15</v>
      </c>
      <c r="BK226" s="366">
        <v>0.15885598000000001</v>
      </c>
      <c r="BL226" s="366">
        <v>8.8559799999999994E-3</v>
      </c>
      <c r="BM226" s="366">
        <v>1.151144E-2</v>
      </c>
    </row>
    <row r="227" spans="1:65" hidden="1">
      <c r="A227" s="366">
        <v>225</v>
      </c>
      <c r="B227" s="366" t="s">
        <v>268</v>
      </c>
      <c r="C227" s="366" t="s">
        <v>909</v>
      </c>
      <c r="D227" s="366">
        <v>1</v>
      </c>
      <c r="E227" s="366" t="s">
        <v>518</v>
      </c>
      <c r="F227" s="366">
        <v>1</v>
      </c>
      <c r="G227" s="366" t="s">
        <v>1077</v>
      </c>
      <c r="H227" s="366" t="s">
        <v>558</v>
      </c>
      <c r="I227" s="366" t="s">
        <v>433</v>
      </c>
      <c r="M227" s="366" t="s">
        <v>850</v>
      </c>
      <c r="N227" s="366" t="s">
        <v>851</v>
      </c>
      <c r="Q227" s="366" t="s">
        <v>852</v>
      </c>
      <c r="R227" s="366" t="s">
        <v>855</v>
      </c>
      <c r="S227" s="366" t="s">
        <v>791</v>
      </c>
      <c r="T227" s="366">
        <v>151.55442857</v>
      </c>
      <c r="U227" s="366">
        <v>0.65</v>
      </c>
      <c r="W227" s="366">
        <v>172222.4</v>
      </c>
      <c r="X227" s="366">
        <v>172222.4</v>
      </c>
      <c r="AA227" s="366">
        <v>344444.8</v>
      </c>
      <c r="AB227" s="366">
        <v>344444.8</v>
      </c>
      <c r="AD227" s="366">
        <v>40</v>
      </c>
      <c r="AE227" s="366">
        <v>140</v>
      </c>
      <c r="AN227" s="366">
        <v>180</v>
      </c>
      <c r="AO227" s="366">
        <v>522.58010572000001</v>
      </c>
      <c r="AQ227" s="366">
        <v>406.45119333999997</v>
      </c>
      <c r="AR227" s="366">
        <v>0</v>
      </c>
      <c r="AS227" s="366">
        <v>0</v>
      </c>
      <c r="AX227" s="366">
        <v>0</v>
      </c>
    </row>
    <row r="228" spans="1:65" hidden="1">
      <c r="A228" s="366">
        <v>226</v>
      </c>
      <c r="B228" s="366" t="s">
        <v>268</v>
      </c>
      <c r="C228" s="366" t="s">
        <v>853</v>
      </c>
      <c r="D228" s="366">
        <v>1</v>
      </c>
      <c r="E228" s="366" t="s">
        <v>518</v>
      </c>
      <c r="F228" s="366">
        <v>1</v>
      </c>
      <c r="G228" s="366" t="s">
        <v>1077</v>
      </c>
      <c r="H228" s="366" t="s">
        <v>558</v>
      </c>
      <c r="I228" s="366" t="s">
        <v>468</v>
      </c>
      <c r="M228" s="366" t="s">
        <v>850</v>
      </c>
      <c r="N228" s="366" t="s">
        <v>854</v>
      </c>
      <c r="Q228" s="366" t="s">
        <v>673</v>
      </c>
      <c r="R228" s="366" t="s">
        <v>653</v>
      </c>
      <c r="S228" s="366" t="s">
        <v>791</v>
      </c>
      <c r="T228" s="366">
        <v>92.616595239999995</v>
      </c>
      <c r="U228" s="366">
        <v>0.3</v>
      </c>
      <c r="W228" s="366">
        <v>193750.2</v>
      </c>
      <c r="AA228" s="366">
        <v>193750.2</v>
      </c>
      <c r="AB228" s="366">
        <v>193750.2</v>
      </c>
      <c r="AD228" s="366">
        <v>35</v>
      </c>
      <c r="AE228" s="366">
        <v>75</v>
      </c>
      <c r="AN228" s="366">
        <v>110</v>
      </c>
      <c r="AO228" s="366">
        <v>567.74134943000001</v>
      </c>
      <c r="AQ228" s="366">
        <v>387.09637461</v>
      </c>
      <c r="AR228" s="366">
        <v>0</v>
      </c>
      <c r="AS228" s="366">
        <v>0</v>
      </c>
      <c r="AX228" s="366">
        <v>0</v>
      </c>
    </row>
    <row r="229" spans="1:65" hidden="1">
      <c r="A229" s="366">
        <v>227</v>
      </c>
      <c r="B229" s="366" t="s">
        <v>268</v>
      </c>
      <c r="C229" s="366" t="s">
        <v>856</v>
      </c>
      <c r="D229" s="366">
        <v>1</v>
      </c>
      <c r="E229" s="366" t="s">
        <v>857</v>
      </c>
      <c r="F229" s="366">
        <v>1</v>
      </c>
      <c r="G229" s="366" t="s">
        <v>849</v>
      </c>
      <c r="H229" s="366" t="s">
        <v>558</v>
      </c>
      <c r="I229" s="366" t="s">
        <v>433</v>
      </c>
      <c r="M229" s="366" t="s">
        <v>850</v>
      </c>
      <c r="N229" s="366" t="s">
        <v>858</v>
      </c>
      <c r="Q229" s="366" t="s">
        <v>507</v>
      </c>
      <c r="R229" s="366" t="s">
        <v>791</v>
      </c>
      <c r="S229" s="366" t="s">
        <v>791</v>
      </c>
      <c r="U229" s="366">
        <v>1</v>
      </c>
      <c r="AD229" s="366">
        <v>10</v>
      </c>
      <c r="AE229" s="366">
        <v>20</v>
      </c>
      <c r="AN229" s="366">
        <v>30</v>
      </c>
      <c r="AX229" s="366">
        <v>0</v>
      </c>
    </row>
    <row r="230" spans="1:65" hidden="1">
      <c r="A230" s="366">
        <v>228</v>
      </c>
      <c r="B230" s="366" t="s">
        <v>268</v>
      </c>
      <c r="C230" s="366" t="s">
        <v>859</v>
      </c>
      <c r="D230" s="366">
        <v>1</v>
      </c>
      <c r="E230" s="366" t="s">
        <v>130</v>
      </c>
      <c r="F230" s="366">
        <v>1</v>
      </c>
      <c r="G230" s="366" t="s">
        <v>477</v>
      </c>
      <c r="H230" s="366" t="s">
        <v>558</v>
      </c>
      <c r="I230" s="366" t="s">
        <v>468</v>
      </c>
      <c r="M230" s="366" t="s">
        <v>850</v>
      </c>
      <c r="N230" s="366" t="s">
        <v>860</v>
      </c>
      <c r="Q230" s="366" t="s">
        <v>552</v>
      </c>
      <c r="R230" s="366" t="s">
        <v>483</v>
      </c>
      <c r="S230" s="366" t="s">
        <v>791</v>
      </c>
      <c r="T230" s="366">
        <v>42.098452379999998</v>
      </c>
      <c r="U230" s="366">
        <v>0</v>
      </c>
      <c r="AA230" s="366">
        <v>400890.69160000002</v>
      </c>
      <c r="AB230" s="366">
        <v>400890.69160000002</v>
      </c>
      <c r="AD230" s="366">
        <v>8</v>
      </c>
      <c r="AE230" s="366">
        <v>42</v>
      </c>
      <c r="AN230" s="366">
        <v>50</v>
      </c>
      <c r="AO230" s="366">
        <v>124.72227728999999</v>
      </c>
      <c r="AQ230" s="366">
        <v>104.76671292</v>
      </c>
      <c r="AR230" s="366">
        <v>0</v>
      </c>
      <c r="AS230" s="366">
        <v>0</v>
      </c>
      <c r="AX230" s="366">
        <v>0</v>
      </c>
    </row>
    <row r="231" spans="1:65" hidden="1">
      <c r="A231" s="366">
        <v>229</v>
      </c>
      <c r="B231" s="366" t="s">
        <v>268</v>
      </c>
      <c r="C231" s="366" t="s">
        <v>861</v>
      </c>
      <c r="D231" s="366">
        <v>1</v>
      </c>
      <c r="E231" s="366" t="s">
        <v>130</v>
      </c>
      <c r="F231" s="366">
        <v>1</v>
      </c>
      <c r="G231" s="366" t="s">
        <v>477</v>
      </c>
      <c r="H231" s="366" t="s">
        <v>558</v>
      </c>
      <c r="I231" s="366" t="s">
        <v>468</v>
      </c>
      <c r="M231" s="366" t="s">
        <v>850</v>
      </c>
      <c r="N231" s="366" t="s">
        <v>860</v>
      </c>
      <c r="Q231" s="366" t="s">
        <v>664</v>
      </c>
      <c r="R231" s="366" t="s">
        <v>483</v>
      </c>
      <c r="S231" s="366" t="s">
        <v>791</v>
      </c>
      <c r="T231" s="366">
        <v>67.357523810000004</v>
      </c>
      <c r="U231" s="366">
        <v>0.8</v>
      </c>
      <c r="AA231" s="366">
        <v>144430.01019999999</v>
      </c>
      <c r="AB231" s="366">
        <v>144430.01019999999</v>
      </c>
      <c r="AD231" s="366">
        <v>20</v>
      </c>
      <c r="AE231" s="366">
        <v>60</v>
      </c>
      <c r="AN231" s="366">
        <v>80</v>
      </c>
      <c r="AO231" s="366">
        <v>553.90150487999995</v>
      </c>
      <c r="AQ231" s="366">
        <v>415.42612866000002</v>
      </c>
      <c r="AR231" s="366">
        <v>0</v>
      </c>
      <c r="AS231" s="366">
        <v>0</v>
      </c>
      <c r="AX231" s="366">
        <v>0</v>
      </c>
    </row>
    <row r="232" spans="1:65" hidden="1">
      <c r="A232" s="366">
        <v>230</v>
      </c>
      <c r="B232" s="366" t="s">
        <v>271</v>
      </c>
      <c r="C232" s="366" t="s">
        <v>862</v>
      </c>
      <c r="D232" s="366">
        <v>1</v>
      </c>
      <c r="E232" s="366" t="s">
        <v>863</v>
      </c>
      <c r="F232" s="366">
        <v>1</v>
      </c>
      <c r="G232" s="366" t="s">
        <v>864</v>
      </c>
      <c r="H232" s="366" t="s">
        <v>558</v>
      </c>
      <c r="I232" s="366" t="s">
        <v>433</v>
      </c>
      <c r="M232" s="366" t="s">
        <v>850</v>
      </c>
      <c r="N232" s="366" t="s">
        <v>862</v>
      </c>
      <c r="Q232" s="366" t="s">
        <v>464</v>
      </c>
      <c r="R232" s="366" t="s">
        <v>472</v>
      </c>
      <c r="U232" s="366">
        <v>1</v>
      </c>
      <c r="AA232" s="366">
        <v>76585.148499999996</v>
      </c>
      <c r="AB232" s="366">
        <v>76585.148499999996</v>
      </c>
      <c r="AD232" s="366">
        <v>8</v>
      </c>
      <c r="AE232" s="366">
        <v>30</v>
      </c>
      <c r="AN232" s="366">
        <v>38</v>
      </c>
      <c r="AO232" s="366">
        <v>496.17975214000001</v>
      </c>
      <c r="AQ232" s="366">
        <v>391.72085694999998</v>
      </c>
      <c r="AR232" s="366">
        <v>0</v>
      </c>
      <c r="AS232" s="366">
        <v>0</v>
      </c>
      <c r="AX232" s="366">
        <v>0</v>
      </c>
      <c r="BC232" s="366">
        <v>41.8</v>
      </c>
      <c r="BI232" s="366">
        <v>0.1</v>
      </c>
      <c r="BK232" s="366">
        <v>0.1</v>
      </c>
      <c r="BL232" s="366">
        <v>0</v>
      </c>
      <c r="BM232" s="366">
        <v>0</v>
      </c>
    </row>
    <row r="233" spans="1:65" hidden="1">
      <c r="A233" s="366">
        <v>231</v>
      </c>
      <c r="B233" s="366" t="s">
        <v>271</v>
      </c>
      <c r="C233" s="366" t="s">
        <v>865</v>
      </c>
      <c r="D233" s="366">
        <v>1</v>
      </c>
      <c r="E233" s="366" t="s">
        <v>304</v>
      </c>
      <c r="F233" s="366">
        <v>1</v>
      </c>
      <c r="G233" s="366" t="s">
        <v>1078</v>
      </c>
      <c r="H233" s="366" t="s">
        <v>558</v>
      </c>
      <c r="I233" s="366" t="s">
        <v>468</v>
      </c>
      <c r="M233" s="366" t="s">
        <v>850</v>
      </c>
      <c r="N233" s="366" t="s">
        <v>866</v>
      </c>
      <c r="Q233" s="366" t="s">
        <v>740</v>
      </c>
      <c r="R233" s="366" t="s">
        <v>1079</v>
      </c>
      <c r="U233" s="366">
        <v>0</v>
      </c>
      <c r="AA233" s="366">
        <v>204514.1</v>
      </c>
      <c r="AB233" s="366">
        <v>204514.1</v>
      </c>
      <c r="AD233" s="366">
        <v>12</v>
      </c>
      <c r="AE233" s="366">
        <v>62</v>
      </c>
      <c r="AN233" s="366">
        <v>74</v>
      </c>
      <c r="AO233" s="366">
        <v>361.83324278999999</v>
      </c>
      <c r="AQ233" s="366">
        <v>303.1575818</v>
      </c>
      <c r="AR233" s="366">
        <v>0</v>
      </c>
      <c r="AS233" s="366">
        <v>0</v>
      </c>
      <c r="AX233" s="366">
        <v>0</v>
      </c>
      <c r="BC233" s="366">
        <v>81.400000000000006</v>
      </c>
      <c r="BI233" s="366">
        <v>0.1</v>
      </c>
      <c r="BK233" s="366">
        <v>0.1</v>
      </c>
      <c r="BL233" s="366">
        <v>0</v>
      </c>
      <c r="BM233" s="366">
        <v>0</v>
      </c>
    </row>
    <row r="234" spans="1:65" hidden="1">
      <c r="A234" s="366">
        <v>232</v>
      </c>
      <c r="B234" s="366" t="s">
        <v>271</v>
      </c>
      <c r="C234" s="366" t="s">
        <v>867</v>
      </c>
      <c r="D234" s="366">
        <v>1</v>
      </c>
      <c r="E234" s="366" t="s">
        <v>130</v>
      </c>
      <c r="F234" s="366">
        <v>1</v>
      </c>
      <c r="G234" s="366" t="s">
        <v>910</v>
      </c>
      <c r="H234" s="366" t="s">
        <v>558</v>
      </c>
      <c r="I234" s="366" t="s">
        <v>433</v>
      </c>
      <c r="M234" s="366" t="s">
        <v>850</v>
      </c>
      <c r="N234" s="366" t="s">
        <v>860</v>
      </c>
      <c r="Q234" s="366" t="s">
        <v>445</v>
      </c>
      <c r="R234" s="366" t="s">
        <v>911</v>
      </c>
      <c r="S234" s="366" t="s">
        <v>791</v>
      </c>
      <c r="T234" s="366">
        <v>140.79</v>
      </c>
      <c r="U234" s="366">
        <v>0.25</v>
      </c>
      <c r="AA234" s="366">
        <v>172222.4</v>
      </c>
      <c r="AB234" s="366">
        <v>172222.4</v>
      </c>
      <c r="AD234" s="366">
        <v>10</v>
      </c>
      <c r="AE234" s="366">
        <v>59</v>
      </c>
      <c r="AN234" s="366">
        <v>69</v>
      </c>
      <c r="AO234" s="366">
        <v>400.64474772</v>
      </c>
      <c r="AQ234" s="366">
        <v>342.58029153000001</v>
      </c>
      <c r="AR234" s="366">
        <v>0</v>
      </c>
      <c r="AS234" s="366">
        <v>0</v>
      </c>
      <c r="AX234" s="366">
        <v>0</v>
      </c>
      <c r="BC234" s="366">
        <v>140</v>
      </c>
      <c r="BI234" s="366">
        <v>0.15</v>
      </c>
      <c r="BK234" s="366">
        <v>1.02898551</v>
      </c>
      <c r="BL234" s="366">
        <v>0.87898551000000003</v>
      </c>
      <c r="BM234" s="366">
        <v>60.65</v>
      </c>
    </row>
    <row r="235" spans="1:65" hidden="1">
      <c r="A235" s="366">
        <v>233</v>
      </c>
      <c r="B235" s="366" t="s">
        <v>271</v>
      </c>
      <c r="C235" s="366" t="s">
        <v>868</v>
      </c>
      <c r="D235" s="366">
        <v>1</v>
      </c>
      <c r="E235" s="366" t="s">
        <v>304</v>
      </c>
      <c r="F235" s="366">
        <v>1</v>
      </c>
      <c r="G235" s="366" t="s">
        <v>864</v>
      </c>
      <c r="H235" s="366" t="s">
        <v>558</v>
      </c>
      <c r="I235" s="366" t="s">
        <v>433</v>
      </c>
      <c r="M235" s="366" t="s">
        <v>850</v>
      </c>
      <c r="N235" s="366" t="s">
        <v>860</v>
      </c>
      <c r="Q235" s="366" t="s">
        <v>613</v>
      </c>
      <c r="R235" s="366" t="s">
        <v>564</v>
      </c>
      <c r="U235" s="366">
        <v>0.93</v>
      </c>
      <c r="AA235" s="366">
        <v>258333.6</v>
      </c>
      <c r="AB235" s="366">
        <v>258333.6</v>
      </c>
      <c r="AD235" s="366">
        <v>40</v>
      </c>
      <c r="AE235" s="366">
        <v>100</v>
      </c>
      <c r="AN235" s="366">
        <v>140</v>
      </c>
      <c r="AO235" s="366">
        <v>541.93492445000004</v>
      </c>
      <c r="AQ235" s="366">
        <v>387.09637461</v>
      </c>
      <c r="AR235" s="366">
        <v>0</v>
      </c>
      <c r="AS235" s="366">
        <v>0</v>
      </c>
      <c r="AX235" s="366">
        <v>0</v>
      </c>
      <c r="BC235" s="366">
        <v>161</v>
      </c>
      <c r="BI235" s="366">
        <v>0.05</v>
      </c>
      <c r="BK235" s="366">
        <v>0.15</v>
      </c>
      <c r="BL235" s="366">
        <v>0.1</v>
      </c>
      <c r="BM235" s="366">
        <v>14</v>
      </c>
    </row>
    <row r="236" spans="1:65" hidden="1">
      <c r="A236">
        <v>234</v>
      </c>
      <c r="B236" t="s">
        <v>277</v>
      </c>
      <c r="C236" t="s">
        <v>912</v>
      </c>
      <c r="D236">
        <v>1</v>
      </c>
      <c r="E236" t="s">
        <v>676</v>
      </c>
      <c r="F236">
        <v>1</v>
      </c>
      <c r="G236" t="s">
        <v>1080</v>
      </c>
      <c r="H236" t="s">
        <v>1081</v>
      </c>
      <c r="I236" t="s">
        <v>433</v>
      </c>
      <c r="J236"/>
      <c r="K236"/>
      <c r="L236"/>
      <c r="M236" t="s">
        <v>108</v>
      </c>
      <c r="N236" t="s">
        <v>912</v>
      </c>
      <c r="O236"/>
      <c r="P236"/>
      <c r="Q236" t="s">
        <v>560</v>
      </c>
      <c r="R236" t="s">
        <v>614</v>
      </c>
      <c r="S236"/>
      <c r="T236"/>
      <c r="U236">
        <v>1</v>
      </c>
      <c r="V236">
        <v>527000</v>
      </c>
      <c r="W236"/>
      <c r="X236"/>
      <c r="Y236"/>
      <c r="Z236"/>
      <c r="AA236">
        <v>527000</v>
      </c>
      <c r="AB236">
        <v>527000</v>
      </c>
      <c r="AC236"/>
      <c r="AD236">
        <v>0</v>
      </c>
      <c r="AE236">
        <v>36</v>
      </c>
      <c r="AF236"/>
      <c r="AG236"/>
      <c r="AH236"/>
      <c r="AI236">
        <v>3</v>
      </c>
      <c r="AJ236"/>
      <c r="AK236"/>
      <c r="AL236"/>
      <c r="AM236"/>
      <c r="AN236">
        <v>39</v>
      </c>
      <c r="AO236">
        <v>74.003795069999995</v>
      </c>
      <c r="AP236"/>
      <c r="AQ236">
        <v>68.31119545</v>
      </c>
      <c r="AR236">
        <v>4.6622390899999999</v>
      </c>
      <c r="AS236">
        <v>4.6622390899999999</v>
      </c>
      <c r="AT236">
        <v>2.4569999999999999</v>
      </c>
      <c r="AU236"/>
      <c r="AV236"/>
      <c r="AW236"/>
      <c r="AX236">
        <v>6.3E-2</v>
      </c>
      <c r="AY236"/>
      <c r="AZ236">
        <v>5.2499999999999998E-2</v>
      </c>
      <c r="BA236"/>
      <c r="BB236">
        <v>83.97593766</v>
      </c>
      <c r="BC236">
        <v>44.255319149999998</v>
      </c>
      <c r="BD236"/>
      <c r="BE236"/>
      <c r="BF236"/>
      <c r="BG236"/>
      <c r="BH236"/>
      <c r="BI236">
        <v>0.1</v>
      </c>
      <c r="BJ236"/>
      <c r="BK236">
        <v>0.13475176999999999</v>
      </c>
      <c r="BL236"/>
      <c r="BM236"/>
    </row>
    <row r="237" spans="1:65" hidden="1">
      <c r="A237">
        <v>235</v>
      </c>
      <c r="B237" t="s">
        <v>277</v>
      </c>
      <c r="C237" t="s">
        <v>913</v>
      </c>
      <c r="D237">
        <v>1</v>
      </c>
      <c r="E237" t="s">
        <v>131</v>
      </c>
      <c r="F237">
        <v>1</v>
      </c>
      <c r="G237" t="s">
        <v>470</v>
      </c>
      <c r="H237" t="s">
        <v>558</v>
      </c>
      <c r="I237" t="s">
        <v>433</v>
      </c>
      <c r="J237"/>
      <c r="K237"/>
      <c r="L237"/>
      <c r="M237" t="s">
        <v>108</v>
      </c>
      <c r="N237" t="s">
        <v>913</v>
      </c>
      <c r="O237"/>
      <c r="P237"/>
      <c r="Q237" t="s">
        <v>560</v>
      </c>
      <c r="R237" t="s">
        <v>742</v>
      </c>
      <c r="S237"/>
      <c r="T237"/>
      <c r="U237">
        <v>1</v>
      </c>
      <c r="V237">
        <v>72000</v>
      </c>
      <c r="W237"/>
      <c r="X237"/>
      <c r="Y237"/>
      <c r="Z237"/>
      <c r="AA237">
        <v>72000</v>
      </c>
      <c r="AB237">
        <v>72000</v>
      </c>
      <c r="AC237"/>
      <c r="AD237"/>
      <c r="AE237">
        <v>9</v>
      </c>
      <c r="AF237"/>
      <c r="AG237"/>
      <c r="AH237"/>
      <c r="AI237"/>
      <c r="AJ237"/>
      <c r="AK237"/>
      <c r="AL237"/>
      <c r="AM237"/>
      <c r="AN237">
        <v>9</v>
      </c>
      <c r="AO237">
        <v>125</v>
      </c>
      <c r="AP237"/>
      <c r="AQ237">
        <v>125</v>
      </c>
      <c r="AR237">
        <v>14.125</v>
      </c>
      <c r="AS237">
        <v>14.125</v>
      </c>
      <c r="AT237">
        <v>1.0169999999999999</v>
      </c>
      <c r="AU237"/>
      <c r="AV237"/>
      <c r="AW237"/>
      <c r="AX237">
        <v>0.113</v>
      </c>
      <c r="AY237"/>
      <c r="AZ237">
        <v>7.4999999999999997E-2</v>
      </c>
      <c r="BA237"/>
      <c r="BB237">
        <v>178.09298659999999</v>
      </c>
      <c r="BC237">
        <v>12.822695039999999</v>
      </c>
      <c r="BD237"/>
      <c r="BE237"/>
      <c r="BF237"/>
      <c r="BG237"/>
      <c r="BH237"/>
      <c r="BI237">
        <v>0.1</v>
      </c>
      <c r="BJ237"/>
      <c r="BK237">
        <v>0.42474389000000001</v>
      </c>
      <c r="BL237"/>
      <c r="BM237"/>
    </row>
    <row r="238" spans="1:65" hidden="1">
      <c r="A238">
        <v>236</v>
      </c>
      <c r="B238" t="s">
        <v>277</v>
      </c>
      <c r="C238" t="s">
        <v>785</v>
      </c>
      <c r="D238">
        <v>1</v>
      </c>
      <c r="E238" t="s">
        <v>131</v>
      </c>
      <c r="F238">
        <v>1</v>
      </c>
      <c r="G238" t="s">
        <v>470</v>
      </c>
      <c r="H238" t="s">
        <v>558</v>
      </c>
      <c r="I238" t="s">
        <v>433</v>
      </c>
      <c r="J238"/>
      <c r="K238"/>
      <c r="L238"/>
      <c r="M238" t="s">
        <v>108</v>
      </c>
      <c r="N238" t="s">
        <v>785</v>
      </c>
      <c r="O238"/>
      <c r="P238"/>
      <c r="Q238" t="s">
        <v>461</v>
      </c>
      <c r="R238" t="s">
        <v>472</v>
      </c>
      <c r="S238"/>
      <c r="T238"/>
      <c r="U238">
        <v>1</v>
      </c>
      <c r="V238">
        <v>29000</v>
      </c>
      <c r="W238"/>
      <c r="X238"/>
      <c r="Y238"/>
      <c r="Z238"/>
      <c r="AA238">
        <v>29000</v>
      </c>
      <c r="AB238">
        <v>29000</v>
      </c>
      <c r="AC238"/>
      <c r="AD238"/>
      <c r="AE238">
        <v>7</v>
      </c>
      <c r="AF238"/>
      <c r="AG238"/>
      <c r="AH238"/>
      <c r="AI238"/>
      <c r="AJ238"/>
      <c r="AK238"/>
      <c r="AL238"/>
      <c r="AM238"/>
      <c r="AN238">
        <v>7</v>
      </c>
      <c r="AO238">
        <v>241.37931033999999</v>
      </c>
      <c r="AP238"/>
      <c r="AQ238">
        <v>241.37931033999999</v>
      </c>
      <c r="AR238">
        <v>14.241379309999999</v>
      </c>
      <c r="AS238">
        <v>14.241379309999999</v>
      </c>
      <c r="AT238">
        <v>0.41299999999999998</v>
      </c>
      <c r="AU238"/>
      <c r="AV238"/>
      <c r="AW238"/>
      <c r="AX238">
        <v>5.8999999999999997E-2</v>
      </c>
      <c r="AY238"/>
      <c r="AZ238">
        <v>5.3499999999999999E-2</v>
      </c>
      <c r="BA238"/>
      <c r="BB238">
        <v>251.72010005000001</v>
      </c>
      <c r="BC238">
        <v>7.2998829000000001</v>
      </c>
      <c r="BD238"/>
      <c r="BE238"/>
      <c r="BF238"/>
      <c r="BG238"/>
      <c r="BH238"/>
      <c r="BI238">
        <v>0.1</v>
      </c>
      <c r="BJ238"/>
      <c r="BK238">
        <v>4.2840410000000002E-2</v>
      </c>
      <c r="BL238"/>
      <c r="BM238"/>
    </row>
    <row r="239" spans="1:65" hidden="1">
      <c r="A239">
        <v>237</v>
      </c>
      <c r="B239" t="s">
        <v>277</v>
      </c>
      <c r="C239" t="s">
        <v>914</v>
      </c>
      <c r="D239">
        <v>1</v>
      </c>
      <c r="E239" t="s">
        <v>131</v>
      </c>
      <c r="F239">
        <v>1</v>
      </c>
      <c r="G239" t="s">
        <v>470</v>
      </c>
      <c r="H239" t="s">
        <v>558</v>
      </c>
      <c r="I239" t="s">
        <v>433</v>
      </c>
      <c r="J239"/>
      <c r="K239"/>
      <c r="L239"/>
      <c r="M239" t="s">
        <v>108</v>
      </c>
      <c r="N239" t="s">
        <v>915</v>
      </c>
      <c r="O239"/>
      <c r="P239"/>
      <c r="Q239" t="s">
        <v>464</v>
      </c>
      <c r="R239" t="s">
        <v>472</v>
      </c>
      <c r="S239"/>
      <c r="T239"/>
      <c r="U239">
        <v>1</v>
      </c>
      <c r="V239">
        <v>29000</v>
      </c>
      <c r="W239"/>
      <c r="X239"/>
      <c r="Y239"/>
      <c r="Z239"/>
      <c r="AA239">
        <v>29000</v>
      </c>
      <c r="AB239">
        <v>29000</v>
      </c>
      <c r="AC239"/>
      <c r="AD239"/>
      <c r="AE239">
        <v>6</v>
      </c>
      <c r="AF239"/>
      <c r="AG239"/>
      <c r="AH239"/>
      <c r="AI239"/>
      <c r="AJ239"/>
      <c r="AK239"/>
      <c r="AL239"/>
      <c r="AM239"/>
      <c r="AN239">
        <v>6</v>
      </c>
      <c r="AO239">
        <v>206.89655171999999</v>
      </c>
      <c r="AP239"/>
      <c r="AQ239">
        <v>206.89655171999999</v>
      </c>
      <c r="AR239">
        <v>15.31034483</v>
      </c>
      <c r="AS239">
        <v>15.31034483</v>
      </c>
      <c r="AT239">
        <v>0.44400000000000001</v>
      </c>
      <c r="AU239"/>
      <c r="AV239"/>
      <c r="AW239"/>
      <c r="AX239">
        <v>7.3999999999999996E-2</v>
      </c>
      <c r="AY239"/>
      <c r="AZ239">
        <v>6.0999999999999999E-2</v>
      </c>
      <c r="BA239"/>
      <c r="BB239">
        <v>237.34208932999999</v>
      </c>
      <c r="BC239">
        <v>6.8829205900000003</v>
      </c>
      <c r="BD239"/>
      <c r="BE239"/>
      <c r="BF239"/>
      <c r="BG239"/>
      <c r="BH239"/>
      <c r="BI239">
        <v>0.1</v>
      </c>
      <c r="BJ239"/>
      <c r="BK239">
        <v>0.14715343</v>
      </c>
      <c r="BL239"/>
      <c r="BM239"/>
    </row>
    <row r="240" spans="1:65" hidden="1">
      <c r="A240">
        <v>238</v>
      </c>
      <c r="B240" t="s">
        <v>277</v>
      </c>
      <c r="C240" t="s">
        <v>916</v>
      </c>
      <c r="D240">
        <v>1</v>
      </c>
      <c r="E240" t="s">
        <v>131</v>
      </c>
      <c r="F240">
        <v>1</v>
      </c>
      <c r="G240" t="s">
        <v>500</v>
      </c>
      <c r="H240" t="s">
        <v>312</v>
      </c>
      <c r="I240" t="s">
        <v>433</v>
      </c>
      <c r="J240"/>
      <c r="K240"/>
      <c r="L240"/>
      <c r="M240" t="s">
        <v>108</v>
      </c>
      <c r="N240" t="s">
        <v>108</v>
      </c>
      <c r="O240"/>
      <c r="P240"/>
      <c r="Q240" t="s">
        <v>560</v>
      </c>
      <c r="R240" t="s">
        <v>470</v>
      </c>
      <c r="S240"/>
      <c r="T240"/>
      <c r="U240">
        <v>1</v>
      </c>
      <c r="V240">
        <v>28000</v>
      </c>
      <c r="W240"/>
      <c r="X240"/>
      <c r="Y240"/>
      <c r="Z240"/>
      <c r="AA240">
        <v>28000</v>
      </c>
      <c r="AB240">
        <v>28000</v>
      </c>
      <c r="AC240"/>
      <c r="AD240"/>
      <c r="AE240">
        <v>5.4054054100000002</v>
      </c>
      <c r="AF240"/>
      <c r="AG240"/>
      <c r="AH240"/>
      <c r="AI240"/>
      <c r="AJ240"/>
      <c r="AK240"/>
      <c r="AL240"/>
      <c r="AM240"/>
      <c r="AN240">
        <v>5.4054054100000002</v>
      </c>
      <c r="AO240">
        <v>193.05019304999999</v>
      </c>
      <c r="AP240"/>
      <c r="AQ240">
        <v>193.05019304999999</v>
      </c>
      <c r="AR240">
        <v>21.428571430000002</v>
      </c>
      <c r="AS240">
        <v>21.428571430000002</v>
      </c>
      <c r="AT240">
        <v>0.6</v>
      </c>
      <c r="AU240"/>
      <c r="AV240"/>
      <c r="AW240"/>
      <c r="AX240">
        <v>0.111</v>
      </c>
      <c r="AY240"/>
      <c r="AZ240">
        <v>5.6000000000000001E-2</v>
      </c>
      <c r="BA240"/>
      <c r="BB240">
        <v>361.84686641000002</v>
      </c>
      <c r="BC240">
        <v>10.13171226</v>
      </c>
      <c r="BD240"/>
      <c r="BE240"/>
      <c r="BF240"/>
      <c r="BG240"/>
      <c r="BH240"/>
      <c r="BI240">
        <v>0.1</v>
      </c>
      <c r="BJ240"/>
      <c r="BK240">
        <v>0.87436676999999996</v>
      </c>
      <c r="BL240"/>
      <c r="BM240"/>
    </row>
    <row r="241" spans="1:65" hidden="1">
      <c r="A241">
        <v>239</v>
      </c>
      <c r="B241" t="s">
        <v>277</v>
      </c>
      <c r="C241" t="s">
        <v>917</v>
      </c>
      <c r="D241">
        <v>1</v>
      </c>
      <c r="E241" t="s">
        <v>131</v>
      </c>
      <c r="F241">
        <v>1</v>
      </c>
      <c r="G241" t="s">
        <v>470</v>
      </c>
      <c r="H241" t="s">
        <v>558</v>
      </c>
      <c r="I241" t="s">
        <v>433</v>
      </c>
      <c r="J241"/>
      <c r="K241"/>
      <c r="L241"/>
      <c r="M241" t="s">
        <v>108</v>
      </c>
      <c r="N241" t="s">
        <v>917</v>
      </c>
      <c r="O241"/>
      <c r="P241"/>
      <c r="Q241" t="s">
        <v>495</v>
      </c>
      <c r="R241" t="s">
        <v>479</v>
      </c>
      <c r="S241"/>
      <c r="T241"/>
      <c r="U241">
        <v>1</v>
      </c>
      <c r="V241">
        <v>18000</v>
      </c>
      <c r="W241"/>
      <c r="X241"/>
      <c r="Y241"/>
      <c r="Z241"/>
      <c r="AA241">
        <v>18000</v>
      </c>
      <c r="AB241">
        <v>18000</v>
      </c>
      <c r="AC241"/>
      <c r="AD241"/>
      <c r="AE241">
        <v>4.7619047600000002</v>
      </c>
      <c r="AF241"/>
      <c r="AG241"/>
      <c r="AH241"/>
      <c r="AI241"/>
      <c r="AJ241"/>
      <c r="AK241"/>
      <c r="AL241"/>
      <c r="AM241"/>
      <c r="AN241">
        <v>4.7619047600000002</v>
      </c>
      <c r="AO241">
        <v>264.55026455000001</v>
      </c>
      <c r="AP241"/>
      <c r="AQ241">
        <v>264.55026455000001</v>
      </c>
      <c r="AR241">
        <v>16.666666670000001</v>
      </c>
      <c r="AS241">
        <v>16.666666670000001</v>
      </c>
      <c r="AT241">
        <v>0.3</v>
      </c>
      <c r="AU241"/>
      <c r="AV241"/>
      <c r="AW241"/>
      <c r="AX241">
        <v>6.3E-2</v>
      </c>
      <c r="AY241"/>
      <c r="AZ241">
        <v>6.4000000000000001E-2</v>
      </c>
      <c r="BA241"/>
      <c r="BB241">
        <v>246.25689518999999</v>
      </c>
      <c r="BC241">
        <v>4.4326241099999999</v>
      </c>
      <c r="BD241"/>
      <c r="BE241"/>
      <c r="BF241"/>
      <c r="BG241"/>
      <c r="BH241"/>
      <c r="BI241">
        <v>0.1</v>
      </c>
      <c r="BJ241"/>
      <c r="BK241">
        <v>-6.9148940000000006E-2</v>
      </c>
      <c r="BL241"/>
      <c r="BM241"/>
    </row>
    <row r="242" spans="1:65" hidden="1">
      <c r="A242">
        <v>240</v>
      </c>
      <c r="B242" t="s">
        <v>277</v>
      </c>
      <c r="C242" t="s">
        <v>672</v>
      </c>
      <c r="D242">
        <v>1</v>
      </c>
      <c r="E242" t="s">
        <v>131</v>
      </c>
      <c r="F242">
        <v>1</v>
      </c>
      <c r="G242" t="s">
        <v>470</v>
      </c>
      <c r="H242" t="s">
        <v>558</v>
      </c>
      <c r="I242" t="s">
        <v>433</v>
      </c>
      <c r="J242"/>
      <c r="K242"/>
      <c r="L242"/>
      <c r="M242" t="s">
        <v>108</v>
      </c>
      <c r="N242" t="s">
        <v>672</v>
      </c>
      <c r="O242"/>
      <c r="P242"/>
      <c r="Q242" t="s">
        <v>464</v>
      </c>
      <c r="R242" t="s">
        <v>472</v>
      </c>
      <c r="S242"/>
      <c r="T242"/>
      <c r="U242">
        <v>1</v>
      </c>
      <c r="V242">
        <v>18000</v>
      </c>
      <c r="W242"/>
      <c r="X242"/>
      <c r="Y242"/>
      <c r="Z242"/>
      <c r="AA242">
        <v>18000</v>
      </c>
      <c r="AB242">
        <v>18000</v>
      </c>
      <c r="AC242"/>
      <c r="AD242"/>
      <c r="AE242">
        <v>4</v>
      </c>
      <c r="AF242"/>
      <c r="AG242"/>
      <c r="AH242"/>
      <c r="AI242"/>
      <c r="AJ242"/>
      <c r="AK242"/>
      <c r="AL242"/>
      <c r="AM242"/>
      <c r="AN242">
        <v>4</v>
      </c>
      <c r="AO242">
        <v>222.22222221999999</v>
      </c>
      <c r="AP242"/>
      <c r="AQ242">
        <v>222.22222221999999</v>
      </c>
      <c r="AR242">
        <v>17.555555559999998</v>
      </c>
      <c r="AS242">
        <v>17.555555559999998</v>
      </c>
      <c r="AT242">
        <v>0.316</v>
      </c>
      <c r="AU242"/>
      <c r="AV242"/>
      <c r="AW242"/>
      <c r="AX242">
        <v>7.9000000000000001E-2</v>
      </c>
      <c r="AY242"/>
      <c r="AZ242">
        <v>5.0999999999999997E-2</v>
      </c>
      <c r="BA242"/>
      <c r="BB242">
        <v>325.50976787000002</v>
      </c>
      <c r="BC242">
        <v>5.8591758199999999</v>
      </c>
      <c r="BD242"/>
      <c r="BE242"/>
      <c r="BF242"/>
      <c r="BG242"/>
      <c r="BH242"/>
      <c r="BI242">
        <v>0.1</v>
      </c>
      <c r="BJ242"/>
      <c r="BK242">
        <v>0.46479396000000001</v>
      </c>
      <c r="BL242"/>
      <c r="BM242"/>
    </row>
    <row r="243" spans="1:65" hidden="1">
      <c r="A243">
        <v>241</v>
      </c>
      <c r="B243" t="s">
        <v>277</v>
      </c>
      <c r="C243" t="s">
        <v>918</v>
      </c>
      <c r="D243">
        <v>1</v>
      </c>
      <c r="E243" t="s">
        <v>131</v>
      </c>
      <c r="F243">
        <v>1</v>
      </c>
      <c r="G243" t="s">
        <v>470</v>
      </c>
      <c r="H243" t="s">
        <v>558</v>
      </c>
      <c r="I243" t="s">
        <v>433</v>
      </c>
      <c r="J243"/>
      <c r="K243"/>
      <c r="L243"/>
      <c r="M243" t="s">
        <v>108</v>
      </c>
      <c r="N243" t="s">
        <v>918</v>
      </c>
      <c r="O243"/>
      <c r="P243"/>
      <c r="Q243" t="s">
        <v>500</v>
      </c>
      <c r="R243" t="s">
        <v>717</v>
      </c>
      <c r="S243"/>
      <c r="T243"/>
      <c r="U243">
        <v>1</v>
      </c>
      <c r="V243">
        <v>13000</v>
      </c>
      <c r="W243"/>
      <c r="X243"/>
      <c r="Y243"/>
      <c r="Z243"/>
      <c r="AA243">
        <v>13000</v>
      </c>
      <c r="AB243">
        <v>13000</v>
      </c>
      <c r="AC243"/>
      <c r="AD243"/>
      <c r="AE243">
        <v>9</v>
      </c>
      <c r="AF243"/>
      <c r="AG243"/>
      <c r="AH243"/>
      <c r="AI243"/>
      <c r="AJ243"/>
      <c r="AK243"/>
      <c r="AL243"/>
      <c r="AM243"/>
      <c r="AN243">
        <v>9</v>
      </c>
      <c r="AO243">
        <v>692.30769230999999</v>
      </c>
      <c r="AP243"/>
      <c r="AQ243">
        <v>692.30769230999999</v>
      </c>
      <c r="AR243">
        <v>35.30769231</v>
      </c>
      <c r="AS243">
        <v>35.30769231</v>
      </c>
      <c r="AT243">
        <v>0.45900000000000002</v>
      </c>
      <c r="AU243"/>
      <c r="AV243"/>
      <c r="AW243"/>
      <c r="AX243">
        <v>5.0999999999999997E-2</v>
      </c>
      <c r="AY243"/>
      <c r="AZ243">
        <v>4.7E-2</v>
      </c>
      <c r="BA243"/>
      <c r="BB243">
        <v>710.38061078999999</v>
      </c>
      <c r="BC243">
        <v>9.2349479399999996</v>
      </c>
      <c r="BD243"/>
      <c r="BE243"/>
      <c r="BF243"/>
      <c r="BG243"/>
      <c r="BH243"/>
      <c r="BI243">
        <v>0.1</v>
      </c>
      <c r="BJ243"/>
      <c r="BK243">
        <v>2.610533E-2</v>
      </c>
      <c r="BL243"/>
      <c r="BM243"/>
    </row>
    <row r="244" spans="1:65" hidden="1">
      <c r="A244">
        <v>242</v>
      </c>
      <c r="B244" t="s">
        <v>277</v>
      </c>
      <c r="C244" t="s">
        <v>919</v>
      </c>
      <c r="D244">
        <v>1</v>
      </c>
      <c r="E244" t="s">
        <v>131</v>
      </c>
      <c r="F244">
        <v>1</v>
      </c>
      <c r="G244" t="s">
        <v>920</v>
      </c>
      <c r="H244" t="s">
        <v>312</v>
      </c>
      <c r="I244" t="s">
        <v>433</v>
      </c>
      <c r="J244"/>
      <c r="K244"/>
      <c r="L244"/>
      <c r="M244" t="s">
        <v>108</v>
      </c>
      <c r="N244" t="s">
        <v>108</v>
      </c>
      <c r="O244"/>
      <c r="P244"/>
      <c r="Q244" t="s">
        <v>461</v>
      </c>
      <c r="R244" t="s">
        <v>474</v>
      </c>
      <c r="S244"/>
      <c r="T244"/>
      <c r="U244">
        <v>1</v>
      </c>
      <c r="V244">
        <v>11000</v>
      </c>
      <c r="W244"/>
      <c r="X244"/>
      <c r="Y244"/>
      <c r="Z244"/>
      <c r="AA244">
        <v>11000</v>
      </c>
      <c r="AB244">
        <v>11000</v>
      </c>
      <c r="AC244"/>
      <c r="AD244"/>
      <c r="AE244">
        <v>5.66037736</v>
      </c>
      <c r="AF244"/>
      <c r="AG244"/>
      <c r="AH244"/>
      <c r="AI244"/>
      <c r="AJ244"/>
      <c r="AK244"/>
      <c r="AL244"/>
      <c r="AM244"/>
      <c r="AN244">
        <v>5.66037736</v>
      </c>
      <c r="AO244">
        <v>514.57975985999997</v>
      </c>
      <c r="AP244"/>
      <c r="AQ244">
        <v>514.57975985999997</v>
      </c>
      <c r="AR244">
        <v>27.272727270000001</v>
      </c>
      <c r="AS244">
        <v>27.272727270000001</v>
      </c>
      <c r="AT244">
        <v>0.3</v>
      </c>
      <c r="AU244"/>
      <c r="AV244"/>
      <c r="AW244"/>
      <c r="AX244">
        <v>5.3999999999999999E-2</v>
      </c>
      <c r="AY244"/>
      <c r="AZ244">
        <v>4.4999999999999998E-2</v>
      </c>
      <c r="BA244"/>
      <c r="BB244">
        <v>573.10695609000004</v>
      </c>
      <c r="BC244">
        <v>6.3041765200000004</v>
      </c>
      <c r="BD244"/>
      <c r="BE244"/>
      <c r="BF244"/>
      <c r="BG244"/>
      <c r="BH244"/>
      <c r="BI244">
        <v>0.1</v>
      </c>
      <c r="BJ244"/>
      <c r="BK244">
        <v>0.11373785</v>
      </c>
      <c r="BL244"/>
      <c r="BM244"/>
    </row>
    <row r="245" spans="1:65" hidden="1">
      <c r="A245">
        <v>243</v>
      </c>
      <c r="B245" t="s">
        <v>3</v>
      </c>
      <c r="C245" t="s">
        <v>921</v>
      </c>
      <c r="D245">
        <v>0.75</v>
      </c>
      <c r="E245" t="s">
        <v>131</v>
      </c>
      <c r="F245">
        <v>1</v>
      </c>
      <c r="G245" t="s">
        <v>871</v>
      </c>
      <c r="H245" t="s">
        <v>432</v>
      </c>
      <c r="I245" t="s">
        <v>433</v>
      </c>
      <c r="J245"/>
      <c r="K245"/>
      <c r="L245"/>
      <c r="M245" t="s">
        <v>108</v>
      </c>
      <c r="N245" t="s">
        <v>108</v>
      </c>
      <c r="O245"/>
      <c r="P245"/>
      <c r="Q245" t="s">
        <v>552</v>
      </c>
      <c r="R245" t="s">
        <v>614</v>
      </c>
      <c r="S245" t="s">
        <v>762</v>
      </c>
      <c r="T245">
        <v>2</v>
      </c>
      <c r="U245">
        <v>0.5</v>
      </c>
      <c r="V245"/>
      <c r="W245"/>
      <c r="X245"/>
      <c r="Y245">
        <v>12000</v>
      </c>
      <c r="Z245"/>
      <c r="AA245">
        <v>12000</v>
      </c>
      <c r="AB245">
        <v>9000</v>
      </c>
      <c r="AC245"/>
      <c r="AD245">
        <v>0</v>
      </c>
      <c r="AE245">
        <v>7</v>
      </c>
      <c r="AF245"/>
      <c r="AG245"/>
      <c r="AH245"/>
      <c r="AI245"/>
      <c r="AJ245"/>
      <c r="AK245"/>
      <c r="AL245"/>
      <c r="AM245"/>
      <c r="AN245">
        <v>7</v>
      </c>
      <c r="AO245">
        <v>777.77777777999995</v>
      </c>
      <c r="AP245"/>
      <c r="AQ245">
        <v>777.77777777999995</v>
      </c>
      <c r="AR245">
        <v>44.444444439999998</v>
      </c>
      <c r="AS245">
        <v>44.444444439999998</v>
      </c>
      <c r="AT245">
        <v>0.4</v>
      </c>
      <c r="AU245"/>
      <c r="AV245"/>
      <c r="AW245"/>
      <c r="AX245">
        <v>5.7142859999999997E-2</v>
      </c>
      <c r="AY245"/>
      <c r="AZ245">
        <v>0.05</v>
      </c>
      <c r="BA245"/>
      <c r="BB245">
        <v>888.88888888999998</v>
      </c>
      <c r="BC245">
        <v>8</v>
      </c>
      <c r="BD245"/>
      <c r="BE245"/>
      <c r="BF245"/>
      <c r="BG245"/>
      <c r="BH245"/>
      <c r="BI245">
        <v>0.15</v>
      </c>
      <c r="BJ245"/>
      <c r="BK245">
        <v>0.14285713999999999</v>
      </c>
      <c r="BL245">
        <v>-7.14286E-3</v>
      </c>
      <c r="BM245">
        <v>-0.05</v>
      </c>
    </row>
    <row r="246" spans="1:65" hidden="1">
      <c r="A246">
        <v>244</v>
      </c>
      <c r="B246" t="s">
        <v>3</v>
      </c>
      <c r="C246" t="s">
        <v>922</v>
      </c>
      <c r="D246">
        <v>0.5</v>
      </c>
      <c r="E246" t="s">
        <v>130</v>
      </c>
      <c r="F246">
        <v>1</v>
      </c>
      <c r="G246" t="s">
        <v>1045</v>
      </c>
      <c r="H246" t="s">
        <v>558</v>
      </c>
      <c r="I246" t="s">
        <v>486</v>
      </c>
      <c r="J246"/>
      <c r="K246"/>
      <c r="L246"/>
      <c r="M246" t="s">
        <v>108</v>
      </c>
      <c r="N246" t="s">
        <v>108</v>
      </c>
      <c r="O246"/>
      <c r="P246"/>
      <c r="Q246" t="s">
        <v>643</v>
      </c>
      <c r="R246" t="s">
        <v>644</v>
      </c>
      <c r="S246"/>
      <c r="T246"/>
      <c r="U246">
        <v>0</v>
      </c>
      <c r="V246"/>
      <c r="W246">
        <v>303000</v>
      </c>
      <c r="X246"/>
      <c r="Y246"/>
      <c r="Z246"/>
      <c r="AA246">
        <v>303000</v>
      </c>
      <c r="AB246">
        <v>151500</v>
      </c>
      <c r="AC246"/>
      <c r="AD246">
        <v>50</v>
      </c>
      <c r="AE246">
        <v>50</v>
      </c>
      <c r="AF246"/>
      <c r="AG246"/>
      <c r="AH246"/>
      <c r="AI246">
        <v>11.25</v>
      </c>
      <c r="AJ246"/>
      <c r="AK246"/>
      <c r="AL246">
        <v>8.5723458899999994</v>
      </c>
      <c r="AM246">
        <v>-8.5723458899999994</v>
      </c>
      <c r="AN246">
        <v>111.25</v>
      </c>
      <c r="AO246">
        <v>734.32343233999995</v>
      </c>
      <c r="AP246">
        <v>165.01650165000001</v>
      </c>
      <c r="AQ246">
        <v>330.03300330000002</v>
      </c>
      <c r="AR246">
        <v>66.006600660000004</v>
      </c>
      <c r="AS246">
        <v>66.006600660000004</v>
      </c>
      <c r="AT246">
        <v>10</v>
      </c>
      <c r="AU246"/>
      <c r="AV246"/>
      <c r="AW246"/>
      <c r="AX246">
        <v>8.9887640000000005E-2</v>
      </c>
      <c r="AY246"/>
      <c r="AZ246">
        <v>4.3999999999999997E-2</v>
      </c>
      <c r="BA246"/>
      <c r="BB246">
        <v>1418.5815744700001</v>
      </c>
      <c r="BC246"/>
      <c r="BD246"/>
      <c r="BE246"/>
      <c r="BF246"/>
      <c r="BG246"/>
      <c r="BH246"/>
      <c r="BI246">
        <v>0.2</v>
      </c>
      <c r="BJ246"/>
      <c r="BK246">
        <v>0.93182120000000002</v>
      </c>
      <c r="BL246">
        <v>0.73182119999999995</v>
      </c>
      <c r="BM246">
        <v>81.415108529999998</v>
      </c>
    </row>
    <row r="247" spans="1:65" hidden="1">
      <c r="A247">
        <v>245</v>
      </c>
      <c r="B247" t="s">
        <v>3</v>
      </c>
      <c r="C247" t="s">
        <v>924</v>
      </c>
      <c r="D247">
        <v>1</v>
      </c>
      <c r="E247" t="s">
        <v>130</v>
      </c>
      <c r="F247">
        <v>1</v>
      </c>
      <c r="G247" t="s">
        <v>871</v>
      </c>
      <c r="H247" t="s">
        <v>432</v>
      </c>
      <c r="I247" t="s">
        <v>481</v>
      </c>
      <c r="J247"/>
      <c r="K247"/>
      <c r="L247"/>
      <c r="M247" t="s">
        <v>108</v>
      </c>
      <c r="N247" t="s">
        <v>108</v>
      </c>
      <c r="O247"/>
      <c r="P247"/>
      <c r="Q247" t="s">
        <v>1082</v>
      </c>
      <c r="R247" t="s">
        <v>749</v>
      </c>
      <c r="S247"/>
      <c r="T247"/>
      <c r="U247">
        <v>0</v>
      </c>
      <c r="V247"/>
      <c r="W247">
        <v>338000</v>
      </c>
      <c r="X247"/>
      <c r="Y247"/>
      <c r="Z247"/>
      <c r="AA247">
        <v>338000</v>
      </c>
      <c r="AB247">
        <v>338000</v>
      </c>
      <c r="AC247"/>
      <c r="AD247">
        <v>220</v>
      </c>
      <c r="AE247">
        <v>150</v>
      </c>
      <c r="AF247"/>
      <c r="AG247"/>
      <c r="AH247"/>
      <c r="AI247"/>
      <c r="AJ247"/>
      <c r="AK247"/>
      <c r="AL247"/>
      <c r="AM247"/>
      <c r="AN247">
        <v>370</v>
      </c>
      <c r="AO247">
        <v>1094.67455621</v>
      </c>
      <c r="AP247">
        <v>650.88757396000005</v>
      </c>
      <c r="AQ247">
        <v>443.78698224999999</v>
      </c>
      <c r="AR247">
        <v>56.804733730000002</v>
      </c>
      <c r="AS247">
        <v>56.804733730000002</v>
      </c>
      <c r="AT247">
        <v>19.2</v>
      </c>
      <c r="AU247"/>
      <c r="AV247"/>
      <c r="AW247"/>
      <c r="AX247">
        <v>5.1891890000000003E-2</v>
      </c>
      <c r="AY247"/>
      <c r="AZ247">
        <v>4.2999999999999997E-2</v>
      </c>
      <c r="BA247"/>
      <c r="BB247">
        <v>1249.2107037799999</v>
      </c>
      <c r="BC247"/>
      <c r="BD247"/>
      <c r="BE247"/>
      <c r="BF247"/>
      <c r="BG247"/>
      <c r="BH247"/>
      <c r="BI247">
        <v>0.2</v>
      </c>
      <c r="BJ247"/>
      <c r="BK247">
        <v>0.14117086000000001</v>
      </c>
      <c r="BL247">
        <v>-5.8829140000000002E-2</v>
      </c>
      <c r="BM247">
        <v>-21.766782119999998</v>
      </c>
    </row>
    <row r="248" spans="1:65" hidden="1">
      <c r="A248">
        <v>246</v>
      </c>
      <c r="B248" t="s">
        <v>3</v>
      </c>
      <c r="C248" t="s">
        <v>925</v>
      </c>
      <c r="D248">
        <v>0.66</v>
      </c>
      <c r="E248" t="s">
        <v>131</v>
      </c>
      <c r="F248">
        <v>1</v>
      </c>
      <c r="G248" t="s">
        <v>500</v>
      </c>
      <c r="H248" t="s">
        <v>558</v>
      </c>
      <c r="I248" t="s">
        <v>486</v>
      </c>
      <c r="J248"/>
      <c r="K248"/>
      <c r="L248"/>
      <c r="M248" t="s">
        <v>108</v>
      </c>
      <c r="N248" t="s">
        <v>108</v>
      </c>
      <c r="O248"/>
      <c r="P248"/>
      <c r="Q248" t="s">
        <v>1083</v>
      </c>
      <c r="R248" t="s">
        <v>818</v>
      </c>
      <c r="S248"/>
      <c r="T248"/>
      <c r="U248">
        <v>0</v>
      </c>
      <c r="V248"/>
      <c r="W248"/>
      <c r="X248"/>
      <c r="Y248">
        <v>66000</v>
      </c>
      <c r="Z248"/>
      <c r="AA248">
        <v>66000</v>
      </c>
      <c r="AB248">
        <v>43560</v>
      </c>
      <c r="AC248"/>
      <c r="AD248">
        <v>7</v>
      </c>
      <c r="AE248">
        <v>13</v>
      </c>
      <c r="AF248"/>
      <c r="AG248"/>
      <c r="AH248"/>
      <c r="AI248"/>
      <c r="AJ248"/>
      <c r="AK248"/>
      <c r="AL248"/>
      <c r="AM248"/>
      <c r="AN248">
        <v>20</v>
      </c>
      <c r="AO248">
        <v>459.13682276999998</v>
      </c>
      <c r="AP248"/>
      <c r="AQ248">
        <v>298.43893480000003</v>
      </c>
      <c r="AR248">
        <v>0</v>
      </c>
      <c r="AS248">
        <v>0</v>
      </c>
      <c r="AT248"/>
      <c r="AU248"/>
      <c r="AV248"/>
      <c r="AW248"/>
      <c r="AX248">
        <v>0</v>
      </c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</row>
    <row r="249" spans="1:65" hidden="1">
      <c r="A249">
        <v>247</v>
      </c>
      <c r="B249" t="s">
        <v>3</v>
      </c>
      <c r="C249" t="s">
        <v>926</v>
      </c>
      <c r="D249">
        <v>1</v>
      </c>
      <c r="E249" t="s">
        <v>131</v>
      </c>
      <c r="F249">
        <v>1</v>
      </c>
      <c r="G249" t="s">
        <v>500</v>
      </c>
      <c r="H249" t="s">
        <v>558</v>
      </c>
      <c r="I249" t="s">
        <v>486</v>
      </c>
      <c r="J249"/>
      <c r="K249"/>
      <c r="L249"/>
      <c r="M249" t="s">
        <v>108</v>
      </c>
      <c r="N249" t="s">
        <v>108</v>
      </c>
      <c r="O249"/>
      <c r="P249"/>
      <c r="Q249" t="s">
        <v>519</v>
      </c>
      <c r="R249" t="s">
        <v>751</v>
      </c>
      <c r="S249"/>
      <c r="T249"/>
      <c r="U249">
        <v>0</v>
      </c>
      <c r="V249"/>
      <c r="W249"/>
      <c r="X249"/>
      <c r="Y249">
        <v>63000</v>
      </c>
      <c r="Z249"/>
      <c r="AA249">
        <v>63000</v>
      </c>
      <c r="AB249">
        <v>63000</v>
      </c>
      <c r="AC249"/>
      <c r="AD249">
        <v>8</v>
      </c>
      <c r="AE249">
        <v>10</v>
      </c>
      <c r="AF249"/>
      <c r="AG249"/>
      <c r="AH249"/>
      <c r="AI249"/>
      <c r="AJ249"/>
      <c r="AK249"/>
      <c r="AL249"/>
      <c r="AM249"/>
      <c r="AN249">
        <v>18</v>
      </c>
      <c r="AO249">
        <v>285.71428571000001</v>
      </c>
      <c r="AP249"/>
      <c r="AQ249">
        <v>158.73015873</v>
      </c>
      <c r="AR249">
        <v>0</v>
      </c>
      <c r="AS249">
        <v>0</v>
      </c>
      <c r="AT249"/>
      <c r="AU249"/>
      <c r="AV249"/>
      <c r="AW249"/>
      <c r="AX249">
        <v>0</v>
      </c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</row>
    <row r="250" spans="1:65" hidden="1">
      <c r="A250">
        <v>248</v>
      </c>
      <c r="B250" t="s">
        <v>3</v>
      </c>
      <c r="C250" t="s">
        <v>927</v>
      </c>
      <c r="D250">
        <v>1</v>
      </c>
      <c r="E250" t="s">
        <v>304</v>
      </c>
      <c r="F250">
        <v>1</v>
      </c>
      <c r="G250" t="s">
        <v>1045</v>
      </c>
      <c r="H250" t="s">
        <v>558</v>
      </c>
      <c r="I250" t="s">
        <v>1084</v>
      </c>
      <c r="J250"/>
      <c r="K250"/>
      <c r="L250"/>
      <c r="M250" t="s">
        <v>108</v>
      </c>
      <c r="N250" t="s">
        <v>108</v>
      </c>
      <c r="O250"/>
      <c r="P250"/>
      <c r="Q250" t="s">
        <v>1040</v>
      </c>
      <c r="R250" t="s">
        <v>751</v>
      </c>
      <c r="S250"/>
      <c r="T250"/>
      <c r="U250">
        <v>0</v>
      </c>
      <c r="V250"/>
      <c r="W250"/>
      <c r="X250">
        <v>34000</v>
      </c>
      <c r="Y250"/>
      <c r="Z250"/>
      <c r="AA250">
        <v>34000</v>
      </c>
      <c r="AB250">
        <v>34000</v>
      </c>
      <c r="AC250"/>
      <c r="AD250">
        <v>8</v>
      </c>
      <c r="AE250">
        <v>13</v>
      </c>
      <c r="AF250"/>
      <c r="AG250"/>
      <c r="AH250"/>
      <c r="AI250"/>
      <c r="AJ250"/>
      <c r="AK250"/>
      <c r="AL250"/>
      <c r="AM250"/>
      <c r="AN250">
        <v>21</v>
      </c>
      <c r="AO250">
        <v>617.64705881999998</v>
      </c>
      <c r="AP250"/>
      <c r="AQ250">
        <v>382.35294118000002</v>
      </c>
      <c r="AR250">
        <v>0</v>
      </c>
      <c r="AS250">
        <v>0</v>
      </c>
      <c r="AT250"/>
      <c r="AU250"/>
      <c r="AV250"/>
      <c r="AW250"/>
      <c r="AX250">
        <v>0</v>
      </c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</row>
    <row r="251" spans="1:65" hidden="1">
      <c r="A251">
        <v>249</v>
      </c>
      <c r="B251" t="s">
        <v>3</v>
      </c>
      <c r="C251" t="s">
        <v>928</v>
      </c>
      <c r="D251">
        <v>0.5</v>
      </c>
      <c r="E251" t="s">
        <v>518</v>
      </c>
      <c r="F251">
        <v>1</v>
      </c>
      <c r="G251" t="s">
        <v>500</v>
      </c>
      <c r="H251" t="s">
        <v>558</v>
      </c>
      <c r="I251" t="s">
        <v>486</v>
      </c>
      <c r="J251"/>
      <c r="K251"/>
      <c r="L251"/>
      <c r="M251" t="s">
        <v>108</v>
      </c>
      <c r="N251" t="s">
        <v>108</v>
      </c>
      <c r="O251"/>
      <c r="P251"/>
      <c r="Q251" t="s">
        <v>632</v>
      </c>
      <c r="R251" t="s">
        <v>929</v>
      </c>
      <c r="S251"/>
      <c r="T251"/>
      <c r="U251">
        <v>0</v>
      </c>
      <c r="V251"/>
      <c r="W251"/>
      <c r="X251"/>
      <c r="Y251"/>
      <c r="Z251"/>
      <c r="AA251">
        <v>562000</v>
      </c>
      <c r="AB251">
        <v>281000</v>
      </c>
      <c r="AC251"/>
      <c r="AD251"/>
      <c r="AE251"/>
      <c r="AF251"/>
      <c r="AG251"/>
      <c r="AH251"/>
      <c r="AI251"/>
      <c r="AJ251"/>
      <c r="AK251"/>
      <c r="AL251"/>
      <c r="AM251"/>
      <c r="AN251">
        <v>0</v>
      </c>
      <c r="AO251">
        <v>0</v>
      </c>
      <c r="AP251"/>
      <c r="AQ251">
        <v>0</v>
      </c>
      <c r="AR251">
        <v>0</v>
      </c>
      <c r="AS251">
        <v>0</v>
      </c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</row>
    <row r="252" spans="1:65" hidden="1">
      <c r="A252">
        <v>250</v>
      </c>
      <c r="B252" t="s">
        <v>3</v>
      </c>
      <c r="C252" t="s">
        <v>930</v>
      </c>
      <c r="D252">
        <v>0.5</v>
      </c>
      <c r="E252" t="s">
        <v>518</v>
      </c>
      <c r="F252">
        <v>1</v>
      </c>
      <c r="G252" t="s">
        <v>500</v>
      </c>
      <c r="H252" t="s">
        <v>558</v>
      </c>
      <c r="I252" t="s">
        <v>481</v>
      </c>
      <c r="J252"/>
      <c r="K252"/>
      <c r="L252"/>
      <c r="M252" t="s">
        <v>108</v>
      </c>
      <c r="N252" t="s">
        <v>108</v>
      </c>
      <c r="O252"/>
      <c r="P252"/>
      <c r="Q252" t="s">
        <v>806</v>
      </c>
      <c r="R252" t="s">
        <v>929</v>
      </c>
      <c r="S252"/>
      <c r="T252"/>
      <c r="U252">
        <v>0</v>
      </c>
      <c r="V252"/>
      <c r="W252"/>
      <c r="X252"/>
      <c r="Y252"/>
      <c r="Z252"/>
      <c r="AA252">
        <v>560000</v>
      </c>
      <c r="AB252">
        <v>280000</v>
      </c>
      <c r="AC252"/>
      <c r="AD252"/>
      <c r="AE252"/>
      <c r="AF252"/>
      <c r="AG252"/>
      <c r="AH252"/>
      <c r="AI252"/>
      <c r="AJ252"/>
      <c r="AK252"/>
      <c r="AL252"/>
      <c r="AM252"/>
      <c r="AN252">
        <v>0</v>
      </c>
      <c r="AO252">
        <v>0</v>
      </c>
      <c r="AP252"/>
      <c r="AQ252">
        <v>0</v>
      </c>
      <c r="AR252">
        <v>0</v>
      </c>
      <c r="AS252">
        <v>0</v>
      </c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</row>
    <row r="253" spans="1:65" hidden="1">
      <c r="A253">
        <v>251</v>
      </c>
      <c r="B253" t="s">
        <v>3</v>
      </c>
      <c r="C253" t="s">
        <v>931</v>
      </c>
      <c r="D253">
        <v>0.5</v>
      </c>
      <c r="E253" t="s">
        <v>131</v>
      </c>
      <c r="F253">
        <v>1</v>
      </c>
      <c r="G253" t="s">
        <v>500</v>
      </c>
      <c r="H253" t="s">
        <v>558</v>
      </c>
      <c r="I253" t="s">
        <v>481</v>
      </c>
      <c r="J253"/>
      <c r="K253"/>
      <c r="L253"/>
      <c r="M253" t="s">
        <v>108</v>
      </c>
      <c r="N253" t="s">
        <v>108</v>
      </c>
      <c r="O253"/>
      <c r="P253"/>
      <c r="Q253" t="s">
        <v>806</v>
      </c>
      <c r="R253" t="s">
        <v>929</v>
      </c>
      <c r="S253"/>
      <c r="T253"/>
      <c r="U253">
        <v>0</v>
      </c>
      <c r="V253"/>
      <c r="W253"/>
      <c r="X253"/>
      <c r="Y253">
        <v>330000</v>
      </c>
      <c r="Z253"/>
      <c r="AA253">
        <v>330000</v>
      </c>
      <c r="AB253">
        <v>165000</v>
      </c>
      <c r="AC253"/>
      <c r="AD253"/>
      <c r="AE253"/>
      <c r="AF253"/>
      <c r="AG253"/>
      <c r="AH253"/>
      <c r="AI253"/>
      <c r="AJ253"/>
      <c r="AK253"/>
      <c r="AL253"/>
      <c r="AM253"/>
      <c r="AN253">
        <v>0</v>
      </c>
      <c r="AO253">
        <v>0</v>
      </c>
      <c r="AP253"/>
      <c r="AQ253">
        <v>0</v>
      </c>
      <c r="AR253">
        <v>0</v>
      </c>
      <c r="AS253">
        <v>0</v>
      </c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</row>
    <row r="254" spans="1:65" hidden="1">
      <c r="A254">
        <v>252</v>
      </c>
      <c r="B254" t="s">
        <v>3</v>
      </c>
      <c r="C254" t="s">
        <v>932</v>
      </c>
      <c r="D254">
        <v>1</v>
      </c>
      <c r="E254" t="s">
        <v>131</v>
      </c>
      <c r="F254">
        <v>1</v>
      </c>
      <c r="G254" t="s">
        <v>500</v>
      </c>
      <c r="H254" t="s">
        <v>558</v>
      </c>
      <c r="I254" t="s">
        <v>486</v>
      </c>
      <c r="J254"/>
      <c r="K254"/>
      <c r="L254"/>
      <c r="M254" t="s">
        <v>108</v>
      </c>
      <c r="N254" t="s">
        <v>108</v>
      </c>
      <c r="O254"/>
      <c r="P254"/>
      <c r="Q254" t="s">
        <v>643</v>
      </c>
      <c r="R254" t="s">
        <v>923</v>
      </c>
      <c r="S254"/>
      <c r="T254"/>
      <c r="U254">
        <v>0</v>
      </c>
      <c r="V254"/>
      <c r="W254"/>
      <c r="X254"/>
      <c r="Y254"/>
      <c r="Z254"/>
      <c r="AA254">
        <v>110000</v>
      </c>
      <c r="AB254">
        <v>110000</v>
      </c>
      <c r="AC254"/>
      <c r="AD254"/>
      <c r="AE254"/>
      <c r="AF254"/>
      <c r="AG254"/>
      <c r="AH254"/>
      <c r="AI254"/>
      <c r="AJ254"/>
      <c r="AK254"/>
      <c r="AL254"/>
      <c r="AM254"/>
      <c r="AN254">
        <v>0</v>
      </c>
      <c r="AO254">
        <v>0</v>
      </c>
      <c r="AP254"/>
      <c r="AQ254">
        <v>0</v>
      </c>
      <c r="AR254">
        <v>0</v>
      </c>
      <c r="AS254">
        <v>0</v>
      </c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</row>
    <row r="255" spans="1:65" hidden="1">
      <c r="A255">
        <v>253</v>
      </c>
      <c r="B255" t="s">
        <v>44</v>
      </c>
      <c r="C255" t="s">
        <v>933</v>
      </c>
      <c r="D255">
        <v>1</v>
      </c>
      <c r="E255" t="s">
        <v>131</v>
      </c>
      <c r="F255">
        <v>1</v>
      </c>
      <c r="G255" t="s">
        <v>1039</v>
      </c>
      <c r="H255" t="s">
        <v>432</v>
      </c>
      <c r="I255" t="s">
        <v>481</v>
      </c>
      <c r="J255"/>
      <c r="K255"/>
      <c r="L255"/>
      <c r="M255" t="s">
        <v>108</v>
      </c>
      <c r="N255" t="s">
        <v>492</v>
      </c>
      <c r="O255"/>
      <c r="P255"/>
      <c r="Q255" t="s">
        <v>738</v>
      </c>
      <c r="R255" t="s">
        <v>979</v>
      </c>
      <c r="S255"/>
      <c r="T255"/>
      <c r="U255">
        <v>0</v>
      </c>
      <c r="V255"/>
      <c r="W255"/>
      <c r="X255"/>
      <c r="Y255"/>
      <c r="Z255"/>
      <c r="AA255">
        <v>570000</v>
      </c>
      <c r="AB255">
        <v>570000</v>
      </c>
      <c r="AC255"/>
      <c r="AD255"/>
      <c r="AE255">
        <v>245.1</v>
      </c>
      <c r="AF255"/>
      <c r="AG255"/>
      <c r="AH255"/>
      <c r="AI255">
        <v>15.39</v>
      </c>
      <c r="AJ255"/>
      <c r="AK255"/>
      <c r="AL255"/>
      <c r="AM255"/>
      <c r="AN255">
        <v>260.49</v>
      </c>
      <c r="AO255">
        <v>457</v>
      </c>
      <c r="AP255">
        <v>0</v>
      </c>
      <c r="AQ255">
        <v>430</v>
      </c>
      <c r="AR255"/>
      <c r="AS255">
        <v>30</v>
      </c>
      <c r="AT255">
        <v>17.100000000000001</v>
      </c>
      <c r="AU255"/>
      <c r="AV255"/>
      <c r="AW255"/>
      <c r="AX255">
        <v>6.5645510000000004E-2</v>
      </c>
      <c r="AY255"/>
      <c r="AZ255">
        <v>0.05</v>
      </c>
      <c r="BA255"/>
      <c r="BB255">
        <v>567.37588651999999</v>
      </c>
      <c r="BC255">
        <v>289.20425532000002</v>
      </c>
      <c r="BD255"/>
      <c r="BE255"/>
      <c r="BF255"/>
      <c r="BG255"/>
      <c r="BH255"/>
      <c r="BI255">
        <v>0.25</v>
      </c>
      <c r="BJ255"/>
      <c r="BK255">
        <v>0.24152272999999999</v>
      </c>
      <c r="BL255">
        <v>-8.4772700000000003E-3</v>
      </c>
      <c r="BM255">
        <v>-2.20824468</v>
      </c>
    </row>
    <row r="256" spans="1:65">
      <c r="A256">
        <v>254</v>
      </c>
      <c r="B256" t="s">
        <v>46</v>
      </c>
      <c r="C256" t="s">
        <v>934</v>
      </c>
      <c r="D256">
        <v>1</v>
      </c>
      <c r="E256" t="s">
        <v>304</v>
      </c>
      <c r="F256">
        <v>1</v>
      </c>
      <c r="G256" t="s">
        <v>871</v>
      </c>
      <c r="H256" t="s">
        <v>432</v>
      </c>
      <c r="I256" t="s">
        <v>468</v>
      </c>
      <c r="J256"/>
      <c r="K256"/>
      <c r="L256" t="s">
        <v>935</v>
      </c>
      <c r="M256" t="s">
        <v>108</v>
      </c>
      <c r="N256" t="s">
        <v>322</v>
      </c>
      <c r="O256"/>
      <c r="P256"/>
      <c r="Q256" t="s">
        <v>566</v>
      </c>
      <c r="R256" t="s">
        <v>1085</v>
      </c>
      <c r="S256"/>
      <c r="T256">
        <v>20.357064789999999</v>
      </c>
      <c r="U256">
        <v>0</v>
      </c>
      <c r="V256"/>
      <c r="W256"/>
      <c r="X256"/>
      <c r="Y256"/>
      <c r="Z256"/>
      <c r="AA256">
        <v>23200</v>
      </c>
      <c r="AB256">
        <v>23200</v>
      </c>
      <c r="AC256"/>
      <c r="AD256">
        <v>12.40952381</v>
      </c>
      <c r="AE256">
        <v>11.4</v>
      </c>
      <c r="AF256"/>
      <c r="AG256"/>
      <c r="AH256"/>
      <c r="AI256"/>
      <c r="AJ256"/>
      <c r="AK256"/>
      <c r="AL256"/>
      <c r="AM256"/>
      <c r="AN256">
        <v>23.809523810000002</v>
      </c>
      <c r="AO256">
        <v>1026.2725780000001</v>
      </c>
      <c r="AP256">
        <v>534.89326764999998</v>
      </c>
      <c r="AQ256">
        <v>491.37931034000002</v>
      </c>
      <c r="AR256">
        <v>57.25</v>
      </c>
      <c r="AS256">
        <v>43.103448280000002</v>
      </c>
      <c r="AT256">
        <v>1</v>
      </c>
      <c r="AU256"/>
      <c r="AV256"/>
      <c r="AW256"/>
      <c r="AX256">
        <v>4.2000000000000003E-2</v>
      </c>
      <c r="AY256"/>
      <c r="AZ256">
        <v>3.7499999999999999E-2</v>
      </c>
      <c r="BA256"/>
      <c r="BB256">
        <v>1076.7449998699999</v>
      </c>
      <c r="BC256">
        <v>24.980484000000001</v>
      </c>
      <c r="BD256"/>
      <c r="BE256"/>
      <c r="BF256"/>
      <c r="BG256"/>
      <c r="BH256"/>
      <c r="BI256">
        <v>0.15</v>
      </c>
      <c r="BJ256"/>
      <c r="BK256">
        <v>4.9180330000000001E-2</v>
      </c>
      <c r="BL256">
        <v>-0.10081967</v>
      </c>
      <c r="BM256">
        <v>-2.40046838</v>
      </c>
    </row>
    <row r="257" spans="1:65" hidden="1">
      <c r="A257">
        <v>256</v>
      </c>
      <c r="B257" t="s">
        <v>48</v>
      </c>
      <c r="C257" t="s">
        <v>1086</v>
      </c>
      <c r="D257">
        <v>1</v>
      </c>
      <c r="E257" t="s">
        <v>131</v>
      </c>
      <c r="F257">
        <v>1</v>
      </c>
      <c r="G257" t="s">
        <v>1087</v>
      </c>
      <c r="H257" t="s">
        <v>558</v>
      </c>
      <c r="I257" t="s">
        <v>468</v>
      </c>
      <c r="J257"/>
      <c r="K257"/>
      <c r="L257"/>
      <c r="M257" t="s">
        <v>108</v>
      </c>
      <c r="N257" t="s">
        <v>222</v>
      </c>
      <c r="O257"/>
      <c r="P257"/>
      <c r="Q257" t="s">
        <v>477</v>
      </c>
      <c r="R257" t="s">
        <v>633</v>
      </c>
      <c r="S257"/>
      <c r="T257"/>
      <c r="U257">
        <v>0</v>
      </c>
      <c r="V257"/>
      <c r="W257"/>
      <c r="X257"/>
      <c r="Y257">
        <v>45500</v>
      </c>
      <c r="Z257"/>
      <c r="AA257">
        <v>45500</v>
      </c>
      <c r="AB257">
        <v>45500</v>
      </c>
      <c r="AC257"/>
      <c r="AD257"/>
      <c r="AE257">
        <v>14.6</v>
      </c>
      <c r="AF257"/>
      <c r="AG257"/>
      <c r="AH257"/>
      <c r="AI257"/>
      <c r="AJ257"/>
      <c r="AK257"/>
      <c r="AL257"/>
      <c r="AM257"/>
      <c r="AN257">
        <v>14.6</v>
      </c>
      <c r="AO257">
        <v>320.87912088000002</v>
      </c>
      <c r="AP257"/>
      <c r="AQ257">
        <v>320.87912088000002</v>
      </c>
      <c r="AR257"/>
      <c r="AS257"/>
      <c r="AT257">
        <v>3.4066666699999999</v>
      </c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>
        <v>0.2</v>
      </c>
      <c r="BJ257"/>
      <c r="BK257"/>
      <c r="BL257"/>
      <c r="BM257"/>
    </row>
    <row r="258" spans="1:65" hidden="1">
      <c r="A258">
        <v>257</v>
      </c>
      <c r="B258" t="s">
        <v>48</v>
      </c>
      <c r="C258" t="s">
        <v>936</v>
      </c>
      <c r="D258">
        <v>1</v>
      </c>
      <c r="E258" t="s">
        <v>518</v>
      </c>
      <c r="F258">
        <v>1</v>
      </c>
      <c r="G258" t="s">
        <v>1087</v>
      </c>
      <c r="H258" t="s">
        <v>558</v>
      </c>
      <c r="I258" t="s">
        <v>468</v>
      </c>
      <c r="J258"/>
      <c r="K258"/>
      <c r="L258"/>
      <c r="M258" t="s">
        <v>108</v>
      </c>
      <c r="N258" t="s">
        <v>222</v>
      </c>
      <c r="O258"/>
      <c r="P258"/>
      <c r="Q258" t="s">
        <v>700</v>
      </c>
      <c r="R258" t="s">
        <v>567</v>
      </c>
      <c r="S258"/>
      <c r="T258"/>
      <c r="U258">
        <v>0</v>
      </c>
      <c r="V258"/>
      <c r="W258">
        <v>20000</v>
      </c>
      <c r="X258">
        <v>2000</v>
      </c>
      <c r="Y258">
        <v>8000</v>
      </c>
      <c r="Z258"/>
      <c r="AA258">
        <v>30000</v>
      </c>
      <c r="AB258">
        <v>30000</v>
      </c>
      <c r="AC258"/>
      <c r="AD258"/>
      <c r="AE258">
        <v>14.5</v>
      </c>
      <c r="AF258"/>
      <c r="AG258"/>
      <c r="AH258"/>
      <c r="AI258"/>
      <c r="AJ258"/>
      <c r="AK258"/>
      <c r="AL258"/>
      <c r="AM258"/>
      <c r="AN258">
        <v>14.5</v>
      </c>
      <c r="AO258">
        <v>483.33333333000002</v>
      </c>
      <c r="AP258"/>
      <c r="AQ258">
        <v>483.33333333000002</v>
      </c>
      <c r="AR258"/>
      <c r="AS258"/>
      <c r="AT258">
        <v>2.2461538499999998</v>
      </c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>
        <v>0.2</v>
      </c>
      <c r="BJ258"/>
      <c r="BK258"/>
      <c r="BL258"/>
      <c r="BM258"/>
    </row>
    <row r="259" spans="1:65" hidden="1">
      <c r="A259">
        <v>258</v>
      </c>
      <c r="B259" t="s">
        <v>127</v>
      </c>
      <c r="C259" t="s">
        <v>937</v>
      </c>
      <c r="D259">
        <v>0.5</v>
      </c>
      <c r="E259" t="s">
        <v>129</v>
      </c>
      <c r="F259">
        <v>1</v>
      </c>
      <c r="G259" t="s">
        <v>1012</v>
      </c>
      <c r="H259" t="s">
        <v>558</v>
      </c>
      <c r="I259" t="s">
        <v>433</v>
      </c>
      <c r="J259"/>
      <c r="K259"/>
      <c r="L259"/>
      <c r="M259" t="s">
        <v>108</v>
      </c>
      <c r="N259" t="s">
        <v>108</v>
      </c>
      <c r="O259"/>
      <c r="P259"/>
      <c r="Q259" t="s">
        <v>495</v>
      </c>
      <c r="R259" t="s">
        <v>938</v>
      </c>
      <c r="S259"/>
      <c r="T259"/>
      <c r="U259">
        <v>0</v>
      </c>
      <c r="V259"/>
      <c r="W259"/>
      <c r="X259"/>
      <c r="Y259"/>
      <c r="Z259"/>
      <c r="AA259">
        <v>154044.06719999999</v>
      </c>
      <c r="AB259">
        <v>77022.033599999995</v>
      </c>
      <c r="AC259"/>
      <c r="AD259">
        <v>4.3869362499999998</v>
      </c>
      <c r="AE259">
        <v>13.16080874</v>
      </c>
      <c r="AF259"/>
      <c r="AG259"/>
      <c r="AH259"/>
      <c r="AI259"/>
      <c r="AJ259"/>
      <c r="AK259"/>
      <c r="AL259"/>
      <c r="AM259"/>
      <c r="AN259">
        <v>17.547744990000002</v>
      </c>
      <c r="AO259">
        <v>227.82759906999999</v>
      </c>
      <c r="AP259"/>
      <c r="AQ259">
        <v>170.87069930000001</v>
      </c>
      <c r="AR259">
        <v>15.947931929999999</v>
      </c>
      <c r="AS259">
        <v>15.947931929999999</v>
      </c>
      <c r="AT259">
        <v>1.22834215</v>
      </c>
      <c r="AU259"/>
      <c r="AV259"/>
      <c r="AW259"/>
      <c r="AX259">
        <v>7.0000000000000007E-2</v>
      </c>
      <c r="AY259"/>
      <c r="AZ259">
        <v>5.5E-2</v>
      </c>
      <c r="BA259"/>
      <c r="BB259">
        <v>274.19612181000002</v>
      </c>
      <c r="BC259">
        <v>274.19612181000002</v>
      </c>
      <c r="BD259"/>
      <c r="BE259"/>
      <c r="BF259"/>
      <c r="BG259"/>
      <c r="BH259"/>
      <c r="BI259">
        <v>0.2</v>
      </c>
      <c r="BJ259"/>
      <c r="BK259">
        <v>0.20352460999999999</v>
      </c>
      <c r="BL259">
        <v>3.5246100000000001E-3</v>
      </c>
      <c r="BM259">
        <v>6.1848920000000002E-2</v>
      </c>
    </row>
    <row r="260" spans="1:65" hidden="1">
      <c r="A260">
        <v>259</v>
      </c>
      <c r="B260" t="s">
        <v>127</v>
      </c>
      <c r="C260" t="s">
        <v>939</v>
      </c>
      <c r="D260">
        <v>1</v>
      </c>
      <c r="E260" t="s">
        <v>129</v>
      </c>
      <c r="F260">
        <v>1</v>
      </c>
      <c r="G260" t="s">
        <v>1012</v>
      </c>
      <c r="H260" t="s">
        <v>558</v>
      </c>
      <c r="I260" t="s">
        <v>433</v>
      </c>
      <c r="J260"/>
      <c r="K260"/>
      <c r="L260"/>
      <c r="M260" t="s">
        <v>108</v>
      </c>
      <c r="N260" t="s">
        <v>108</v>
      </c>
      <c r="O260"/>
      <c r="P260"/>
      <c r="Q260" t="s">
        <v>560</v>
      </c>
      <c r="R260" t="s">
        <v>474</v>
      </c>
      <c r="S260"/>
      <c r="T260"/>
      <c r="U260">
        <v>1</v>
      </c>
      <c r="V260"/>
      <c r="W260"/>
      <c r="X260"/>
      <c r="Y260"/>
      <c r="Z260"/>
      <c r="AA260">
        <v>120454.6205</v>
      </c>
      <c r="AB260">
        <v>120454.6205</v>
      </c>
      <c r="AC260"/>
      <c r="AD260">
        <v>2.5047887200000001</v>
      </c>
      <c r="AE260">
        <v>7.5143661699999997</v>
      </c>
      <c r="AF260"/>
      <c r="AG260"/>
      <c r="AH260"/>
      <c r="AI260"/>
      <c r="AJ260"/>
      <c r="AK260"/>
      <c r="AL260"/>
      <c r="AM260"/>
      <c r="AN260">
        <v>10.019154889999999</v>
      </c>
      <c r="AO260">
        <v>83.177837859999997</v>
      </c>
      <c r="AP260"/>
      <c r="AQ260">
        <v>62.383378399999998</v>
      </c>
      <c r="AR260">
        <v>6.2383378399999998</v>
      </c>
      <c r="AS260">
        <v>6.2383378399999998</v>
      </c>
      <c r="AT260">
        <v>0.75143662</v>
      </c>
      <c r="AU260"/>
      <c r="AV260"/>
      <c r="AW260"/>
      <c r="AX260">
        <v>7.4999999999999997E-2</v>
      </c>
      <c r="AY260"/>
      <c r="AZ260">
        <v>5.5E-2</v>
      </c>
      <c r="BA260"/>
      <c r="BB260">
        <v>107.25704431</v>
      </c>
      <c r="BC260">
        <v>107.25704431</v>
      </c>
      <c r="BD260"/>
      <c r="BE260"/>
      <c r="BF260"/>
      <c r="BG260"/>
      <c r="BH260"/>
      <c r="BI260">
        <v>0.2</v>
      </c>
      <c r="BJ260"/>
      <c r="BK260">
        <v>0.28949065000000002</v>
      </c>
      <c r="BL260">
        <v>8.9490650000000005E-2</v>
      </c>
      <c r="BM260">
        <v>0.89662070000000005</v>
      </c>
    </row>
    <row r="261" spans="1:65" hidden="1">
      <c r="A261">
        <v>260</v>
      </c>
      <c r="B261" t="s">
        <v>127</v>
      </c>
      <c r="C261" t="s">
        <v>1022</v>
      </c>
      <c r="D261">
        <v>1</v>
      </c>
      <c r="E261" t="s">
        <v>129</v>
      </c>
      <c r="F261">
        <v>1</v>
      </c>
      <c r="G261" t="s">
        <v>1012</v>
      </c>
      <c r="H261" t="s">
        <v>558</v>
      </c>
      <c r="I261" t="s">
        <v>433</v>
      </c>
      <c r="J261"/>
      <c r="K261"/>
      <c r="L261"/>
      <c r="M261" t="s">
        <v>108</v>
      </c>
      <c r="N261" t="s">
        <v>563</v>
      </c>
      <c r="O261"/>
      <c r="P261"/>
      <c r="Q261" t="s">
        <v>566</v>
      </c>
      <c r="R261" t="s">
        <v>524</v>
      </c>
      <c r="S261"/>
      <c r="T261"/>
      <c r="U261">
        <v>0</v>
      </c>
      <c r="V261"/>
      <c r="W261"/>
      <c r="X261"/>
      <c r="Y261"/>
      <c r="Z261"/>
      <c r="AA261">
        <v>470230.71519999998</v>
      </c>
      <c r="AB261">
        <v>470230.71519999998</v>
      </c>
      <c r="AC261"/>
      <c r="AD261">
        <v>9.7781935499999992</v>
      </c>
      <c r="AE261">
        <v>29.334580639999999</v>
      </c>
      <c r="AF261"/>
      <c r="AG261"/>
      <c r="AH261"/>
      <c r="AI261"/>
      <c r="AJ261"/>
      <c r="AK261"/>
      <c r="AL261"/>
      <c r="AM261"/>
      <c r="AN261">
        <v>39.112774190000003</v>
      </c>
      <c r="AO261">
        <v>83.177837859999997</v>
      </c>
      <c r="AP261"/>
      <c r="AQ261">
        <v>62.383378399999998</v>
      </c>
      <c r="AR261">
        <v>6.2383378399999998</v>
      </c>
      <c r="AS261">
        <v>6.2383378399999998</v>
      </c>
      <c r="AT261">
        <v>2.93345806</v>
      </c>
      <c r="AU261"/>
      <c r="AV261"/>
      <c r="AW261"/>
      <c r="AX261">
        <v>7.4999999999999997E-2</v>
      </c>
      <c r="AY261"/>
      <c r="AZ261">
        <v>5.5E-2</v>
      </c>
      <c r="BA261"/>
      <c r="BB261">
        <v>107.25704431</v>
      </c>
      <c r="BC261">
        <v>107.25704431</v>
      </c>
      <c r="BD261"/>
      <c r="BE261"/>
      <c r="BF261"/>
      <c r="BG261"/>
      <c r="BH261"/>
      <c r="BI261">
        <v>0.2</v>
      </c>
      <c r="BJ261"/>
      <c r="BK261">
        <v>0.28949065000000002</v>
      </c>
      <c r="BL261">
        <v>8.9490650000000005E-2</v>
      </c>
      <c r="BM261">
        <v>3.5002276299999999</v>
      </c>
    </row>
    <row r="262" spans="1:65" hidden="1">
      <c r="A262">
        <v>261</v>
      </c>
      <c r="B262" t="s">
        <v>127</v>
      </c>
      <c r="C262" t="s">
        <v>1023</v>
      </c>
      <c r="D262">
        <v>0.5</v>
      </c>
      <c r="E262" t="s">
        <v>676</v>
      </c>
      <c r="F262">
        <v>1</v>
      </c>
      <c r="G262" t="s">
        <v>1012</v>
      </c>
      <c r="H262" t="s">
        <v>558</v>
      </c>
      <c r="I262" t="s">
        <v>433</v>
      </c>
      <c r="J262"/>
      <c r="K262"/>
      <c r="L262"/>
      <c r="M262" t="s">
        <v>841</v>
      </c>
      <c r="N262" t="s">
        <v>1024</v>
      </c>
      <c r="O262"/>
      <c r="P262"/>
      <c r="Q262" t="s">
        <v>464</v>
      </c>
      <c r="R262" t="s">
        <v>905</v>
      </c>
      <c r="S262"/>
      <c r="T262"/>
      <c r="U262">
        <v>1</v>
      </c>
      <c r="V262"/>
      <c r="W262"/>
      <c r="X262"/>
      <c r="Y262"/>
      <c r="Z262"/>
      <c r="AA262">
        <v>301605.01579999999</v>
      </c>
      <c r="AB262">
        <v>150802.5079</v>
      </c>
      <c r="AC262"/>
      <c r="AD262">
        <v>1.4573794200000001</v>
      </c>
      <c r="AE262">
        <v>4.3721382499999999</v>
      </c>
      <c r="AF262"/>
      <c r="AG262"/>
      <c r="AH262"/>
      <c r="AI262"/>
      <c r="AJ262"/>
      <c r="AK262"/>
      <c r="AL262"/>
      <c r="AM262"/>
      <c r="AN262">
        <v>5.8295176599999996</v>
      </c>
      <c r="AO262">
        <v>38.656636040000002</v>
      </c>
      <c r="AP262"/>
      <c r="AQ262">
        <v>28.99247703</v>
      </c>
      <c r="AR262">
        <v>3.20850079</v>
      </c>
      <c r="AS262">
        <v>3.20850079</v>
      </c>
      <c r="AT262">
        <v>0.48384997000000002</v>
      </c>
      <c r="AU262"/>
      <c r="AV262"/>
      <c r="AW262"/>
      <c r="AX262">
        <v>8.3000000000000004E-2</v>
      </c>
      <c r="AY262"/>
      <c r="AZ262">
        <v>6.25E-2</v>
      </c>
      <c r="BA262"/>
      <c r="BB262">
        <v>48.544692820000002</v>
      </c>
      <c r="BC262">
        <v>48.544692820000002</v>
      </c>
      <c r="BD262"/>
      <c r="BE262"/>
      <c r="BF262"/>
      <c r="BG262"/>
      <c r="BH262"/>
      <c r="BI262">
        <v>0.25</v>
      </c>
      <c r="BJ262"/>
      <c r="BK262">
        <v>0.25579195999999998</v>
      </c>
      <c r="BL262">
        <v>5.7919599999999996E-3</v>
      </c>
      <c r="BM262">
        <v>3.3764349999999999E-2</v>
      </c>
    </row>
    <row r="263" spans="1:65" hidden="1">
      <c r="A263">
        <v>262</v>
      </c>
      <c r="B263" t="s">
        <v>127</v>
      </c>
      <c r="C263" t="s">
        <v>940</v>
      </c>
      <c r="D263">
        <v>0.5</v>
      </c>
      <c r="E263" t="s">
        <v>676</v>
      </c>
      <c r="F263">
        <v>1</v>
      </c>
      <c r="G263" t="s">
        <v>1012</v>
      </c>
      <c r="H263" t="s">
        <v>558</v>
      </c>
      <c r="I263" t="s">
        <v>433</v>
      </c>
      <c r="J263"/>
      <c r="K263"/>
      <c r="L263"/>
      <c r="M263" t="s">
        <v>841</v>
      </c>
      <c r="N263" t="s">
        <v>1024</v>
      </c>
      <c r="O263"/>
      <c r="P263"/>
      <c r="Q263" t="s">
        <v>495</v>
      </c>
      <c r="R263" t="s">
        <v>470</v>
      </c>
      <c r="S263"/>
      <c r="T263"/>
      <c r="U263">
        <v>0</v>
      </c>
      <c r="V263"/>
      <c r="W263"/>
      <c r="X263"/>
      <c r="Y263"/>
      <c r="Z263"/>
      <c r="AA263">
        <v>166331.83850000001</v>
      </c>
      <c r="AB263">
        <v>83165.919250000006</v>
      </c>
      <c r="AC263"/>
      <c r="AD263">
        <v>0.80372867000000003</v>
      </c>
      <c r="AE263">
        <v>2.4111859999999998</v>
      </c>
      <c r="AF263"/>
      <c r="AG263"/>
      <c r="AH263"/>
      <c r="AI263"/>
      <c r="AJ263"/>
      <c r="AK263"/>
      <c r="AL263"/>
      <c r="AM263"/>
      <c r="AN263">
        <v>3.2149146700000002</v>
      </c>
      <c r="AO263">
        <v>38.656636040000002</v>
      </c>
      <c r="AP263"/>
      <c r="AQ263">
        <v>28.99247703</v>
      </c>
      <c r="AR263">
        <v>3.20850079</v>
      </c>
      <c r="AS263">
        <v>3.20850079</v>
      </c>
      <c r="AT263">
        <v>0.26683792000000001</v>
      </c>
      <c r="AU263"/>
      <c r="AV263"/>
      <c r="AW263"/>
      <c r="AX263">
        <v>8.3000000000000004E-2</v>
      </c>
      <c r="AY263"/>
      <c r="AZ263">
        <v>6.25E-2</v>
      </c>
      <c r="BA263"/>
      <c r="BB263">
        <v>48.544692820000002</v>
      </c>
      <c r="BC263">
        <v>48.544692820000002</v>
      </c>
      <c r="BD263"/>
      <c r="BE263"/>
      <c r="BF263"/>
      <c r="BG263"/>
      <c r="BH263"/>
      <c r="BI263">
        <v>0.25</v>
      </c>
      <c r="BJ263"/>
      <c r="BK263">
        <v>0.25579195999999998</v>
      </c>
      <c r="BL263">
        <v>5.7919599999999996E-3</v>
      </c>
      <c r="BM263">
        <v>1.8620660000000001E-2</v>
      </c>
    </row>
    <row r="264" spans="1:65" hidden="1">
      <c r="A264">
        <v>263</v>
      </c>
      <c r="B264" t="s">
        <v>127</v>
      </c>
      <c r="C264" t="s">
        <v>941</v>
      </c>
      <c r="D264">
        <v>0.5</v>
      </c>
      <c r="E264" t="s">
        <v>676</v>
      </c>
      <c r="F264">
        <v>1</v>
      </c>
      <c r="G264" t="s">
        <v>1012</v>
      </c>
      <c r="H264" t="s">
        <v>558</v>
      </c>
      <c r="I264" t="s">
        <v>433</v>
      </c>
      <c r="J264"/>
      <c r="K264"/>
      <c r="L264"/>
      <c r="M264" t="s">
        <v>841</v>
      </c>
      <c r="N264" t="s">
        <v>1025</v>
      </c>
      <c r="O264"/>
      <c r="P264"/>
      <c r="Q264" t="s">
        <v>495</v>
      </c>
      <c r="R264" t="s">
        <v>700</v>
      </c>
      <c r="S264"/>
      <c r="T264"/>
      <c r="U264">
        <v>1</v>
      </c>
      <c r="V264"/>
      <c r="W264"/>
      <c r="X264"/>
      <c r="Y264"/>
      <c r="Z264"/>
      <c r="AA264">
        <v>169487.24340000001</v>
      </c>
      <c r="AB264">
        <v>84743.621700000003</v>
      </c>
      <c r="AC264"/>
      <c r="AD264">
        <v>0.81897584000000001</v>
      </c>
      <c r="AE264">
        <v>2.4569275099999999</v>
      </c>
      <c r="AF264"/>
      <c r="AG264"/>
      <c r="AH264"/>
      <c r="AI264"/>
      <c r="AJ264"/>
      <c r="AK264"/>
      <c r="AL264"/>
      <c r="AM264"/>
      <c r="AN264">
        <v>3.2759033400000002</v>
      </c>
      <c r="AO264">
        <v>38.656636040000002</v>
      </c>
      <c r="AP264"/>
      <c r="AQ264">
        <v>28.99247703</v>
      </c>
      <c r="AR264">
        <v>3.20850079</v>
      </c>
      <c r="AS264">
        <v>3.20850079</v>
      </c>
      <c r="AT264">
        <v>0.27189997999999999</v>
      </c>
      <c r="AU264"/>
      <c r="AV264"/>
      <c r="AW264"/>
      <c r="AX264">
        <v>8.3000000000000004E-2</v>
      </c>
      <c r="AY264"/>
      <c r="AZ264">
        <v>6.25E-2</v>
      </c>
      <c r="BA264"/>
      <c r="BB264">
        <v>48.544692820000002</v>
      </c>
      <c r="BC264">
        <v>48.544692820000002</v>
      </c>
      <c r="BD264"/>
      <c r="BE264"/>
      <c r="BF264"/>
      <c r="BG264"/>
      <c r="BH264"/>
      <c r="BI264">
        <v>0.25</v>
      </c>
      <c r="BJ264"/>
      <c r="BK264">
        <v>0.25579195999999998</v>
      </c>
      <c r="BL264">
        <v>5.7919599999999996E-3</v>
      </c>
      <c r="BM264">
        <v>1.897391E-2</v>
      </c>
    </row>
    <row r="265" spans="1:65" hidden="1">
      <c r="A265">
        <v>264</v>
      </c>
      <c r="B265" t="s">
        <v>127</v>
      </c>
      <c r="C265" t="s">
        <v>1026</v>
      </c>
      <c r="D265">
        <v>1</v>
      </c>
      <c r="E265" t="s">
        <v>129</v>
      </c>
      <c r="F265">
        <v>1</v>
      </c>
      <c r="G265" t="s">
        <v>1012</v>
      </c>
      <c r="H265" t="s">
        <v>558</v>
      </c>
      <c r="I265" t="s">
        <v>433</v>
      </c>
      <c r="J265"/>
      <c r="K265"/>
      <c r="L265"/>
      <c r="M265" t="s">
        <v>943</v>
      </c>
      <c r="N265" t="s">
        <v>710</v>
      </c>
      <c r="O265"/>
      <c r="P265"/>
      <c r="Q265" t="s">
        <v>566</v>
      </c>
      <c r="R265" t="s">
        <v>742</v>
      </c>
      <c r="S265"/>
      <c r="T265"/>
      <c r="U265">
        <v>0</v>
      </c>
      <c r="V265"/>
      <c r="W265"/>
      <c r="X265"/>
      <c r="Y265"/>
      <c r="Z265"/>
      <c r="AA265">
        <v>35258.688199999997</v>
      </c>
      <c r="AB265">
        <v>35258.688199999997</v>
      </c>
      <c r="AC265"/>
      <c r="AD265">
        <v>0.95164574999999996</v>
      </c>
      <c r="AE265">
        <v>2.8549372499999999</v>
      </c>
      <c r="AF265"/>
      <c r="AG265"/>
      <c r="AH265"/>
      <c r="AI265"/>
      <c r="AJ265"/>
      <c r="AK265"/>
      <c r="AL265"/>
      <c r="AM265"/>
      <c r="AN265">
        <v>3.8065830100000002</v>
      </c>
      <c r="AO265">
        <v>107.96156068000001</v>
      </c>
      <c r="AP265"/>
      <c r="AQ265">
        <v>80.971170509999993</v>
      </c>
      <c r="AR265">
        <v>9.1767326600000008</v>
      </c>
      <c r="AS265">
        <v>9.1767326600000008</v>
      </c>
      <c r="AT265">
        <v>0.32355956000000002</v>
      </c>
      <c r="AU265"/>
      <c r="AV265"/>
      <c r="AW265"/>
      <c r="AX265">
        <v>8.5000000000000006E-2</v>
      </c>
      <c r="AY265"/>
      <c r="AZ265">
        <v>6.25E-2</v>
      </c>
      <c r="BA265"/>
      <c r="BB265">
        <v>138.84418206000001</v>
      </c>
      <c r="BC265">
        <v>138.84418206000001</v>
      </c>
      <c r="BD265"/>
      <c r="BE265"/>
      <c r="BF265"/>
      <c r="BG265"/>
      <c r="BH265"/>
      <c r="BI265">
        <v>0.25</v>
      </c>
      <c r="BJ265"/>
      <c r="BK265">
        <v>0.28605201000000002</v>
      </c>
      <c r="BL265">
        <v>3.6052010000000002E-2</v>
      </c>
      <c r="BM265">
        <v>0.13723497000000001</v>
      </c>
    </row>
    <row r="266" spans="1:65" hidden="1">
      <c r="A266">
        <v>265</v>
      </c>
      <c r="B266" t="s">
        <v>127</v>
      </c>
      <c r="C266" t="s">
        <v>944</v>
      </c>
      <c r="D266">
        <v>1</v>
      </c>
      <c r="E266" t="s">
        <v>129</v>
      </c>
      <c r="F266">
        <v>1</v>
      </c>
      <c r="G266" t="s">
        <v>1012</v>
      </c>
      <c r="H266" t="s">
        <v>558</v>
      </c>
      <c r="I266" t="s">
        <v>433</v>
      </c>
      <c r="J266"/>
      <c r="K266"/>
      <c r="L266"/>
      <c r="M266" t="s">
        <v>943</v>
      </c>
      <c r="N266" t="s">
        <v>710</v>
      </c>
      <c r="O266"/>
      <c r="P266"/>
      <c r="Q266" t="s">
        <v>464</v>
      </c>
      <c r="R266" t="s">
        <v>524</v>
      </c>
      <c r="S266"/>
      <c r="T266"/>
      <c r="U266">
        <v>1</v>
      </c>
      <c r="V266"/>
      <c r="W266"/>
      <c r="X266"/>
      <c r="Y266"/>
      <c r="Z266"/>
      <c r="AA266">
        <v>191585.84700000001</v>
      </c>
      <c r="AB266">
        <v>191585.84700000001</v>
      </c>
      <c r="AC266"/>
      <c r="AD266">
        <v>5.1709767600000003</v>
      </c>
      <c r="AE266">
        <v>15.512930280000001</v>
      </c>
      <c r="AF266"/>
      <c r="AG266"/>
      <c r="AH266"/>
      <c r="AI266"/>
      <c r="AJ266"/>
      <c r="AK266"/>
      <c r="AL266"/>
      <c r="AM266"/>
      <c r="AN266">
        <v>20.683907049999998</v>
      </c>
      <c r="AO266">
        <v>107.96156068000001</v>
      </c>
      <c r="AP266"/>
      <c r="AQ266">
        <v>80.971170509999993</v>
      </c>
      <c r="AR266">
        <v>9.1767326600000008</v>
      </c>
      <c r="AS266">
        <v>9.1767326600000008</v>
      </c>
      <c r="AT266">
        <v>1.7581321000000001</v>
      </c>
      <c r="AU266"/>
      <c r="AV266"/>
      <c r="AW266"/>
      <c r="AX266">
        <v>8.5000000000000006E-2</v>
      </c>
      <c r="AY266"/>
      <c r="AZ266">
        <v>6.25E-2</v>
      </c>
      <c r="BA266"/>
      <c r="BB266">
        <v>138.84418206000001</v>
      </c>
      <c r="BC266">
        <v>138.84418206000001</v>
      </c>
      <c r="BD266"/>
      <c r="BE266"/>
      <c r="BF266"/>
      <c r="BG266"/>
      <c r="BH266"/>
      <c r="BI266">
        <v>0.25</v>
      </c>
      <c r="BJ266"/>
      <c r="BK266">
        <v>0.28605201000000002</v>
      </c>
      <c r="BL266">
        <v>3.6052010000000002E-2</v>
      </c>
      <c r="BM266">
        <v>0.74569640999999998</v>
      </c>
    </row>
    <row r="267" spans="1:65" hidden="1">
      <c r="A267">
        <v>266</v>
      </c>
      <c r="B267" t="s">
        <v>127</v>
      </c>
      <c r="C267" t="s">
        <v>945</v>
      </c>
      <c r="D267">
        <v>1</v>
      </c>
      <c r="E267" t="s">
        <v>130</v>
      </c>
      <c r="F267">
        <v>1</v>
      </c>
      <c r="G267" t="s">
        <v>1012</v>
      </c>
      <c r="H267" t="s">
        <v>558</v>
      </c>
      <c r="I267" t="s">
        <v>433</v>
      </c>
      <c r="J267"/>
      <c r="K267"/>
      <c r="L267"/>
      <c r="M267" t="s">
        <v>845</v>
      </c>
      <c r="N267" t="s">
        <v>946</v>
      </c>
      <c r="O267"/>
      <c r="P267"/>
      <c r="Q267" t="s">
        <v>464</v>
      </c>
      <c r="R267" t="s">
        <v>470</v>
      </c>
      <c r="S267"/>
      <c r="T267"/>
      <c r="U267">
        <v>1</v>
      </c>
      <c r="V267"/>
      <c r="W267"/>
      <c r="X267"/>
      <c r="Y267"/>
      <c r="Z267"/>
      <c r="AA267">
        <v>85863.628899999996</v>
      </c>
      <c r="AB267">
        <v>85863.628899999996</v>
      </c>
      <c r="AC267"/>
      <c r="AD267">
        <v>2.3174928499999998</v>
      </c>
      <c r="AE267">
        <v>6.9524785400000004</v>
      </c>
      <c r="AF267"/>
      <c r="AG267"/>
      <c r="AH267"/>
      <c r="AI267"/>
      <c r="AJ267"/>
      <c r="AK267"/>
      <c r="AL267"/>
      <c r="AM267"/>
      <c r="AN267">
        <v>9.2699713799999994</v>
      </c>
      <c r="AO267">
        <v>107.96156068000001</v>
      </c>
      <c r="AP267"/>
      <c r="AQ267">
        <v>80.971170509999993</v>
      </c>
      <c r="AR267">
        <v>9.1767326600000008</v>
      </c>
      <c r="AS267">
        <v>9.1767326600000008</v>
      </c>
      <c r="AT267">
        <v>0.78794757000000004</v>
      </c>
      <c r="AU267"/>
      <c r="AV267"/>
      <c r="AW267"/>
      <c r="AX267">
        <v>8.5000000000000006E-2</v>
      </c>
      <c r="AY267"/>
      <c r="AZ267">
        <v>6.25E-2</v>
      </c>
      <c r="BA267"/>
      <c r="BB267">
        <v>138.84418206000001</v>
      </c>
      <c r="BC267">
        <v>138.84418206000001</v>
      </c>
      <c r="BD267"/>
      <c r="BE267"/>
      <c r="BF267"/>
      <c r="BG267"/>
      <c r="BH267"/>
      <c r="BI267">
        <v>0.25</v>
      </c>
      <c r="BJ267"/>
      <c r="BK267">
        <v>0.28605201000000002</v>
      </c>
      <c r="BL267">
        <v>3.6052010000000002E-2</v>
      </c>
      <c r="BM267">
        <v>0.33420109999999997</v>
      </c>
    </row>
    <row r="268" spans="1:65" hidden="1">
      <c r="A268">
        <v>267</v>
      </c>
      <c r="B268" t="s">
        <v>127</v>
      </c>
      <c r="C268" t="s">
        <v>947</v>
      </c>
      <c r="D268">
        <v>1</v>
      </c>
      <c r="E268" t="s">
        <v>129</v>
      </c>
      <c r="F268">
        <v>1</v>
      </c>
      <c r="G268" t="s">
        <v>1012</v>
      </c>
      <c r="H268" t="s">
        <v>558</v>
      </c>
      <c r="I268" t="s">
        <v>433</v>
      </c>
      <c r="J268"/>
      <c r="K268"/>
      <c r="L268"/>
      <c r="M268" t="s">
        <v>845</v>
      </c>
      <c r="N268" t="s">
        <v>948</v>
      </c>
      <c r="O268"/>
      <c r="P268"/>
      <c r="Q268" t="s">
        <v>560</v>
      </c>
      <c r="R268" t="s">
        <v>700</v>
      </c>
      <c r="S268"/>
      <c r="T268"/>
      <c r="U268">
        <v>1</v>
      </c>
      <c r="V268"/>
      <c r="W268"/>
      <c r="X268"/>
      <c r="Y268"/>
      <c r="Z268"/>
      <c r="AA268">
        <v>195268.94760000001</v>
      </c>
      <c r="AB268">
        <v>195268.94760000001</v>
      </c>
      <c r="AC268"/>
      <c r="AD268">
        <v>5.2703850799999996</v>
      </c>
      <c r="AE268">
        <v>15.811155250000001</v>
      </c>
      <c r="AF268"/>
      <c r="AG268"/>
      <c r="AH268"/>
      <c r="AI268"/>
      <c r="AJ268"/>
      <c r="AK268"/>
      <c r="AL268"/>
      <c r="AM268"/>
      <c r="AN268">
        <v>21.08154034</v>
      </c>
      <c r="AO268">
        <v>107.96156068000001</v>
      </c>
      <c r="AP268"/>
      <c r="AQ268">
        <v>80.971170509999993</v>
      </c>
      <c r="AR268">
        <v>9.1767326600000008</v>
      </c>
      <c r="AS268">
        <v>9.1767326600000008</v>
      </c>
      <c r="AT268">
        <v>1.7919309299999999</v>
      </c>
      <c r="AU268"/>
      <c r="AV268"/>
      <c r="AW268"/>
      <c r="AX268">
        <v>8.5000000000000006E-2</v>
      </c>
      <c r="AY268"/>
      <c r="AZ268">
        <v>6.25E-2</v>
      </c>
      <c r="BA268"/>
      <c r="BB268">
        <v>138.84418206000001</v>
      </c>
      <c r="BC268">
        <v>138.84418206000001</v>
      </c>
      <c r="BD268"/>
      <c r="BE268"/>
      <c r="BF268"/>
      <c r="BG268"/>
      <c r="BH268"/>
      <c r="BI268">
        <v>0.25</v>
      </c>
      <c r="BJ268"/>
      <c r="BK268">
        <v>0.28605201000000002</v>
      </c>
      <c r="BL268">
        <v>3.6052010000000002E-2</v>
      </c>
      <c r="BM268">
        <v>0.76003189000000004</v>
      </c>
    </row>
    <row r="269" spans="1:65" hidden="1">
      <c r="A269">
        <v>268</v>
      </c>
      <c r="B269" t="s">
        <v>127</v>
      </c>
      <c r="C269" t="s">
        <v>949</v>
      </c>
      <c r="D269">
        <v>1</v>
      </c>
      <c r="E269" t="s">
        <v>676</v>
      </c>
      <c r="F269">
        <v>1</v>
      </c>
      <c r="G269" t="s">
        <v>1012</v>
      </c>
      <c r="H269" t="s">
        <v>558</v>
      </c>
      <c r="I269" t="s">
        <v>433</v>
      </c>
      <c r="J269"/>
      <c r="K269"/>
      <c r="L269"/>
      <c r="M269" t="s">
        <v>847</v>
      </c>
      <c r="N269" t="s">
        <v>846</v>
      </c>
      <c r="O269"/>
      <c r="P269"/>
      <c r="Q269" t="s">
        <v>500</v>
      </c>
      <c r="R269" t="s">
        <v>908</v>
      </c>
      <c r="S269"/>
      <c r="T269"/>
      <c r="U269">
        <v>1</v>
      </c>
      <c r="V269"/>
      <c r="W269"/>
      <c r="X269"/>
      <c r="Y269"/>
      <c r="Z269"/>
      <c r="AA269">
        <v>135553.17910000001</v>
      </c>
      <c r="AB269">
        <v>135553.17910000001</v>
      </c>
      <c r="AC269"/>
      <c r="AD269">
        <v>3.6586331900000002</v>
      </c>
      <c r="AE269">
        <v>10.97589958</v>
      </c>
      <c r="AF269"/>
      <c r="AG269"/>
      <c r="AH269"/>
      <c r="AI269"/>
      <c r="AJ269"/>
      <c r="AK269"/>
      <c r="AL269"/>
      <c r="AM269"/>
      <c r="AN269">
        <v>14.63453277</v>
      </c>
      <c r="AO269">
        <v>107.96156068000001</v>
      </c>
      <c r="AP269"/>
      <c r="AQ269">
        <v>80.971170509999993</v>
      </c>
      <c r="AR269">
        <v>9.1767326600000008</v>
      </c>
      <c r="AS269">
        <v>9.1767326600000008</v>
      </c>
      <c r="AT269">
        <v>1.24393529</v>
      </c>
      <c r="AU269"/>
      <c r="AV269"/>
      <c r="AW269"/>
      <c r="AX269">
        <v>8.5000000000000006E-2</v>
      </c>
      <c r="AY269"/>
      <c r="AZ269">
        <v>6.25E-2</v>
      </c>
      <c r="BA269"/>
      <c r="BB269">
        <v>138.84418206000001</v>
      </c>
      <c r="BC269">
        <v>138.84418206000001</v>
      </c>
      <c r="BD269"/>
      <c r="BE269"/>
      <c r="BF269"/>
      <c r="BG269"/>
      <c r="BH269"/>
      <c r="BI269">
        <v>0.25</v>
      </c>
      <c r="BJ269"/>
      <c r="BK269">
        <v>0.28605201000000002</v>
      </c>
      <c r="BL269">
        <v>3.6052010000000002E-2</v>
      </c>
      <c r="BM269">
        <v>0.52760430999999997</v>
      </c>
    </row>
    <row r="270" spans="1:65" hidden="1">
      <c r="A270">
        <v>269</v>
      </c>
      <c r="B270" t="s">
        <v>127</v>
      </c>
      <c r="C270" t="s">
        <v>950</v>
      </c>
      <c r="D270">
        <v>0.5</v>
      </c>
      <c r="E270" t="s">
        <v>129</v>
      </c>
      <c r="F270">
        <v>1</v>
      </c>
      <c r="G270" t="s">
        <v>1012</v>
      </c>
      <c r="H270" t="s">
        <v>558</v>
      </c>
      <c r="I270" t="s">
        <v>433</v>
      </c>
      <c r="J270"/>
      <c r="K270"/>
      <c r="L270"/>
      <c r="M270" t="s">
        <v>847</v>
      </c>
      <c r="N270" t="s">
        <v>951</v>
      </c>
      <c r="O270"/>
      <c r="P270"/>
      <c r="Q270" t="s">
        <v>674</v>
      </c>
      <c r="R270" t="s">
        <v>566</v>
      </c>
      <c r="S270"/>
      <c r="T270"/>
      <c r="U270">
        <v>0</v>
      </c>
      <c r="V270"/>
      <c r="W270"/>
      <c r="X270"/>
      <c r="Y270"/>
      <c r="Z270"/>
      <c r="AA270">
        <v>100111.41280000001</v>
      </c>
      <c r="AB270">
        <v>50055.706400000003</v>
      </c>
      <c r="AC270"/>
      <c r="AD270">
        <v>0.48374631000000001</v>
      </c>
      <c r="AE270">
        <v>1.45123892</v>
      </c>
      <c r="AF270"/>
      <c r="AG270"/>
      <c r="AH270"/>
      <c r="AI270"/>
      <c r="AJ270"/>
      <c r="AK270"/>
      <c r="AL270"/>
      <c r="AM270"/>
      <c r="AN270">
        <v>1.93498522</v>
      </c>
      <c r="AO270">
        <v>38.656636040000002</v>
      </c>
      <c r="AP270"/>
      <c r="AQ270">
        <v>28.99247703</v>
      </c>
      <c r="AR270">
        <v>3.20850079</v>
      </c>
      <c r="AS270">
        <v>3.20850079</v>
      </c>
      <c r="AT270">
        <v>0.16060377000000001</v>
      </c>
      <c r="AU270"/>
      <c r="AV270"/>
      <c r="AW270"/>
      <c r="AX270">
        <v>8.3000000000000004E-2</v>
      </c>
      <c r="AY270"/>
      <c r="AZ270">
        <v>6.25E-2</v>
      </c>
      <c r="BA270"/>
      <c r="BB270">
        <v>48.544692820000002</v>
      </c>
      <c r="BC270">
        <v>48.544692820000002</v>
      </c>
      <c r="BD270"/>
      <c r="BE270"/>
      <c r="BF270"/>
      <c r="BG270"/>
      <c r="BH270"/>
      <c r="BI270">
        <v>0.25</v>
      </c>
      <c r="BJ270"/>
      <c r="BK270">
        <v>0.25579195999999998</v>
      </c>
      <c r="BL270">
        <v>5.7919599999999996E-3</v>
      </c>
      <c r="BM270">
        <v>1.120736E-2</v>
      </c>
    </row>
    <row r="271" spans="1:65" hidden="1">
      <c r="A271">
        <v>270</v>
      </c>
      <c r="B271" t="s">
        <v>127</v>
      </c>
      <c r="C271" t="s">
        <v>952</v>
      </c>
      <c r="D271">
        <v>1</v>
      </c>
      <c r="E271" t="s">
        <v>129</v>
      </c>
      <c r="F271">
        <v>1</v>
      </c>
      <c r="G271" t="s">
        <v>1012</v>
      </c>
      <c r="H271" t="s">
        <v>558</v>
      </c>
      <c r="I271" t="s">
        <v>433</v>
      </c>
      <c r="J271"/>
      <c r="K271"/>
      <c r="L271"/>
      <c r="M271" t="s">
        <v>847</v>
      </c>
      <c r="N271" t="s">
        <v>953</v>
      </c>
      <c r="O271"/>
      <c r="P271"/>
      <c r="Q271" t="s">
        <v>564</v>
      </c>
      <c r="R271" t="s">
        <v>470</v>
      </c>
      <c r="S271"/>
      <c r="T271"/>
      <c r="U271">
        <v>1</v>
      </c>
      <c r="V271"/>
      <c r="W271"/>
      <c r="X271"/>
      <c r="Y271"/>
      <c r="Z271"/>
      <c r="AA271">
        <v>73091.239100000006</v>
      </c>
      <c r="AB271">
        <v>73091.239100000006</v>
      </c>
      <c r="AC271"/>
      <c r="AD271">
        <v>1.9727610600000001</v>
      </c>
      <c r="AE271">
        <v>5.9182831800000004</v>
      </c>
      <c r="AF271"/>
      <c r="AG271"/>
      <c r="AH271"/>
      <c r="AI271"/>
      <c r="AJ271"/>
      <c r="AK271"/>
      <c r="AL271"/>
      <c r="AM271"/>
      <c r="AN271">
        <v>7.8910442500000002</v>
      </c>
      <c r="AO271">
        <v>107.96156068000001</v>
      </c>
      <c r="AP271"/>
      <c r="AQ271">
        <v>80.971170509999993</v>
      </c>
      <c r="AR271">
        <v>9.1767326600000008</v>
      </c>
      <c r="AS271">
        <v>9.1767326600000008</v>
      </c>
      <c r="AT271">
        <v>0.67073875999999999</v>
      </c>
      <c r="AU271"/>
      <c r="AV271"/>
      <c r="AW271"/>
      <c r="AX271">
        <v>8.5000000000000006E-2</v>
      </c>
      <c r="AY271"/>
      <c r="AZ271">
        <v>6.25E-2</v>
      </c>
      <c r="BA271"/>
      <c r="BB271">
        <v>138.84418206000001</v>
      </c>
      <c r="BC271">
        <v>138.84418206000001</v>
      </c>
      <c r="BD271"/>
      <c r="BE271"/>
      <c r="BF271"/>
      <c r="BG271"/>
      <c r="BH271"/>
      <c r="BI271">
        <v>0.25</v>
      </c>
      <c r="BJ271"/>
      <c r="BK271">
        <v>0.28605201000000002</v>
      </c>
      <c r="BL271">
        <v>3.6052010000000002E-2</v>
      </c>
      <c r="BM271">
        <v>0.28448800000000002</v>
      </c>
    </row>
    <row r="272" spans="1:65" hidden="1">
      <c r="A272">
        <v>271</v>
      </c>
      <c r="B272" t="s">
        <v>127</v>
      </c>
      <c r="C272" t="s">
        <v>954</v>
      </c>
      <c r="D272">
        <v>0.5</v>
      </c>
      <c r="E272" t="s">
        <v>676</v>
      </c>
      <c r="F272">
        <v>1</v>
      </c>
      <c r="G272" t="s">
        <v>1012</v>
      </c>
      <c r="H272" t="s">
        <v>558</v>
      </c>
      <c r="I272" t="s">
        <v>433</v>
      </c>
      <c r="J272"/>
      <c r="K272"/>
      <c r="L272"/>
      <c r="M272" t="s">
        <v>536</v>
      </c>
      <c r="N272" t="s">
        <v>955</v>
      </c>
      <c r="O272"/>
      <c r="P272"/>
      <c r="Q272" t="s">
        <v>477</v>
      </c>
      <c r="R272" t="s">
        <v>479</v>
      </c>
      <c r="S272"/>
      <c r="T272"/>
      <c r="U272">
        <v>0</v>
      </c>
      <c r="V272"/>
      <c r="W272"/>
      <c r="X272"/>
      <c r="Y272"/>
      <c r="Z272"/>
      <c r="AA272">
        <v>184639.64850000001</v>
      </c>
      <c r="AB272">
        <v>92319.824250000005</v>
      </c>
      <c r="AC272"/>
      <c r="AD272">
        <v>0.89219345999999999</v>
      </c>
      <c r="AE272">
        <v>2.6765803799999999</v>
      </c>
      <c r="AF272"/>
      <c r="AG272"/>
      <c r="AH272"/>
      <c r="AI272"/>
      <c r="AJ272"/>
      <c r="AK272"/>
      <c r="AL272"/>
      <c r="AM272"/>
      <c r="AN272">
        <v>3.5687738499999999</v>
      </c>
      <c r="AO272">
        <v>38.656636040000002</v>
      </c>
      <c r="AP272"/>
      <c r="AQ272">
        <v>28.99247703</v>
      </c>
      <c r="AR272">
        <v>3.20850079</v>
      </c>
      <c r="AS272">
        <v>3.20850079</v>
      </c>
      <c r="AT272">
        <v>0.29620823000000002</v>
      </c>
      <c r="AU272"/>
      <c r="AV272"/>
      <c r="AW272"/>
      <c r="AX272">
        <v>8.3000000000000004E-2</v>
      </c>
      <c r="AY272"/>
      <c r="AZ272">
        <v>6.25E-2</v>
      </c>
      <c r="BA272"/>
      <c r="BB272">
        <v>48.544692820000002</v>
      </c>
      <c r="BC272">
        <v>48.544692820000002</v>
      </c>
      <c r="BD272"/>
      <c r="BE272"/>
      <c r="BF272"/>
      <c r="BG272"/>
      <c r="BH272"/>
      <c r="BI272">
        <v>0.25</v>
      </c>
      <c r="BJ272"/>
      <c r="BK272">
        <v>0.25579195999999998</v>
      </c>
      <c r="BL272">
        <v>5.7919599999999996E-3</v>
      </c>
      <c r="BM272">
        <v>2.06702E-2</v>
      </c>
    </row>
    <row r="273" spans="1:65" hidden="1">
      <c r="A273">
        <v>272</v>
      </c>
      <c r="B273" t="s">
        <v>306</v>
      </c>
      <c r="C273" t="s">
        <v>956</v>
      </c>
      <c r="D273">
        <v>1</v>
      </c>
      <c r="E273" t="s">
        <v>775</v>
      </c>
      <c r="F273">
        <v>1</v>
      </c>
      <c r="G273" t="s">
        <v>1011</v>
      </c>
      <c r="H273" t="s">
        <v>558</v>
      </c>
      <c r="I273" t="s">
        <v>468</v>
      </c>
      <c r="J273"/>
      <c r="K273"/>
      <c r="L273"/>
      <c r="M273" t="s">
        <v>108</v>
      </c>
      <c r="N273" t="s">
        <v>672</v>
      </c>
      <c r="O273"/>
      <c r="P273"/>
      <c r="Q273" t="s">
        <v>472</v>
      </c>
      <c r="R273" t="s">
        <v>643</v>
      </c>
      <c r="S273" t="s">
        <v>794</v>
      </c>
      <c r="T273">
        <v>5</v>
      </c>
      <c r="U273">
        <v>0</v>
      </c>
      <c r="V273"/>
      <c r="W273"/>
      <c r="X273"/>
      <c r="Y273"/>
      <c r="Z273"/>
      <c r="AA273">
        <v>54740</v>
      </c>
      <c r="AB273">
        <v>54740</v>
      </c>
      <c r="AC273">
        <v>391</v>
      </c>
      <c r="AD273">
        <v>7.82</v>
      </c>
      <c r="AE273">
        <v>16.18</v>
      </c>
      <c r="AF273"/>
      <c r="AG273"/>
      <c r="AH273"/>
      <c r="AI273">
        <v>0</v>
      </c>
      <c r="AJ273"/>
      <c r="AK273"/>
      <c r="AL273">
        <v>0</v>
      </c>
      <c r="AM273"/>
      <c r="AN273">
        <v>24</v>
      </c>
      <c r="AO273">
        <v>438.43624405999998</v>
      </c>
      <c r="AP273">
        <v>142.85714286000001</v>
      </c>
      <c r="AQ273">
        <v>295.57910120999998</v>
      </c>
      <c r="AR273">
        <v>38.582389480000003</v>
      </c>
      <c r="AS273"/>
      <c r="AT273">
        <v>2.1120000000000001</v>
      </c>
      <c r="AU273"/>
      <c r="AV273"/>
      <c r="AW273"/>
      <c r="AX273">
        <v>8.7999999999999995E-2</v>
      </c>
      <c r="AY273"/>
      <c r="AZ273">
        <v>6.2857140000000006E-2</v>
      </c>
      <c r="BA273">
        <v>6.2857140000000006E-2</v>
      </c>
      <c r="BB273">
        <v>580.43568954</v>
      </c>
      <c r="BC273">
        <v>32</v>
      </c>
      <c r="BD273">
        <v>33.6</v>
      </c>
      <c r="BE273"/>
      <c r="BF273"/>
      <c r="BG273"/>
      <c r="BH273"/>
      <c r="BI273">
        <v>0.15</v>
      </c>
      <c r="BJ273"/>
      <c r="BK273">
        <v>0.32387706999999999</v>
      </c>
      <c r="BL273">
        <v>0.17387706999999999</v>
      </c>
      <c r="BM273">
        <v>4.1730496500000003</v>
      </c>
    </row>
    <row r="274" spans="1:65" hidden="1">
      <c r="A274">
        <v>273</v>
      </c>
      <c r="B274" t="s">
        <v>306</v>
      </c>
      <c r="C274" t="s">
        <v>957</v>
      </c>
      <c r="D274">
        <v>1</v>
      </c>
      <c r="E274" t="s">
        <v>775</v>
      </c>
      <c r="F274">
        <v>1</v>
      </c>
      <c r="G274" t="s">
        <v>1011</v>
      </c>
      <c r="H274" t="s">
        <v>558</v>
      </c>
      <c r="I274" t="s">
        <v>468</v>
      </c>
      <c r="J274"/>
      <c r="K274"/>
      <c r="L274"/>
      <c r="M274" t="s">
        <v>108</v>
      </c>
      <c r="N274" t="s">
        <v>747</v>
      </c>
      <c r="O274"/>
      <c r="P274"/>
      <c r="Q274" t="s">
        <v>855</v>
      </c>
      <c r="R274" t="s">
        <v>738</v>
      </c>
      <c r="S274" t="s">
        <v>794</v>
      </c>
      <c r="T274">
        <v>15</v>
      </c>
      <c r="U274">
        <v>0</v>
      </c>
      <c r="V274"/>
      <c r="W274"/>
      <c r="X274"/>
      <c r="Y274"/>
      <c r="Z274"/>
      <c r="AA274">
        <v>84560</v>
      </c>
      <c r="AB274">
        <v>84560</v>
      </c>
      <c r="AC274">
        <v>604</v>
      </c>
      <c r="AD274">
        <v>12.08</v>
      </c>
      <c r="AE274">
        <v>49.92</v>
      </c>
      <c r="AF274"/>
      <c r="AG274"/>
      <c r="AH274"/>
      <c r="AI274">
        <v>0</v>
      </c>
      <c r="AJ274"/>
      <c r="AK274"/>
      <c r="AL274">
        <v>0</v>
      </c>
      <c r="AM274"/>
      <c r="AN274">
        <v>62</v>
      </c>
      <c r="AO274">
        <v>733.20719015999998</v>
      </c>
      <c r="AP274">
        <v>142.85714286000001</v>
      </c>
      <c r="AQ274">
        <v>590.35004730000003</v>
      </c>
      <c r="AR274">
        <v>61.589403969999999</v>
      </c>
      <c r="AS274"/>
      <c r="AT274">
        <v>5.2080000000000002</v>
      </c>
      <c r="AU274"/>
      <c r="AV274"/>
      <c r="AW274"/>
      <c r="AX274">
        <v>8.4000000000000005E-2</v>
      </c>
      <c r="AY274"/>
      <c r="AZ274">
        <v>5.9047620000000002E-2</v>
      </c>
      <c r="BA274">
        <v>5.9047620000000002E-2</v>
      </c>
      <c r="BB274">
        <v>986.33225305999997</v>
      </c>
      <c r="BC274">
        <v>84</v>
      </c>
      <c r="BD274">
        <v>88.2</v>
      </c>
      <c r="BE274"/>
      <c r="BF274"/>
      <c r="BG274"/>
      <c r="BH274"/>
      <c r="BI274">
        <v>0.2</v>
      </c>
      <c r="BJ274"/>
      <c r="BK274">
        <v>0.34522992000000002</v>
      </c>
      <c r="BL274">
        <v>0.14522992000000001</v>
      </c>
      <c r="BM274">
        <v>9.0042553200000004</v>
      </c>
    </row>
    <row r="275" spans="1:65" hidden="1">
      <c r="A275">
        <v>274</v>
      </c>
      <c r="B275" t="s">
        <v>306</v>
      </c>
      <c r="C275" t="s">
        <v>958</v>
      </c>
      <c r="D275">
        <v>1</v>
      </c>
      <c r="E275" t="s">
        <v>775</v>
      </c>
      <c r="F275">
        <v>1</v>
      </c>
      <c r="G275" t="s">
        <v>1011</v>
      </c>
      <c r="H275" t="s">
        <v>558</v>
      </c>
      <c r="I275" t="s">
        <v>468</v>
      </c>
      <c r="J275"/>
      <c r="K275"/>
      <c r="L275"/>
      <c r="M275" t="s">
        <v>108</v>
      </c>
      <c r="N275" t="s">
        <v>747</v>
      </c>
      <c r="O275"/>
      <c r="P275"/>
      <c r="Q275" t="s">
        <v>855</v>
      </c>
      <c r="R275" t="s">
        <v>738</v>
      </c>
      <c r="S275" t="s">
        <v>794</v>
      </c>
      <c r="T275">
        <v>9</v>
      </c>
      <c r="U275">
        <v>0</v>
      </c>
      <c r="V275"/>
      <c r="W275"/>
      <c r="X275"/>
      <c r="Y275"/>
      <c r="Z275"/>
      <c r="AA275">
        <v>31920</v>
      </c>
      <c r="AB275">
        <v>31920</v>
      </c>
      <c r="AC275">
        <v>228</v>
      </c>
      <c r="AD275">
        <v>4.5599999999999996</v>
      </c>
      <c r="AE275">
        <v>14.44</v>
      </c>
      <c r="AF275"/>
      <c r="AG275"/>
      <c r="AH275"/>
      <c r="AI275">
        <v>0</v>
      </c>
      <c r="AJ275"/>
      <c r="AK275"/>
      <c r="AL275">
        <v>0</v>
      </c>
      <c r="AM275"/>
      <c r="AN275">
        <v>19</v>
      </c>
      <c r="AO275">
        <v>595.23809524000001</v>
      </c>
      <c r="AP275">
        <v>142.85714286000001</v>
      </c>
      <c r="AQ275">
        <v>452.38095238</v>
      </c>
      <c r="AR275">
        <v>50.595238100000003</v>
      </c>
      <c r="AS275"/>
      <c r="AT275">
        <v>1.615</v>
      </c>
      <c r="AU275"/>
      <c r="AV275"/>
      <c r="AW275"/>
      <c r="AX275">
        <v>8.5000000000000006E-2</v>
      </c>
      <c r="AY275"/>
      <c r="AZ275">
        <v>5.9157510000000003E-2</v>
      </c>
      <c r="BA275">
        <v>5.9157510000000003E-2</v>
      </c>
      <c r="BB275">
        <v>808.75948736999999</v>
      </c>
      <c r="BC275">
        <v>26</v>
      </c>
      <c r="BD275">
        <v>27.3</v>
      </c>
      <c r="BE275"/>
      <c r="BF275"/>
      <c r="BG275"/>
      <c r="BH275"/>
      <c r="BI275">
        <v>0.2</v>
      </c>
      <c r="BJ275"/>
      <c r="BK275">
        <v>0.35871594000000001</v>
      </c>
      <c r="BL275">
        <v>0.15871594</v>
      </c>
      <c r="BM275">
        <v>3.0156028400000001</v>
      </c>
    </row>
    <row r="276" spans="1:65" hidden="1">
      <c r="A276">
        <v>275</v>
      </c>
      <c r="B276" t="s">
        <v>136</v>
      </c>
      <c r="C276" t="s">
        <v>959</v>
      </c>
      <c r="D276">
        <v>1</v>
      </c>
      <c r="E276" t="s">
        <v>131</v>
      </c>
      <c r="F276">
        <v>1</v>
      </c>
      <c r="G276" t="s">
        <v>1052</v>
      </c>
      <c r="H276" t="s">
        <v>558</v>
      </c>
      <c r="I276" t="s">
        <v>481</v>
      </c>
      <c r="J276"/>
      <c r="K276"/>
      <c r="L276"/>
      <c r="M276"/>
      <c r="N276" t="s">
        <v>778</v>
      </c>
      <c r="O276"/>
      <c r="P276"/>
      <c r="Q276" t="s">
        <v>571</v>
      </c>
      <c r="R276" t="s">
        <v>929</v>
      </c>
      <c r="S276"/>
      <c r="T276"/>
      <c r="U276">
        <v>0</v>
      </c>
      <c r="V276"/>
      <c r="W276"/>
      <c r="X276"/>
      <c r="Y276"/>
      <c r="Z276"/>
      <c r="AA276">
        <v>299236.42</v>
      </c>
      <c r="AB276">
        <v>299236.42</v>
      </c>
      <c r="AC276"/>
      <c r="AD276"/>
      <c r="AE276">
        <v>119.694568</v>
      </c>
      <c r="AF276"/>
      <c r="AG276"/>
      <c r="AH276"/>
      <c r="AI276">
        <v>6.3794810899999996</v>
      </c>
      <c r="AJ276"/>
      <c r="AK276"/>
      <c r="AL276">
        <v>8.1516371500000009</v>
      </c>
      <c r="AM276">
        <v>-8.1516371500000009</v>
      </c>
      <c r="AN276">
        <v>126.07404909</v>
      </c>
      <c r="AO276">
        <v>421.31920000000002</v>
      </c>
      <c r="AP276">
        <v>0</v>
      </c>
      <c r="AQ276">
        <v>400</v>
      </c>
      <c r="AR276"/>
      <c r="AS276">
        <v>25.38</v>
      </c>
      <c r="AT276">
        <v>7.5946203399999996</v>
      </c>
      <c r="AU276"/>
      <c r="AV276"/>
      <c r="AW276"/>
      <c r="AX276">
        <v>6.0239359999999999E-2</v>
      </c>
      <c r="AY276"/>
      <c r="AZ276">
        <v>4.4999999999999998E-2</v>
      </c>
      <c r="BA276"/>
      <c r="BB276">
        <v>533.33333332999996</v>
      </c>
      <c r="BC276"/>
      <c r="BD276"/>
      <c r="BE276"/>
      <c r="BF276"/>
      <c r="BG276"/>
      <c r="BH276"/>
      <c r="BI276">
        <v>0.2</v>
      </c>
      <c r="BJ276"/>
      <c r="BK276">
        <v>0.26586525</v>
      </c>
      <c r="BL276">
        <v>6.586525E-2</v>
      </c>
      <c r="BM276">
        <v>8.3038984300000003</v>
      </c>
    </row>
    <row r="277" spans="1:65" hidden="1">
      <c r="A277">
        <v>276</v>
      </c>
      <c r="B277" t="s">
        <v>136</v>
      </c>
      <c r="C277" t="s">
        <v>960</v>
      </c>
      <c r="D277">
        <v>1</v>
      </c>
      <c r="E277" t="s">
        <v>131</v>
      </c>
      <c r="F277">
        <v>1</v>
      </c>
      <c r="G277" t="s">
        <v>1052</v>
      </c>
      <c r="H277" t="s">
        <v>558</v>
      </c>
      <c r="I277" t="s">
        <v>486</v>
      </c>
      <c r="J277"/>
      <c r="K277"/>
      <c r="L277"/>
      <c r="M277"/>
      <c r="N277" t="s">
        <v>961</v>
      </c>
      <c r="O277"/>
      <c r="P277"/>
      <c r="Q277" t="s">
        <v>549</v>
      </c>
      <c r="R277" t="s">
        <v>659</v>
      </c>
      <c r="S277"/>
      <c r="T277"/>
      <c r="U277">
        <v>0</v>
      </c>
      <c r="V277"/>
      <c r="W277"/>
      <c r="X277"/>
      <c r="Y277"/>
      <c r="Z277"/>
      <c r="AA277">
        <v>117326.51</v>
      </c>
      <c r="AB277">
        <v>117326.51</v>
      </c>
      <c r="AC277"/>
      <c r="AD277"/>
      <c r="AE277">
        <v>46.930604000000002</v>
      </c>
      <c r="AF277"/>
      <c r="AG277"/>
      <c r="AH277"/>
      <c r="AI277">
        <v>2.5013073299999999</v>
      </c>
      <c r="AJ277"/>
      <c r="AK277"/>
      <c r="AL277">
        <v>2.1601068099999998</v>
      </c>
      <c r="AM277">
        <v>-2.1601068099999998</v>
      </c>
      <c r="AN277">
        <v>49.431911329999998</v>
      </c>
      <c r="AO277">
        <v>421.31920000000002</v>
      </c>
      <c r="AP277">
        <v>0</v>
      </c>
      <c r="AQ277">
        <v>400</v>
      </c>
      <c r="AR277"/>
      <c r="AS277">
        <v>25.38</v>
      </c>
      <c r="AT277">
        <v>2.9777468200000001</v>
      </c>
      <c r="AU277"/>
      <c r="AV277"/>
      <c r="AW277"/>
      <c r="AX277">
        <v>6.0239359999999999E-2</v>
      </c>
      <c r="AY277"/>
      <c r="AZ277">
        <v>0.05</v>
      </c>
      <c r="BA277"/>
      <c r="BB277">
        <v>480</v>
      </c>
      <c r="BC277"/>
      <c r="BD277"/>
      <c r="BE277"/>
      <c r="BF277"/>
      <c r="BG277"/>
      <c r="BH277"/>
      <c r="BI277">
        <v>0.2</v>
      </c>
      <c r="BJ277"/>
      <c r="BK277">
        <v>0.13927871999999999</v>
      </c>
      <c r="BL277">
        <v>-6.0721280000000002E-2</v>
      </c>
      <c r="BM277">
        <v>-3.0015687999999998</v>
      </c>
    </row>
    <row r="278" spans="1:65" hidden="1">
      <c r="A278">
        <v>277</v>
      </c>
      <c r="B278" t="s">
        <v>45</v>
      </c>
      <c r="C278" t="s">
        <v>1088</v>
      </c>
      <c r="D278">
        <v>1</v>
      </c>
      <c r="E278" t="s">
        <v>130</v>
      </c>
      <c r="F278">
        <v>1</v>
      </c>
      <c r="G278" t="s">
        <v>1089</v>
      </c>
      <c r="H278" t="s">
        <v>558</v>
      </c>
      <c r="I278" t="s">
        <v>433</v>
      </c>
      <c r="J278"/>
      <c r="K278"/>
      <c r="L278"/>
      <c r="M278"/>
      <c r="N278" t="s">
        <v>223</v>
      </c>
      <c r="O278"/>
      <c r="P278"/>
      <c r="Q278" t="s">
        <v>791</v>
      </c>
      <c r="R278" t="s">
        <v>855</v>
      </c>
      <c r="S278"/>
      <c r="T278"/>
      <c r="U278">
        <v>0.46</v>
      </c>
      <c r="V278"/>
      <c r="W278"/>
      <c r="X278"/>
      <c r="Y278"/>
      <c r="Z278"/>
      <c r="AA278">
        <v>270000</v>
      </c>
      <c r="AB278">
        <v>270000</v>
      </c>
      <c r="AC278"/>
      <c r="AD278">
        <v>139.30000000000001</v>
      </c>
      <c r="AE278">
        <v>18</v>
      </c>
      <c r="AF278"/>
      <c r="AG278"/>
      <c r="AH278"/>
      <c r="AI278"/>
      <c r="AJ278"/>
      <c r="AK278"/>
      <c r="AL278"/>
      <c r="AM278"/>
      <c r="AN278">
        <v>157.30000000000001</v>
      </c>
      <c r="AO278">
        <v>582.59259258999998</v>
      </c>
      <c r="AP278">
        <v>515.92592592999995</v>
      </c>
      <c r="AQ278">
        <v>66.666666669999998</v>
      </c>
      <c r="AR278">
        <v>33.703703699999998</v>
      </c>
      <c r="AS278">
        <v>33.703703699999998</v>
      </c>
      <c r="AT278">
        <v>9.1</v>
      </c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</row>
    <row r="279" spans="1:65" hidden="1">
      <c r="A279">
        <v>278</v>
      </c>
      <c r="B279" t="s">
        <v>45</v>
      </c>
      <c r="C279" t="s">
        <v>962</v>
      </c>
      <c r="D279">
        <v>1</v>
      </c>
      <c r="E279" t="s">
        <v>130</v>
      </c>
      <c r="F279">
        <v>1</v>
      </c>
      <c r="G279" t="s">
        <v>879</v>
      </c>
      <c r="H279" t="s">
        <v>312</v>
      </c>
      <c r="I279" t="s">
        <v>486</v>
      </c>
      <c r="J279"/>
      <c r="K279"/>
      <c r="L279"/>
      <c r="M279"/>
      <c r="N279" t="s">
        <v>533</v>
      </c>
      <c r="O279"/>
      <c r="P279"/>
      <c r="Q279" t="s">
        <v>633</v>
      </c>
      <c r="R279" t="s">
        <v>806</v>
      </c>
      <c r="S279"/>
      <c r="T279"/>
      <c r="U279">
        <v>0.15064478000000001</v>
      </c>
      <c r="V279"/>
      <c r="W279"/>
      <c r="X279"/>
      <c r="Y279"/>
      <c r="Z279"/>
      <c r="AA279">
        <v>200000</v>
      </c>
      <c r="AB279">
        <v>200000</v>
      </c>
      <c r="AC279"/>
      <c r="AD279">
        <v>92.7</v>
      </c>
      <c r="AE279"/>
      <c r="AF279"/>
      <c r="AG279"/>
      <c r="AH279"/>
      <c r="AI279"/>
      <c r="AJ279"/>
      <c r="AK279"/>
      <c r="AL279"/>
      <c r="AM279"/>
      <c r="AN279">
        <v>92.7</v>
      </c>
      <c r="AO279">
        <v>463.5</v>
      </c>
      <c r="AP279">
        <v>463.5</v>
      </c>
      <c r="AQ279">
        <v>0</v>
      </c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</row>
    <row r="280" spans="1:65" hidden="1">
      <c r="A280">
        <v>279</v>
      </c>
      <c r="B280" t="s">
        <v>45</v>
      </c>
      <c r="C280" t="s">
        <v>963</v>
      </c>
      <c r="D280">
        <v>1</v>
      </c>
      <c r="E280" t="s">
        <v>130</v>
      </c>
      <c r="F280">
        <v>1</v>
      </c>
      <c r="G280" t="s">
        <v>879</v>
      </c>
      <c r="H280" t="s">
        <v>312</v>
      </c>
      <c r="I280" t="s">
        <v>486</v>
      </c>
      <c r="J280"/>
      <c r="K280"/>
      <c r="L280"/>
      <c r="M280"/>
      <c r="N280" t="s">
        <v>533</v>
      </c>
      <c r="O280"/>
      <c r="P280"/>
      <c r="Q280" t="s">
        <v>522</v>
      </c>
      <c r="R280" t="s">
        <v>546</v>
      </c>
      <c r="S280"/>
      <c r="T280"/>
      <c r="U280">
        <v>0</v>
      </c>
      <c r="V280"/>
      <c r="W280"/>
      <c r="X280"/>
      <c r="Y280"/>
      <c r="Z280"/>
      <c r="AA280">
        <v>190000</v>
      </c>
      <c r="AB280">
        <v>190000</v>
      </c>
      <c r="AC280"/>
      <c r="AD280"/>
      <c r="AE280"/>
      <c r="AF280"/>
      <c r="AG280"/>
      <c r="AH280"/>
      <c r="AI280"/>
      <c r="AJ280"/>
      <c r="AK280"/>
      <c r="AL280"/>
      <c r="AM280"/>
      <c r="AN280">
        <v>0</v>
      </c>
      <c r="AO280">
        <v>0</v>
      </c>
      <c r="AP280">
        <v>0</v>
      </c>
      <c r="AQ280">
        <v>0</v>
      </c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</row>
    <row r="281" spans="1:65" hidden="1">
      <c r="A281">
        <v>280</v>
      </c>
      <c r="B281" t="s">
        <v>268</v>
      </c>
      <c r="C281" t="s">
        <v>964</v>
      </c>
      <c r="D281">
        <v>1</v>
      </c>
      <c r="E281" t="s">
        <v>518</v>
      </c>
      <c r="F281">
        <v>1</v>
      </c>
      <c r="G281" t="s">
        <v>477</v>
      </c>
      <c r="H281" t="s">
        <v>558</v>
      </c>
      <c r="I281" t="s">
        <v>468</v>
      </c>
      <c r="J281"/>
      <c r="K281"/>
      <c r="L281"/>
      <c r="M281" t="s">
        <v>850</v>
      </c>
      <c r="N281" t="s">
        <v>965</v>
      </c>
      <c r="O281"/>
      <c r="P281"/>
      <c r="Q281" t="s">
        <v>524</v>
      </c>
      <c r="R281" t="s">
        <v>892</v>
      </c>
      <c r="S281" t="s">
        <v>791</v>
      </c>
      <c r="T281"/>
      <c r="U281">
        <v>0</v>
      </c>
      <c r="V281"/>
      <c r="W281">
        <v>15069.46</v>
      </c>
      <c r="X281">
        <v>120555.68</v>
      </c>
      <c r="Y281">
        <v>8072.9250000000002</v>
      </c>
      <c r="Z281"/>
      <c r="AA281">
        <v>143698.065</v>
      </c>
      <c r="AB281">
        <v>143698.065</v>
      </c>
      <c r="AC281"/>
      <c r="AD281">
        <v>15</v>
      </c>
      <c r="AE281">
        <v>50</v>
      </c>
      <c r="AF281"/>
      <c r="AG281"/>
      <c r="AH281"/>
      <c r="AI281"/>
      <c r="AJ281"/>
      <c r="AK281"/>
      <c r="AL281"/>
      <c r="AM281"/>
      <c r="AN281">
        <v>65</v>
      </c>
      <c r="AO281">
        <v>452.33733661999997</v>
      </c>
      <c r="AP281"/>
      <c r="AQ281">
        <v>347.95179739999998</v>
      </c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</row>
    <row r="282" spans="1:65" hidden="1">
      <c r="A282">
        <v>281</v>
      </c>
      <c r="B282" t="s">
        <v>268</v>
      </c>
      <c r="C282" t="s">
        <v>966</v>
      </c>
      <c r="D282">
        <v>1</v>
      </c>
      <c r="E282" t="s">
        <v>304</v>
      </c>
      <c r="F282">
        <v>1</v>
      </c>
      <c r="G282" t="s">
        <v>477</v>
      </c>
      <c r="H282" t="s">
        <v>558</v>
      </c>
      <c r="I282" t="s">
        <v>468</v>
      </c>
      <c r="J282"/>
      <c r="K282"/>
      <c r="L282"/>
      <c r="M282" t="s">
        <v>850</v>
      </c>
      <c r="N282" t="s">
        <v>851</v>
      </c>
      <c r="O282"/>
      <c r="P282"/>
      <c r="Q282" t="s">
        <v>740</v>
      </c>
      <c r="R282" t="s">
        <v>888</v>
      </c>
      <c r="S282" t="s">
        <v>791</v>
      </c>
      <c r="T282"/>
      <c r="U282">
        <v>0</v>
      </c>
      <c r="V282"/>
      <c r="W282"/>
      <c r="X282">
        <v>290625.3</v>
      </c>
      <c r="Y282"/>
      <c r="Z282"/>
      <c r="AA282">
        <v>290625.3</v>
      </c>
      <c r="AB282">
        <v>290625.3</v>
      </c>
      <c r="AC282"/>
      <c r="AD282">
        <v>20</v>
      </c>
      <c r="AE282">
        <v>50</v>
      </c>
      <c r="AF282"/>
      <c r="AG282"/>
      <c r="AH282"/>
      <c r="AI282"/>
      <c r="AJ282"/>
      <c r="AK282"/>
      <c r="AL282"/>
      <c r="AM282"/>
      <c r="AN282">
        <v>70</v>
      </c>
      <c r="AO282">
        <v>240.85996642000001</v>
      </c>
      <c r="AP282"/>
      <c r="AQ282">
        <v>172.04283315999999</v>
      </c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</row>
    <row r="283" spans="1:65" hidden="1">
      <c r="A283">
        <v>282</v>
      </c>
      <c r="B283" t="s">
        <v>271</v>
      </c>
      <c r="C283" t="s">
        <v>967</v>
      </c>
      <c r="D283">
        <v>1</v>
      </c>
      <c r="E283" t="s">
        <v>304</v>
      </c>
      <c r="F283">
        <v>1</v>
      </c>
      <c r="G283" t="s">
        <v>1078</v>
      </c>
      <c r="H283" t="s">
        <v>558</v>
      </c>
      <c r="I283" t="s">
        <v>486</v>
      </c>
      <c r="J283"/>
      <c r="K283"/>
      <c r="L283"/>
      <c r="M283" t="s">
        <v>850</v>
      </c>
      <c r="N283" t="s">
        <v>866</v>
      </c>
      <c r="O283"/>
      <c r="P283"/>
      <c r="Q283" t="s">
        <v>496</v>
      </c>
      <c r="R283" t="s">
        <v>923</v>
      </c>
      <c r="S283" t="s">
        <v>794</v>
      </c>
      <c r="T283">
        <v>57.92</v>
      </c>
      <c r="U283">
        <v>0</v>
      </c>
      <c r="V283"/>
      <c r="W283"/>
      <c r="X283"/>
      <c r="Y283"/>
      <c r="Z283"/>
      <c r="AA283">
        <v>322917</v>
      </c>
      <c r="AB283">
        <v>322917</v>
      </c>
      <c r="AC283"/>
      <c r="AD283">
        <v>30</v>
      </c>
      <c r="AE283">
        <v>100</v>
      </c>
      <c r="AF283"/>
      <c r="AG283"/>
      <c r="AH283"/>
      <c r="AI283"/>
      <c r="AJ283"/>
      <c r="AK283"/>
      <c r="AL283"/>
      <c r="AM283"/>
      <c r="AN283">
        <v>130</v>
      </c>
      <c r="AO283">
        <v>402.58022958999999</v>
      </c>
      <c r="AP283"/>
      <c r="AQ283">
        <v>309.67709968999998</v>
      </c>
      <c r="AR283">
        <v>0</v>
      </c>
      <c r="AS283">
        <v>0</v>
      </c>
      <c r="AT283"/>
      <c r="AU283"/>
      <c r="AV283"/>
      <c r="AW283"/>
      <c r="AX283">
        <v>0</v>
      </c>
      <c r="AY283"/>
      <c r="AZ283"/>
      <c r="BA283"/>
      <c r="BB283"/>
      <c r="BC283">
        <v>162.5</v>
      </c>
      <c r="BD283"/>
      <c r="BE283"/>
      <c r="BF283"/>
      <c r="BG283"/>
      <c r="BH283"/>
      <c r="BI283">
        <v>0.15</v>
      </c>
      <c r="BJ283"/>
      <c r="BK283">
        <v>0.25</v>
      </c>
      <c r="BL283">
        <v>0.1</v>
      </c>
      <c r="BM283">
        <v>13</v>
      </c>
    </row>
    <row r="284" spans="1:65" hidden="1">
      <c r="A284">
        <v>283</v>
      </c>
      <c r="B284" t="s">
        <v>271</v>
      </c>
      <c r="C284" t="s">
        <v>968</v>
      </c>
      <c r="D284">
        <v>1</v>
      </c>
      <c r="E284" t="s">
        <v>969</v>
      </c>
      <c r="F284">
        <v>1</v>
      </c>
      <c r="G284" t="s">
        <v>1078</v>
      </c>
      <c r="H284" t="s">
        <v>558</v>
      </c>
      <c r="I284" t="s">
        <v>486</v>
      </c>
      <c r="J284"/>
      <c r="K284"/>
      <c r="L284"/>
      <c r="M284" t="s">
        <v>850</v>
      </c>
      <c r="N284" t="s">
        <v>970</v>
      </c>
      <c r="O284"/>
      <c r="P284"/>
      <c r="Q284" t="s">
        <v>522</v>
      </c>
      <c r="R284" t="s">
        <v>806</v>
      </c>
      <c r="S284" t="s">
        <v>794</v>
      </c>
      <c r="T284">
        <v>34.92</v>
      </c>
      <c r="U284">
        <v>0</v>
      </c>
      <c r="V284"/>
      <c r="W284"/>
      <c r="X284"/>
      <c r="Y284"/>
      <c r="Z284"/>
      <c r="AA284">
        <v>100000</v>
      </c>
      <c r="AB284">
        <v>100000</v>
      </c>
      <c r="AC284"/>
      <c r="AD284">
        <v>0</v>
      </c>
      <c r="AE284">
        <v>28</v>
      </c>
      <c r="AF284"/>
      <c r="AG284"/>
      <c r="AH284"/>
      <c r="AI284"/>
      <c r="AJ284"/>
      <c r="AK284"/>
      <c r="AL284"/>
      <c r="AM284"/>
      <c r="AN284">
        <v>28</v>
      </c>
      <c r="AO284">
        <v>280</v>
      </c>
      <c r="AP284"/>
      <c r="AQ284">
        <v>280</v>
      </c>
      <c r="AR284">
        <v>0</v>
      </c>
      <c r="AS284">
        <v>0</v>
      </c>
      <c r="AT284"/>
      <c r="AU284"/>
      <c r="AV284"/>
      <c r="AW284"/>
      <c r="AX284">
        <v>0</v>
      </c>
      <c r="AY284"/>
      <c r="AZ284"/>
      <c r="BA284"/>
      <c r="BB284"/>
      <c r="BC284">
        <v>36.4</v>
      </c>
      <c r="BD284"/>
      <c r="BE284"/>
      <c r="BF284"/>
      <c r="BG284"/>
      <c r="BH284"/>
      <c r="BI284">
        <v>0.15</v>
      </c>
      <c r="BJ284"/>
      <c r="BK284">
        <v>0.3</v>
      </c>
      <c r="BL284">
        <v>0.15</v>
      </c>
      <c r="BM284">
        <v>4.2</v>
      </c>
    </row>
    <row r="285" spans="1:65" hidden="1">
      <c r="A285">
        <v>284</v>
      </c>
      <c r="B285" t="s">
        <v>271</v>
      </c>
      <c r="C285" t="s">
        <v>971</v>
      </c>
      <c r="D285">
        <v>1</v>
      </c>
      <c r="E285" t="s">
        <v>339</v>
      </c>
      <c r="F285">
        <v>1</v>
      </c>
      <c r="G285" t="s">
        <v>1078</v>
      </c>
      <c r="H285" t="s">
        <v>558</v>
      </c>
      <c r="I285" t="s">
        <v>468</v>
      </c>
      <c r="J285"/>
      <c r="K285"/>
      <c r="L285"/>
      <c r="M285" t="s">
        <v>850</v>
      </c>
      <c r="N285" t="s">
        <v>860</v>
      </c>
      <c r="O285"/>
      <c r="P285"/>
      <c r="Q285" t="s">
        <v>972</v>
      </c>
      <c r="R285" t="s">
        <v>973</v>
      </c>
      <c r="S285" t="s">
        <v>794</v>
      </c>
      <c r="T285">
        <v>130.93</v>
      </c>
      <c r="U285">
        <v>1</v>
      </c>
      <c r="V285"/>
      <c r="W285"/>
      <c r="X285"/>
      <c r="Y285"/>
      <c r="Z285"/>
      <c r="AA285">
        <v>107639</v>
      </c>
      <c r="AB285">
        <v>107639</v>
      </c>
      <c r="AC285"/>
      <c r="AD285">
        <v>20</v>
      </c>
      <c r="AE285">
        <v>45</v>
      </c>
      <c r="AF285"/>
      <c r="AG285"/>
      <c r="AH285"/>
      <c r="AI285"/>
      <c r="AJ285"/>
      <c r="AK285"/>
      <c r="AL285"/>
      <c r="AM285"/>
      <c r="AN285">
        <v>65</v>
      </c>
      <c r="AO285">
        <v>603.87034439000001</v>
      </c>
      <c r="AP285"/>
      <c r="AQ285">
        <v>418.06408457999999</v>
      </c>
      <c r="AR285">
        <v>0</v>
      </c>
      <c r="AS285">
        <v>0</v>
      </c>
      <c r="AT285"/>
      <c r="AU285"/>
      <c r="AV285"/>
      <c r="AW285"/>
      <c r="AX285">
        <v>0</v>
      </c>
      <c r="AY285"/>
      <c r="AZ285"/>
      <c r="BA285"/>
      <c r="BB285"/>
      <c r="BC285">
        <v>130.93</v>
      </c>
      <c r="BD285"/>
      <c r="BE285"/>
      <c r="BF285"/>
      <c r="BG285"/>
      <c r="BH285"/>
      <c r="BI285">
        <v>0.1</v>
      </c>
      <c r="BJ285"/>
      <c r="BK285">
        <v>1.0143076900000001</v>
      </c>
      <c r="BL285">
        <v>0.91430769000000001</v>
      </c>
      <c r="BM285">
        <v>59.43</v>
      </c>
    </row>
    <row r="286" spans="1:65" hidden="1">
      <c r="A286">
        <v>285</v>
      </c>
      <c r="B286" t="s">
        <v>268</v>
      </c>
      <c r="C286" t="s">
        <v>974</v>
      </c>
      <c r="D286">
        <v>1</v>
      </c>
      <c r="E286" t="s">
        <v>518</v>
      </c>
      <c r="F286">
        <v>1</v>
      </c>
      <c r="G286" t="s">
        <v>975</v>
      </c>
      <c r="H286" t="s">
        <v>558</v>
      </c>
      <c r="I286" t="s">
        <v>486</v>
      </c>
      <c r="J286"/>
      <c r="K286"/>
      <c r="L286"/>
      <c r="M286" t="s">
        <v>850</v>
      </c>
      <c r="N286" t="s">
        <v>860</v>
      </c>
      <c r="O286"/>
      <c r="P286"/>
      <c r="Q286" t="s">
        <v>633</v>
      </c>
      <c r="R286" t="s">
        <v>490</v>
      </c>
      <c r="S286"/>
      <c r="T286"/>
      <c r="U286">
        <v>0</v>
      </c>
      <c r="V286"/>
      <c r="W286">
        <v>458322.55644000001</v>
      </c>
      <c r="X286"/>
      <c r="Y286"/>
      <c r="Z286"/>
      <c r="AA286">
        <v>458322.55644000001</v>
      </c>
      <c r="AB286">
        <v>458322.55644000001</v>
      </c>
      <c r="AC286"/>
      <c r="AD286">
        <v>110</v>
      </c>
      <c r="AE286">
        <v>119.3</v>
      </c>
      <c r="AF286"/>
      <c r="AG286"/>
      <c r="AH286"/>
      <c r="AI286"/>
      <c r="AJ286"/>
      <c r="AK286"/>
      <c r="AL286"/>
      <c r="AM286"/>
      <c r="AN286">
        <v>229.3</v>
      </c>
      <c r="AO286">
        <v>500.30267282</v>
      </c>
      <c r="AP286"/>
      <c r="AQ286">
        <v>260.29702951000002</v>
      </c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</row>
    <row r="287" spans="1:65" hidden="1">
      <c r="A287">
        <v>286</v>
      </c>
      <c r="B287" t="s">
        <v>271</v>
      </c>
      <c r="C287" t="s">
        <v>976</v>
      </c>
      <c r="D287">
        <v>1</v>
      </c>
      <c r="E287" t="s">
        <v>130</v>
      </c>
      <c r="F287">
        <v>1</v>
      </c>
      <c r="G287" t="s">
        <v>1078</v>
      </c>
      <c r="H287" t="s">
        <v>558</v>
      </c>
      <c r="I287" t="s">
        <v>481</v>
      </c>
      <c r="J287"/>
      <c r="K287"/>
      <c r="L287"/>
      <c r="M287" t="s">
        <v>850</v>
      </c>
      <c r="N287" t="s">
        <v>860</v>
      </c>
      <c r="O287"/>
      <c r="P287"/>
      <c r="Q287" t="s">
        <v>751</v>
      </c>
      <c r="R287" t="s">
        <v>923</v>
      </c>
      <c r="S287"/>
      <c r="T287"/>
      <c r="U287">
        <v>0</v>
      </c>
      <c r="V287"/>
      <c r="W287"/>
      <c r="X287"/>
      <c r="Y287"/>
      <c r="Z287"/>
      <c r="AA287">
        <v>215278</v>
      </c>
      <c r="AB287">
        <v>215278</v>
      </c>
      <c r="AC287"/>
      <c r="AD287">
        <v>10</v>
      </c>
      <c r="AE287">
        <v>80</v>
      </c>
      <c r="AF287"/>
      <c r="AG287"/>
      <c r="AH287"/>
      <c r="AI287"/>
      <c r="AJ287"/>
      <c r="AK287"/>
      <c r="AL287"/>
      <c r="AM287"/>
      <c r="AN287">
        <v>90</v>
      </c>
      <c r="AO287">
        <v>418.06408457999999</v>
      </c>
      <c r="AP287"/>
      <c r="AQ287">
        <v>371.61251963000001</v>
      </c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</row>
    <row r="288" spans="1:65" hidden="1">
      <c r="A288">
        <v>287</v>
      </c>
      <c r="B288" t="s">
        <v>271</v>
      </c>
      <c r="C288" t="s">
        <v>977</v>
      </c>
      <c r="D288">
        <v>1</v>
      </c>
      <c r="E288" t="s">
        <v>518</v>
      </c>
      <c r="F288">
        <v>1</v>
      </c>
      <c r="G288" t="s">
        <v>1078</v>
      </c>
      <c r="H288" t="s">
        <v>558</v>
      </c>
      <c r="I288" t="s">
        <v>468</v>
      </c>
      <c r="J288"/>
      <c r="K288"/>
      <c r="L288"/>
      <c r="M288" t="s">
        <v>850</v>
      </c>
      <c r="N288" t="s">
        <v>858</v>
      </c>
      <c r="O288"/>
      <c r="P288"/>
      <c r="Q288" t="s">
        <v>614</v>
      </c>
      <c r="R288" t="s">
        <v>923</v>
      </c>
      <c r="S288" t="s">
        <v>794</v>
      </c>
      <c r="T288">
        <v>20.100000000000001</v>
      </c>
      <c r="U288">
        <v>0</v>
      </c>
      <c r="V288"/>
      <c r="W288"/>
      <c r="X288"/>
      <c r="Y288"/>
      <c r="Z288"/>
      <c r="AA288">
        <v>723334.08</v>
      </c>
      <c r="AB288">
        <v>723334.08</v>
      </c>
      <c r="AC288"/>
      <c r="AD288">
        <v>80</v>
      </c>
      <c r="AE288">
        <v>250</v>
      </c>
      <c r="AF288"/>
      <c r="AG288"/>
      <c r="AH288"/>
      <c r="AI288"/>
      <c r="AJ288"/>
      <c r="AK288"/>
      <c r="AL288"/>
      <c r="AM288"/>
      <c r="AN288">
        <v>330</v>
      </c>
      <c r="AO288">
        <v>456.22072722000001</v>
      </c>
      <c r="AP288"/>
      <c r="AQ288">
        <v>345.62176304000002</v>
      </c>
      <c r="AR288"/>
      <c r="AS288"/>
      <c r="AT288"/>
      <c r="AU288"/>
      <c r="AV288"/>
      <c r="AW288"/>
      <c r="AX288"/>
      <c r="AY288"/>
      <c r="AZ288"/>
      <c r="BA288"/>
      <c r="BB288"/>
      <c r="BC288">
        <v>379.5</v>
      </c>
      <c r="BD288"/>
      <c r="BE288"/>
      <c r="BF288"/>
      <c r="BG288"/>
      <c r="BH288"/>
      <c r="BI288">
        <v>0.1</v>
      </c>
      <c r="BJ288"/>
      <c r="BK288">
        <v>0.15</v>
      </c>
      <c r="BL288">
        <v>0.05</v>
      </c>
      <c r="BM288">
        <v>16.5</v>
      </c>
    </row>
    <row r="289" spans="1:65" hidden="1">
      <c r="A289">
        <v>288</v>
      </c>
      <c r="B289" t="s">
        <v>271</v>
      </c>
      <c r="C289" t="s">
        <v>978</v>
      </c>
      <c r="D289">
        <v>1</v>
      </c>
      <c r="E289" t="s">
        <v>518</v>
      </c>
      <c r="F289">
        <v>1</v>
      </c>
      <c r="G289" t="s">
        <v>1078</v>
      </c>
      <c r="H289" t="s">
        <v>558</v>
      </c>
      <c r="I289" t="s">
        <v>486</v>
      </c>
      <c r="J289"/>
      <c r="K289"/>
      <c r="L289"/>
      <c r="M289" t="s">
        <v>850</v>
      </c>
      <c r="N289" t="s">
        <v>854</v>
      </c>
      <c r="O289"/>
      <c r="P289"/>
      <c r="Q289" t="s">
        <v>633</v>
      </c>
      <c r="R289" t="s">
        <v>1090</v>
      </c>
      <c r="S289"/>
      <c r="T289"/>
      <c r="U289">
        <v>0</v>
      </c>
      <c r="V289"/>
      <c r="W289"/>
      <c r="X289"/>
      <c r="Y289"/>
      <c r="Z289"/>
      <c r="AA289">
        <v>376736.5</v>
      </c>
      <c r="AB289">
        <v>376736.5</v>
      </c>
      <c r="AC289"/>
      <c r="AD289">
        <v>20</v>
      </c>
      <c r="AE289">
        <v>80</v>
      </c>
      <c r="AF289"/>
      <c r="AG289"/>
      <c r="AH289"/>
      <c r="AI289"/>
      <c r="AJ289"/>
      <c r="AK289"/>
      <c r="AL289"/>
      <c r="AM289"/>
      <c r="AN289">
        <v>100</v>
      </c>
      <c r="AO289">
        <v>265.43751401999998</v>
      </c>
      <c r="AP289"/>
      <c r="AQ289">
        <v>212.35001120999999</v>
      </c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</row>
    <row r="290" spans="1:65" hidden="1">
      <c r="A290">
        <v>289</v>
      </c>
      <c r="B290" t="s">
        <v>306</v>
      </c>
      <c r="C290" t="s">
        <v>980</v>
      </c>
      <c r="D290">
        <v>1</v>
      </c>
      <c r="E290" t="s">
        <v>775</v>
      </c>
      <c r="F290">
        <v>1</v>
      </c>
      <c r="G290" t="s">
        <v>1011</v>
      </c>
      <c r="H290" t="s">
        <v>558</v>
      </c>
      <c r="I290" t="s">
        <v>468</v>
      </c>
      <c r="J290"/>
      <c r="K290"/>
      <c r="L290"/>
      <c r="M290" t="s">
        <v>108</v>
      </c>
      <c r="N290" t="s">
        <v>785</v>
      </c>
      <c r="O290"/>
      <c r="P290"/>
      <c r="Q290" t="s">
        <v>740</v>
      </c>
      <c r="R290" t="s">
        <v>818</v>
      </c>
      <c r="S290" t="s">
        <v>794</v>
      </c>
      <c r="T290">
        <v>13</v>
      </c>
      <c r="U290">
        <v>0</v>
      </c>
      <c r="V290"/>
      <c r="W290"/>
      <c r="X290"/>
      <c r="Y290"/>
      <c r="Z290"/>
      <c r="AA290">
        <v>146020</v>
      </c>
      <c r="AB290">
        <v>146020</v>
      </c>
      <c r="AC290">
        <v>1043</v>
      </c>
      <c r="AD290">
        <v>20.86</v>
      </c>
      <c r="AE290">
        <v>49.14</v>
      </c>
      <c r="AF290"/>
      <c r="AG290"/>
      <c r="AH290"/>
      <c r="AI290">
        <v>0</v>
      </c>
      <c r="AJ290"/>
      <c r="AK290"/>
      <c r="AL290">
        <v>0</v>
      </c>
      <c r="AM290"/>
      <c r="AN290">
        <v>70</v>
      </c>
      <c r="AO290">
        <v>479.38638543000002</v>
      </c>
      <c r="AP290">
        <v>142.85714286000001</v>
      </c>
      <c r="AQ290">
        <v>336.52924257000001</v>
      </c>
      <c r="AR290">
        <v>38.350910829999997</v>
      </c>
      <c r="AS290"/>
      <c r="AT290">
        <v>5.6</v>
      </c>
      <c r="AU290"/>
      <c r="AV290"/>
      <c r="AW290"/>
      <c r="AX290">
        <v>0.08</v>
      </c>
      <c r="AY290"/>
      <c r="AZ290">
        <v>5.8608059999999997E-2</v>
      </c>
      <c r="BA290">
        <v>5.8608059999999997E-2</v>
      </c>
      <c r="BB290">
        <v>618.78242657999999</v>
      </c>
      <c r="BC290">
        <v>91</v>
      </c>
      <c r="BD290">
        <v>95.55</v>
      </c>
      <c r="BE290"/>
      <c r="BF290"/>
      <c r="BG290"/>
      <c r="BH290"/>
      <c r="BI290">
        <v>0.2</v>
      </c>
      <c r="BJ290"/>
      <c r="BK290">
        <v>0.29078014000000002</v>
      </c>
      <c r="BL290">
        <v>9.0780139999999995E-2</v>
      </c>
      <c r="BM290">
        <v>6.3546099299999996</v>
      </c>
    </row>
    <row r="291" spans="1:65" hidden="1">
      <c r="A291">
        <v>290</v>
      </c>
      <c r="B291" t="s">
        <v>3</v>
      </c>
      <c r="C291" t="s">
        <v>981</v>
      </c>
      <c r="D291">
        <v>1</v>
      </c>
      <c r="E291" t="s">
        <v>131</v>
      </c>
      <c r="F291">
        <v>1</v>
      </c>
      <c r="G291" t="s">
        <v>982</v>
      </c>
      <c r="H291" t="s">
        <v>558</v>
      </c>
      <c r="I291" t="s">
        <v>486</v>
      </c>
      <c r="J291"/>
      <c r="K291"/>
      <c r="L291"/>
      <c r="M291" t="s">
        <v>108</v>
      </c>
      <c r="N291" t="s">
        <v>108</v>
      </c>
      <c r="O291"/>
      <c r="P291"/>
      <c r="Q291" t="s">
        <v>519</v>
      </c>
      <c r="R291" t="s">
        <v>923</v>
      </c>
      <c r="S291"/>
      <c r="T291"/>
      <c r="U291">
        <v>0</v>
      </c>
      <c r="V291"/>
      <c r="W291"/>
      <c r="X291"/>
      <c r="Y291"/>
      <c r="Z291"/>
      <c r="AA291">
        <v>52000</v>
      </c>
      <c r="AB291">
        <v>52000</v>
      </c>
      <c r="AC291"/>
      <c r="AD291"/>
      <c r="AE291"/>
      <c r="AF291"/>
      <c r="AG291"/>
      <c r="AH291"/>
      <c r="AI291"/>
      <c r="AJ291"/>
      <c r="AK291"/>
      <c r="AL291"/>
      <c r="AM291"/>
      <c r="AN291">
        <v>26</v>
      </c>
      <c r="AO291">
        <v>500</v>
      </c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</row>
    <row r="292" spans="1:65" hidden="1">
      <c r="A292">
        <v>291</v>
      </c>
      <c r="B292" t="s">
        <v>3</v>
      </c>
      <c r="C292" t="s">
        <v>983</v>
      </c>
      <c r="D292">
        <v>0.75</v>
      </c>
      <c r="E292" t="s">
        <v>131</v>
      </c>
      <c r="F292">
        <v>1</v>
      </c>
      <c r="G292" t="s">
        <v>982</v>
      </c>
      <c r="H292" t="s">
        <v>558</v>
      </c>
      <c r="I292" t="s">
        <v>486</v>
      </c>
      <c r="J292"/>
      <c r="K292"/>
      <c r="L292"/>
      <c r="M292" t="s">
        <v>108</v>
      </c>
      <c r="N292" t="s">
        <v>108</v>
      </c>
      <c r="O292"/>
      <c r="P292"/>
      <c r="Q292" t="s">
        <v>519</v>
      </c>
      <c r="R292" t="s">
        <v>923</v>
      </c>
      <c r="S292"/>
      <c r="T292"/>
      <c r="U292">
        <v>0</v>
      </c>
      <c r="V292"/>
      <c r="W292"/>
      <c r="X292"/>
      <c r="Y292"/>
      <c r="Z292"/>
      <c r="AA292">
        <v>60000</v>
      </c>
      <c r="AB292">
        <v>45000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</row>
    <row r="293" spans="1:65" hidden="1">
      <c r="A293">
        <v>292</v>
      </c>
      <c r="B293" t="s">
        <v>303</v>
      </c>
      <c r="C293" t="s">
        <v>984</v>
      </c>
      <c r="D293">
        <v>1</v>
      </c>
      <c r="E293" t="s">
        <v>304</v>
      </c>
      <c r="F293">
        <v>1</v>
      </c>
      <c r="G293" t="s">
        <v>1073</v>
      </c>
      <c r="H293" t="s">
        <v>558</v>
      </c>
      <c r="I293" t="s">
        <v>468</v>
      </c>
      <c r="J293"/>
      <c r="K293"/>
      <c r="L293"/>
      <c r="M293" t="s">
        <v>108</v>
      </c>
      <c r="N293" t="s">
        <v>1091</v>
      </c>
      <c r="O293"/>
      <c r="P293"/>
      <c r="Q293" t="s">
        <v>614</v>
      </c>
      <c r="R293" t="s">
        <v>818</v>
      </c>
      <c r="S293"/>
      <c r="T293"/>
      <c r="U293">
        <v>0</v>
      </c>
      <c r="V293"/>
      <c r="W293"/>
      <c r="X293">
        <v>96300</v>
      </c>
      <c r="Y293"/>
      <c r="Z293"/>
      <c r="AA293">
        <v>96300</v>
      </c>
      <c r="AB293">
        <v>96300</v>
      </c>
      <c r="AC293">
        <v>107</v>
      </c>
      <c r="AD293">
        <v>2</v>
      </c>
      <c r="AE293">
        <v>20</v>
      </c>
      <c r="AF293"/>
      <c r="AG293"/>
      <c r="AH293"/>
      <c r="AI293"/>
      <c r="AJ293"/>
      <c r="AK293"/>
      <c r="AL293"/>
      <c r="AM293"/>
      <c r="AN293">
        <v>22</v>
      </c>
      <c r="AO293">
        <v>228.45275182</v>
      </c>
      <c r="AP293">
        <v>20.768431979999999</v>
      </c>
      <c r="AQ293">
        <v>207.68431982999999</v>
      </c>
      <c r="AR293"/>
      <c r="AS293"/>
      <c r="AT293">
        <v>1.3911007</v>
      </c>
      <c r="AU293"/>
      <c r="AV293"/>
      <c r="AW293"/>
      <c r="AX293">
        <v>6.7500000000000004E-2</v>
      </c>
      <c r="AY293"/>
      <c r="AZ293">
        <v>5.0594680000000003E-2</v>
      </c>
      <c r="BA293"/>
      <c r="BB293">
        <v>269.98961578000001</v>
      </c>
      <c r="BC293">
        <v>26</v>
      </c>
      <c r="BD293"/>
      <c r="BE293"/>
      <c r="BF293"/>
      <c r="BG293"/>
      <c r="BH293"/>
      <c r="BI293">
        <v>0.15</v>
      </c>
      <c r="BJ293"/>
      <c r="BK293">
        <v>0.18181818</v>
      </c>
      <c r="BL293">
        <v>3.1818180000000001E-2</v>
      </c>
      <c r="BM293">
        <v>0.7</v>
      </c>
    </row>
    <row r="294" spans="1:65" hidden="1">
      <c r="A294">
        <v>293</v>
      </c>
      <c r="B294" t="s">
        <v>303</v>
      </c>
      <c r="C294" t="s">
        <v>986</v>
      </c>
      <c r="D294">
        <v>1</v>
      </c>
      <c r="E294" t="s">
        <v>304</v>
      </c>
      <c r="F294">
        <v>1</v>
      </c>
      <c r="G294" t="s">
        <v>1073</v>
      </c>
      <c r="H294" t="s">
        <v>558</v>
      </c>
      <c r="I294" t="s">
        <v>468</v>
      </c>
      <c r="J294"/>
      <c r="K294"/>
      <c r="L294"/>
      <c r="M294" t="s">
        <v>108</v>
      </c>
      <c r="N294" t="s">
        <v>1092</v>
      </c>
      <c r="O294"/>
      <c r="P294"/>
      <c r="Q294" t="s">
        <v>794</v>
      </c>
      <c r="R294" t="s">
        <v>818</v>
      </c>
      <c r="S294"/>
      <c r="T294"/>
      <c r="U294">
        <v>0</v>
      </c>
      <c r="V294"/>
      <c r="W294"/>
      <c r="X294">
        <v>552600</v>
      </c>
      <c r="Y294"/>
      <c r="Z294"/>
      <c r="AA294">
        <v>552600</v>
      </c>
      <c r="AB294">
        <v>552600</v>
      </c>
      <c r="AC294">
        <v>614</v>
      </c>
      <c r="AD294">
        <v>25</v>
      </c>
      <c r="AE294">
        <v>75</v>
      </c>
      <c r="AF294"/>
      <c r="AG294"/>
      <c r="AH294"/>
      <c r="AI294"/>
      <c r="AJ294"/>
      <c r="AK294"/>
      <c r="AL294"/>
      <c r="AM294"/>
      <c r="AN294">
        <v>100</v>
      </c>
      <c r="AO294">
        <v>180.96272167999999</v>
      </c>
      <c r="AP294">
        <v>45.240680419999997</v>
      </c>
      <c r="AQ294">
        <v>135.72204126</v>
      </c>
      <c r="AR294"/>
      <c r="AS294"/>
      <c r="AT294">
        <v>7.4941452000000002</v>
      </c>
      <c r="AU294"/>
      <c r="AV294"/>
      <c r="AW294"/>
      <c r="AX294">
        <v>0.08</v>
      </c>
      <c r="AY294"/>
      <c r="AZ294">
        <v>6.749202E-2</v>
      </c>
      <c r="BA294"/>
      <c r="BB294">
        <v>190.01085775999999</v>
      </c>
      <c r="BC294">
        <v>105</v>
      </c>
      <c r="BD294"/>
      <c r="BE294"/>
      <c r="BF294"/>
      <c r="BG294"/>
      <c r="BH294"/>
      <c r="BI294">
        <v>0.05</v>
      </c>
      <c r="BJ294"/>
      <c r="BK294">
        <v>0.05</v>
      </c>
      <c r="BL294">
        <v>0</v>
      </c>
      <c r="BM294">
        <v>0</v>
      </c>
    </row>
    <row r="295" spans="1:65" hidden="1">
      <c r="A295">
        <v>296</v>
      </c>
      <c r="B295" t="s">
        <v>303</v>
      </c>
      <c r="C295" t="s">
        <v>987</v>
      </c>
      <c r="D295">
        <v>1</v>
      </c>
      <c r="E295" t="s">
        <v>304</v>
      </c>
      <c r="F295">
        <v>1</v>
      </c>
      <c r="G295" t="s">
        <v>985</v>
      </c>
      <c r="H295" t="s">
        <v>558</v>
      </c>
      <c r="I295" t="s">
        <v>486</v>
      </c>
      <c r="J295"/>
      <c r="K295"/>
      <c r="L295"/>
      <c r="M295" t="s">
        <v>108</v>
      </c>
      <c r="N295" t="s">
        <v>1093</v>
      </c>
      <c r="O295"/>
      <c r="P295"/>
      <c r="Q295" t="s">
        <v>633</v>
      </c>
      <c r="R295" t="s">
        <v>490</v>
      </c>
      <c r="S295"/>
      <c r="T295"/>
      <c r="U295">
        <v>0</v>
      </c>
      <c r="V295"/>
      <c r="W295"/>
      <c r="X295">
        <v>208800</v>
      </c>
      <c r="Y295"/>
      <c r="Z295"/>
      <c r="AA295">
        <v>232000</v>
      </c>
      <c r="AB295">
        <v>232000</v>
      </c>
      <c r="AC295">
        <v>232</v>
      </c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</row>
    <row r="296" spans="1:65" hidden="1">
      <c r="A296">
        <v>297</v>
      </c>
      <c r="B296" t="s">
        <v>303</v>
      </c>
      <c r="C296" t="s">
        <v>652</v>
      </c>
      <c r="D296">
        <v>1</v>
      </c>
      <c r="E296" t="s">
        <v>304</v>
      </c>
      <c r="F296">
        <v>1</v>
      </c>
      <c r="G296" t="s">
        <v>985</v>
      </c>
      <c r="H296" t="s">
        <v>558</v>
      </c>
      <c r="I296" t="s">
        <v>486</v>
      </c>
      <c r="J296"/>
      <c r="K296"/>
      <c r="L296"/>
      <c r="M296" t="s">
        <v>108</v>
      </c>
      <c r="N296" t="s">
        <v>544</v>
      </c>
      <c r="O296"/>
      <c r="P296"/>
      <c r="Q296" t="s">
        <v>633</v>
      </c>
      <c r="R296" t="s">
        <v>490</v>
      </c>
      <c r="S296"/>
      <c r="T296"/>
      <c r="U296">
        <v>0</v>
      </c>
      <c r="V296"/>
      <c r="W296"/>
      <c r="X296"/>
      <c r="Y296"/>
      <c r="Z296"/>
      <c r="AA296">
        <v>200000</v>
      </c>
      <c r="AB296">
        <v>200000</v>
      </c>
      <c r="AC296">
        <v>200</v>
      </c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</row>
    <row r="297" spans="1:65" hidden="1">
      <c r="A297">
        <v>298</v>
      </c>
      <c r="B297" t="s">
        <v>277</v>
      </c>
      <c r="C297" t="s">
        <v>680</v>
      </c>
      <c r="D297">
        <v>1</v>
      </c>
      <c r="E297" t="s">
        <v>676</v>
      </c>
      <c r="F297">
        <v>1</v>
      </c>
      <c r="G297" t="s">
        <v>470</v>
      </c>
      <c r="H297" t="s">
        <v>558</v>
      </c>
      <c r="I297" t="s">
        <v>433</v>
      </c>
      <c r="J297"/>
      <c r="K297"/>
      <c r="L297"/>
      <c r="M297" t="s">
        <v>108</v>
      </c>
      <c r="N297" t="s">
        <v>680</v>
      </c>
      <c r="O297"/>
      <c r="P297"/>
      <c r="Q297" t="s">
        <v>477</v>
      </c>
      <c r="R297" t="s">
        <v>878</v>
      </c>
      <c r="S297"/>
      <c r="T297"/>
      <c r="U297">
        <v>1</v>
      </c>
      <c r="V297">
        <v>356000</v>
      </c>
      <c r="W297"/>
      <c r="X297"/>
      <c r="Y297"/>
      <c r="Z297"/>
      <c r="AA297">
        <v>356000</v>
      </c>
      <c r="AB297">
        <v>356000</v>
      </c>
      <c r="AC297"/>
      <c r="AD297"/>
      <c r="AE297">
        <v>30</v>
      </c>
      <c r="AF297"/>
      <c r="AG297"/>
      <c r="AH297"/>
      <c r="AI297"/>
      <c r="AJ297"/>
      <c r="AK297"/>
      <c r="AL297"/>
      <c r="AM297"/>
      <c r="AN297">
        <v>30</v>
      </c>
      <c r="AO297">
        <v>84.269662920000002</v>
      </c>
      <c r="AP297"/>
      <c r="AQ297">
        <v>84.269662920000002</v>
      </c>
      <c r="AR297">
        <v>5.8988763999999998</v>
      </c>
      <c r="AS297">
        <v>5.8988763999999998</v>
      </c>
      <c r="AT297">
        <v>2.1</v>
      </c>
      <c r="AU297"/>
      <c r="AV297"/>
      <c r="AW297"/>
      <c r="AX297">
        <v>7.0000000000000007E-2</v>
      </c>
      <c r="AY297"/>
      <c r="AZ297">
        <v>6.0999999999999999E-2</v>
      </c>
      <c r="BA297"/>
      <c r="BB297">
        <v>151.68539326000001</v>
      </c>
      <c r="BC297">
        <v>54</v>
      </c>
      <c r="BD297"/>
      <c r="BE297"/>
      <c r="BF297"/>
      <c r="BG297"/>
      <c r="BH297"/>
      <c r="BI297">
        <v>0.1</v>
      </c>
      <c r="BJ297"/>
      <c r="BK297">
        <v>0.8</v>
      </c>
      <c r="BL297"/>
      <c r="BM297"/>
    </row>
    <row r="298" spans="1:65" hidden="1">
      <c r="A298">
        <v>299</v>
      </c>
      <c r="B298" t="s">
        <v>277</v>
      </c>
      <c r="C298" t="s">
        <v>988</v>
      </c>
      <c r="D298">
        <v>1</v>
      </c>
      <c r="E298" t="s">
        <v>131</v>
      </c>
      <c r="F298">
        <v>1</v>
      </c>
      <c r="G298" t="s">
        <v>470</v>
      </c>
      <c r="H298" t="s">
        <v>558</v>
      </c>
      <c r="I298" t="s">
        <v>433</v>
      </c>
      <c r="J298"/>
      <c r="K298"/>
      <c r="L298"/>
      <c r="M298" t="s">
        <v>108</v>
      </c>
      <c r="N298" t="s">
        <v>915</v>
      </c>
      <c r="O298"/>
      <c r="P298"/>
      <c r="Q298" t="s">
        <v>566</v>
      </c>
      <c r="R298" t="s">
        <v>882</v>
      </c>
      <c r="S298"/>
      <c r="T298"/>
      <c r="U298">
        <v>1</v>
      </c>
      <c r="V298">
        <v>19000</v>
      </c>
      <c r="W298"/>
      <c r="X298"/>
      <c r="Y298"/>
      <c r="Z298"/>
      <c r="AA298">
        <v>19000</v>
      </c>
      <c r="AB298">
        <v>19000</v>
      </c>
      <c r="AC298"/>
      <c r="AD298"/>
      <c r="AE298">
        <v>5</v>
      </c>
      <c r="AF298"/>
      <c r="AG298"/>
      <c r="AH298"/>
      <c r="AI298"/>
      <c r="AJ298"/>
      <c r="AK298"/>
      <c r="AL298"/>
      <c r="AM298"/>
      <c r="AN298">
        <v>5</v>
      </c>
      <c r="AO298">
        <v>263.15789474000002</v>
      </c>
      <c r="AP298"/>
      <c r="AQ298">
        <v>263.15789474000002</v>
      </c>
      <c r="AR298">
        <v>15</v>
      </c>
      <c r="AS298">
        <v>15</v>
      </c>
      <c r="AT298">
        <v>0.28499999999999998</v>
      </c>
      <c r="AU298"/>
      <c r="AV298"/>
      <c r="AW298"/>
      <c r="AX298">
        <v>5.7000000000000002E-2</v>
      </c>
      <c r="AY298"/>
      <c r="AZ298">
        <v>5.0999999999999997E-2</v>
      </c>
      <c r="BA298"/>
      <c r="BB298">
        <v>278.12543456999998</v>
      </c>
      <c r="BC298">
        <v>5.2843832600000002</v>
      </c>
      <c r="BD298"/>
      <c r="BE298"/>
      <c r="BF298"/>
      <c r="BG298"/>
      <c r="BH298"/>
      <c r="BI298">
        <v>0.1</v>
      </c>
      <c r="BJ298"/>
      <c r="BK298">
        <v>5.6876650000000001E-2</v>
      </c>
      <c r="BL298"/>
      <c r="BM298"/>
    </row>
    <row r="299" spans="1:65" hidden="1">
      <c r="A299">
        <v>300</v>
      </c>
      <c r="B299" t="s">
        <v>309</v>
      </c>
      <c r="C299" t="s">
        <v>1027</v>
      </c>
      <c r="D299">
        <v>1</v>
      </c>
      <c r="E299" t="s">
        <v>130</v>
      </c>
      <c r="F299">
        <v>1</v>
      </c>
      <c r="G299" t="s">
        <v>1070</v>
      </c>
      <c r="H299" t="s">
        <v>558</v>
      </c>
      <c r="I299" t="s">
        <v>433</v>
      </c>
      <c r="J299"/>
      <c r="K299"/>
      <c r="L299"/>
      <c r="M299" t="s">
        <v>108</v>
      </c>
      <c r="N299" t="s">
        <v>544</v>
      </c>
      <c r="O299"/>
      <c r="P299"/>
      <c r="Q299" t="s">
        <v>794</v>
      </c>
      <c r="R299" t="s">
        <v>740</v>
      </c>
      <c r="S299"/>
      <c r="T299"/>
      <c r="U299">
        <v>0</v>
      </c>
      <c r="V299"/>
      <c r="W299">
        <v>123272</v>
      </c>
      <c r="X299"/>
      <c r="Y299"/>
      <c r="Z299"/>
      <c r="AA299">
        <v>123272</v>
      </c>
      <c r="AB299">
        <v>123272</v>
      </c>
      <c r="AC299">
        <v>350</v>
      </c>
      <c r="AD299">
        <v>86</v>
      </c>
      <c r="AE299">
        <v>5</v>
      </c>
      <c r="AF299"/>
      <c r="AG299"/>
      <c r="AH299"/>
      <c r="AI299"/>
      <c r="AJ299"/>
      <c r="AK299"/>
      <c r="AL299"/>
      <c r="AM299"/>
      <c r="AN299">
        <v>91</v>
      </c>
      <c r="AO299">
        <v>738.20494515999997</v>
      </c>
      <c r="AP299">
        <v>697.64423389000001</v>
      </c>
      <c r="AQ299">
        <v>40.560711269999999</v>
      </c>
      <c r="AR299">
        <v>52</v>
      </c>
      <c r="AS299">
        <v>44.616782399999998</v>
      </c>
      <c r="AT299">
        <v>5.5</v>
      </c>
      <c r="AU299"/>
      <c r="AV299"/>
      <c r="AW299"/>
      <c r="AX299">
        <v>6.0439560000000003E-2</v>
      </c>
      <c r="AY299"/>
      <c r="AZ299">
        <v>5.7000000000000002E-2</v>
      </c>
      <c r="BA299"/>
      <c r="BB299">
        <v>740.18966280999996</v>
      </c>
      <c r="BC299">
        <v>96.491228070000005</v>
      </c>
      <c r="BD299"/>
      <c r="BE299"/>
      <c r="BF299"/>
      <c r="BG299"/>
      <c r="BH299"/>
      <c r="BI299">
        <v>0.15</v>
      </c>
      <c r="BJ299"/>
      <c r="BK299">
        <v>6.0343170000000002E-2</v>
      </c>
      <c r="BL299">
        <v>-8.9656830000000007E-2</v>
      </c>
      <c r="BM299">
        <v>-8.1587719300000003</v>
      </c>
    </row>
    <row r="300" spans="1:65" hidden="1">
      <c r="A300">
        <v>301</v>
      </c>
      <c r="B300" t="s">
        <v>309</v>
      </c>
      <c r="C300" t="s">
        <v>1028</v>
      </c>
      <c r="D300">
        <v>1</v>
      </c>
      <c r="E300" t="s">
        <v>130</v>
      </c>
      <c r="F300">
        <v>1</v>
      </c>
      <c r="G300" t="s">
        <v>1070</v>
      </c>
      <c r="H300" t="s">
        <v>558</v>
      </c>
      <c r="I300" t="s">
        <v>468</v>
      </c>
      <c r="J300"/>
      <c r="K300"/>
      <c r="L300"/>
      <c r="M300" t="s">
        <v>108</v>
      </c>
      <c r="N300" t="s">
        <v>544</v>
      </c>
      <c r="O300"/>
      <c r="P300"/>
      <c r="Q300" t="s">
        <v>855</v>
      </c>
      <c r="R300" t="s">
        <v>806</v>
      </c>
      <c r="S300"/>
      <c r="T300"/>
      <c r="U300">
        <v>0</v>
      </c>
      <c r="V300"/>
      <c r="W300">
        <v>67000</v>
      </c>
      <c r="X300"/>
      <c r="Y300"/>
      <c r="Z300"/>
      <c r="AA300">
        <v>67000</v>
      </c>
      <c r="AB300">
        <v>67000</v>
      </c>
      <c r="AC300">
        <v>350</v>
      </c>
      <c r="AD300"/>
      <c r="AE300">
        <v>20</v>
      </c>
      <c r="AF300"/>
      <c r="AG300"/>
      <c r="AH300"/>
      <c r="AI300"/>
      <c r="AJ300"/>
      <c r="AK300"/>
      <c r="AL300"/>
      <c r="AM300"/>
      <c r="AN300">
        <v>20</v>
      </c>
      <c r="AO300">
        <v>298.50746269000001</v>
      </c>
      <c r="AP300">
        <v>0</v>
      </c>
      <c r="AQ300">
        <v>298.50746269000001</v>
      </c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</row>
    <row r="301" spans="1:65" hidden="1">
      <c r="A301">
        <v>302</v>
      </c>
      <c r="B301" t="s">
        <v>127</v>
      </c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</row>
    <row r="302" spans="1:65" hidden="1">
      <c r="A302">
        <v>303</v>
      </c>
      <c r="B302" t="s">
        <v>306</v>
      </c>
      <c r="C302" t="s">
        <v>1029</v>
      </c>
      <c r="D302">
        <v>1</v>
      </c>
      <c r="E302" t="s">
        <v>775</v>
      </c>
      <c r="F302"/>
      <c r="G302" t="s">
        <v>1011</v>
      </c>
      <c r="H302" t="s">
        <v>558</v>
      </c>
      <c r="I302" t="s">
        <v>468</v>
      </c>
      <c r="J302"/>
      <c r="K302"/>
      <c r="L302"/>
      <c r="M302" t="s">
        <v>108</v>
      </c>
      <c r="N302" t="s">
        <v>776</v>
      </c>
      <c r="O302"/>
      <c r="P302"/>
      <c r="Q302" t="s">
        <v>855</v>
      </c>
      <c r="R302" t="s">
        <v>892</v>
      </c>
      <c r="S302" t="s">
        <v>794</v>
      </c>
      <c r="T302">
        <v>0</v>
      </c>
      <c r="U302">
        <v>0</v>
      </c>
      <c r="V302"/>
      <c r="W302"/>
      <c r="X302"/>
      <c r="Y302"/>
      <c r="Z302"/>
      <c r="AA302">
        <v>62440</v>
      </c>
      <c r="AB302">
        <v>62440</v>
      </c>
      <c r="AC302">
        <v>446</v>
      </c>
      <c r="AD302">
        <v>8.92</v>
      </c>
      <c r="AE302">
        <v>21.08</v>
      </c>
      <c r="AF302"/>
      <c r="AG302"/>
      <c r="AH302"/>
      <c r="AI302"/>
      <c r="AJ302"/>
      <c r="AK302"/>
      <c r="AL302"/>
      <c r="AM302"/>
      <c r="AN302">
        <v>30</v>
      </c>
      <c r="AO302">
        <v>480.46124278999997</v>
      </c>
      <c r="AP302">
        <v>142.85714286000001</v>
      </c>
      <c r="AQ302">
        <v>337.60409994000003</v>
      </c>
      <c r="AR302">
        <v>38.436899420000003</v>
      </c>
      <c r="AS302"/>
      <c r="AT302">
        <v>2.4</v>
      </c>
      <c r="AU302"/>
      <c r="AV302"/>
      <c r="AW302"/>
      <c r="AX302">
        <v>0.08</v>
      </c>
      <c r="AY302"/>
      <c r="AZ302">
        <v>5.8608059999999997E-2</v>
      </c>
      <c r="BA302">
        <v>5.8608059999999997E-2</v>
      </c>
      <c r="BB302">
        <v>620.16983112000003</v>
      </c>
      <c r="BC302">
        <v>39</v>
      </c>
      <c r="BD302"/>
      <c r="BE302"/>
      <c r="BF302"/>
      <c r="BG302"/>
      <c r="BH302"/>
      <c r="BI302">
        <v>0.2</v>
      </c>
      <c r="BJ302"/>
      <c r="BK302">
        <v>0.29078014000000002</v>
      </c>
      <c r="BL302">
        <v>9.0780139999999995E-2</v>
      </c>
      <c r="BM302">
        <v>2.7234042600000001</v>
      </c>
    </row>
    <row r="303" spans="1:65" hidden="1">
      <c r="A303">
        <v>304</v>
      </c>
      <c r="B303" t="s">
        <v>306</v>
      </c>
      <c r="C303" t="s">
        <v>1030</v>
      </c>
      <c r="D303">
        <v>1</v>
      </c>
      <c r="E303" t="s">
        <v>775</v>
      </c>
      <c r="F303"/>
      <c r="G303" t="s">
        <v>1011</v>
      </c>
      <c r="H303" t="s">
        <v>558</v>
      </c>
      <c r="I303" t="s">
        <v>468</v>
      </c>
      <c r="J303"/>
      <c r="K303"/>
      <c r="L303"/>
      <c r="M303" t="s">
        <v>108</v>
      </c>
      <c r="N303" t="s">
        <v>737</v>
      </c>
      <c r="O303"/>
      <c r="P303"/>
      <c r="Q303" t="s">
        <v>855</v>
      </c>
      <c r="R303" t="s">
        <v>892</v>
      </c>
      <c r="S303" t="s">
        <v>794</v>
      </c>
      <c r="T303">
        <v>1</v>
      </c>
      <c r="U303">
        <v>0</v>
      </c>
      <c r="V303"/>
      <c r="W303"/>
      <c r="X303"/>
      <c r="Y303"/>
      <c r="Z303"/>
      <c r="AA303">
        <v>80500</v>
      </c>
      <c r="AB303">
        <v>80500</v>
      </c>
      <c r="AC303">
        <v>575</v>
      </c>
      <c r="AD303">
        <v>11.5</v>
      </c>
      <c r="AE303">
        <v>26.5</v>
      </c>
      <c r="AF303"/>
      <c r="AG303"/>
      <c r="AH303"/>
      <c r="AI303"/>
      <c r="AJ303"/>
      <c r="AK303"/>
      <c r="AL303"/>
      <c r="AM303"/>
      <c r="AN303">
        <v>38</v>
      </c>
      <c r="AO303">
        <v>472.04968944000001</v>
      </c>
      <c r="AP303">
        <v>142.85714286000001</v>
      </c>
      <c r="AQ303">
        <v>329.19254658</v>
      </c>
      <c r="AR303">
        <v>37.763975160000001</v>
      </c>
      <c r="AS303"/>
      <c r="AT303">
        <v>3.04</v>
      </c>
      <c r="AU303"/>
      <c r="AV303"/>
      <c r="AW303"/>
      <c r="AX303">
        <v>0.08</v>
      </c>
      <c r="AY303"/>
      <c r="AZ303">
        <v>5.9086489999999998E-2</v>
      </c>
      <c r="BA303">
        <v>5.9086489999999998E-2</v>
      </c>
      <c r="BB303">
        <v>604.37866172999998</v>
      </c>
      <c r="BC303">
        <v>49</v>
      </c>
      <c r="BD303"/>
      <c r="BE303"/>
      <c r="BF303"/>
      <c r="BG303"/>
      <c r="BH303"/>
      <c r="BI303">
        <v>0.2</v>
      </c>
      <c r="BJ303"/>
      <c r="BK303">
        <v>0.28032847999999999</v>
      </c>
      <c r="BL303">
        <v>8.0328479999999994E-2</v>
      </c>
      <c r="BM303">
        <v>3.0524822700000001</v>
      </c>
    </row>
    <row r="304" spans="1:65" hidden="1">
      <c r="A304">
        <v>305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</row>
    <row r="305" spans="1:65" hidden="1">
      <c r="A305">
        <v>306</v>
      </c>
      <c r="B305" t="s">
        <v>45</v>
      </c>
      <c r="C305" t="s">
        <v>1094</v>
      </c>
      <c r="D305">
        <v>1</v>
      </c>
      <c r="E305" t="s">
        <v>130</v>
      </c>
      <c r="F305">
        <v>1</v>
      </c>
      <c r="G305" t="s">
        <v>1089</v>
      </c>
      <c r="H305" t="s">
        <v>558</v>
      </c>
      <c r="I305"/>
      <c r="J305"/>
      <c r="K305"/>
      <c r="L305"/>
      <c r="M305"/>
      <c r="N305" t="s">
        <v>223</v>
      </c>
      <c r="O305"/>
      <c r="P305"/>
      <c r="Q305"/>
      <c r="R305"/>
      <c r="S305"/>
      <c r="T305"/>
      <c r="U305">
        <v>0</v>
      </c>
      <c r="V305"/>
      <c r="W305"/>
      <c r="X305"/>
      <c r="Y305"/>
      <c r="Z305"/>
      <c r="AA305">
        <v>85000</v>
      </c>
      <c r="AB305">
        <v>85000</v>
      </c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</row>
    <row r="306" spans="1:65" hidden="1">
      <c r="A306">
        <v>307</v>
      </c>
      <c r="B306" t="s">
        <v>1095</v>
      </c>
      <c r="C306" t="s">
        <v>1096</v>
      </c>
      <c r="D306">
        <v>1</v>
      </c>
      <c r="E306" t="s">
        <v>130</v>
      </c>
      <c r="F306">
        <v>1</v>
      </c>
      <c r="G306" t="s">
        <v>1070</v>
      </c>
      <c r="H306" t="s">
        <v>558</v>
      </c>
      <c r="I306" t="s">
        <v>486</v>
      </c>
      <c r="J306"/>
      <c r="K306"/>
      <c r="L306"/>
      <c r="M306" t="s">
        <v>108</v>
      </c>
      <c r="N306" t="s">
        <v>544</v>
      </c>
      <c r="O306"/>
      <c r="P306"/>
      <c r="Q306" t="s">
        <v>633</v>
      </c>
      <c r="R306" t="s">
        <v>751</v>
      </c>
      <c r="S306"/>
      <c r="T306"/>
      <c r="U306">
        <v>0</v>
      </c>
      <c r="V306"/>
      <c r="W306">
        <v>27000</v>
      </c>
      <c r="X306"/>
      <c r="Y306"/>
      <c r="Z306"/>
      <c r="AA306">
        <v>27000</v>
      </c>
      <c r="AB306">
        <v>27000</v>
      </c>
      <c r="AC306">
        <v>350</v>
      </c>
      <c r="AD306">
        <v>7</v>
      </c>
      <c r="AE306">
        <v>8</v>
      </c>
      <c r="AF306"/>
      <c r="AG306"/>
      <c r="AH306"/>
      <c r="AI306"/>
      <c r="AJ306"/>
      <c r="AK306"/>
      <c r="AL306"/>
      <c r="AM306"/>
      <c r="AN306">
        <v>15</v>
      </c>
      <c r="AO306">
        <v>555.55555556000002</v>
      </c>
      <c r="AP306">
        <v>259.25925926000002</v>
      </c>
      <c r="AQ306">
        <v>296.29629629999999</v>
      </c>
      <c r="AR306">
        <v>42</v>
      </c>
      <c r="AS306">
        <v>37.037037040000001</v>
      </c>
      <c r="AT306">
        <v>1</v>
      </c>
      <c r="AU306"/>
      <c r="AV306"/>
      <c r="AW306"/>
      <c r="AX306">
        <v>6.6666669999999997E-2</v>
      </c>
      <c r="AY306"/>
      <c r="AZ306">
        <v>5.7000000000000002E-2</v>
      </c>
      <c r="BA306"/>
      <c r="BB306">
        <v>614.44215565000002</v>
      </c>
      <c r="BC306">
        <v>17.543859650000002</v>
      </c>
      <c r="BD306"/>
      <c r="BE306"/>
      <c r="BF306"/>
      <c r="BG306"/>
      <c r="BH306"/>
      <c r="BI306">
        <v>0.2</v>
      </c>
      <c r="BJ306"/>
      <c r="BK306">
        <v>0.16959063999999999</v>
      </c>
      <c r="BL306">
        <v>-3.040936E-2</v>
      </c>
      <c r="BM306">
        <v>-0.45614035000000003</v>
      </c>
    </row>
    <row r="307" spans="1:65" hidden="1">
      <c r="A307">
        <v>308</v>
      </c>
      <c r="B307" t="s">
        <v>1095</v>
      </c>
      <c r="C307" t="s">
        <v>1097</v>
      </c>
      <c r="D307">
        <v>1</v>
      </c>
      <c r="E307" t="s">
        <v>130</v>
      </c>
      <c r="F307">
        <v>1</v>
      </c>
      <c r="G307" t="s">
        <v>1070</v>
      </c>
      <c r="H307" t="s">
        <v>558</v>
      </c>
      <c r="I307" t="s">
        <v>468</v>
      </c>
      <c r="J307"/>
      <c r="K307"/>
      <c r="L307"/>
      <c r="M307" t="s">
        <v>108</v>
      </c>
      <c r="N307" t="s">
        <v>544</v>
      </c>
      <c r="O307"/>
      <c r="P307"/>
      <c r="Q307" t="s">
        <v>1098</v>
      </c>
      <c r="R307" t="s">
        <v>751</v>
      </c>
      <c r="S307"/>
      <c r="T307"/>
      <c r="U307">
        <v>0</v>
      </c>
      <c r="V307"/>
      <c r="W307">
        <v>77000</v>
      </c>
      <c r="X307"/>
      <c r="Y307"/>
      <c r="Z307"/>
      <c r="AA307">
        <v>77000</v>
      </c>
      <c r="AB307">
        <v>77000</v>
      </c>
      <c r="AC307">
        <v>350</v>
      </c>
      <c r="AD307">
        <v>29</v>
      </c>
      <c r="AE307">
        <v>5</v>
      </c>
      <c r="AF307"/>
      <c r="AG307"/>
      <c r="AH307"/>
      <c r="AI307"/>
      <c r="AJ307"/>
      <c r="AK307"/>
      <c r="AL307"/>
      <c r="AM307"/>
      <c r="AN307">
        <v>34</v>
      </c>
      <c r="AO307">
        <v>441.55844156000001</v>
      </c>
      <c r="AP307">
        <v>376.62337661999999</v>
      </c>
      <c r="AQ307">
        <v>64.935064940000004</v>
      </c>
      <c r="AR307">
        <v>34</v>
      </c>
      <c r="AS307">
        <v>31.168831170000001</v>
      </c>
      <c r="AT307">
        <v>2.4</v>
      </c>
      <c r="AU307"/>
      <c r="AV307"/>
      <c r="AW307"/>
      <c r="AX307">
        <v>7.0588239999999997E-2</v>
      </c>
      <c r="AY307"/>
      <c r="AZ307">
        <v>5.7000000000000002E-2</v>
      </c>
      <c r="BA307"/>
      <c r="BB307">
        <v>517.08898293000004</v>
      </c>
      <c r="BC307">
        <v>42.10526316</v>
      </c>
      <c r="BD307"/>
      <c r="BE307"/>
      <c r="BF307"/>
      <c r="BG307"/>
      <c r="BH307"/>
      <c r="BI307">
        <v>0.2</v>
      </c>
      <c r="BJ307"/>
      <c r="BK307">
        <v>0.23839009</v>
      </c>
      <c r="BL307">
        <v>3.8390090000000002E-2</v>
      </c>
      <c r="BM307">
        <v>1.30526316</v>
      </c>
    </row>
    <row r="308" spans="1:65" hidden="1">
      <c r="A308">
        <v>309</v>
      </c>
      <c r="B308" t="s">
        <v>309</v>
      </c>
      <c r="C308" t="s">
        <v>1099</v>
      </c>
      <c r="D308">
        <v>1</v>
      </c>
      <c r="E308" t="s">
        <v>130</v>
      </c>
      <c r="F308">
        <v>1</v>
      </c>
      <c r="G308" t="s">
        <v>1070</v>
      </c>
      <c r="H308" t="s">
        <v>558</v>
      </c>
      <c r="I308" t="s">
        <v>468</v>
      </c>
      <c r="J308"/>
      <c r="K308"/>
      <c r="L308"/>
      <c r="M308" t="s">
        <v>108</v>
      </c>
      <c r="N308" t="s">
        <v>544</v>
      </c>
      <c r="O308"/>
      <c r="P308"/>
      <c r="Q308" t="s">
        <v>855</v>
      </c>
      <c r="R308" t="s">
        <v>806</v>
      </c>
      <c r="S308"/>
      <c r="T308"/>
      <c r="U308">
        <v>0</v>
      </c>
      <c r="V308"/>
      <c r="W308">
        <v>28000</v>
      </c>
      <c r="X308"/>
      <c r="Y308"/>
      <c r="Z308"/>
      <c r="AA308">
        <v>28000</v>
      </c>
      <c r="AB308">
        <v>28000</v>
      </c>
      <c r="AC308">
        <v>350</v>
      </c>
      <c r="AD308"/>
      <c r="AE308">
        <v>7</v>
      </c>
      <c r="AF308"/>
      <c r="AG308"/>
      <c r="AH308"/>
      <c r="AI308"/>
      <c r="AJ308"/>
      <c r="AK308"/>
      <c r="AL308"/>
      <c r="AM308"/>
      <c r="AN308">
        <v>7</v>
      </c>
      <c r="AO308">
        <v>250</v>
      </c>
      <c r="AP308">
        <v>0</v>
      </c>
      <c r="AQ308">
        <v>250</v>
      </c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</row>
    <row r="309" spans="1:65" hidden="1">
      <c r="A309">
        <v>310</v>
      </c>
      <c r="B309" t="s">
        <v>300</v>
      </c>
      <c r="C309" t="s">
        <v>1100</v>
      </c>
      <c r="D309">
        <v>1</v>
      </c>
      <c r="E309" t="s">
        <v>831</v>
      </c>
      <c r="F309">
        <v>1</v>
      </c>
      <c r="G309" t="s">
        <v>1075</v>
      </c>
      <c r="H309" t="s">
        <v>558</v>
      </c>
      <c r="I309" t="s">
        <v>486</v>
      </c>
      <c r="J309"/>
      <c r="K309"/>
      <c r="L309"/>
      <c r="M309" t="s">
        <v>108</v>
      </c>
      <c r="N309" t="s">
        <v>108</v>
      </c>
      <c r="O309"/>
      <c r="P309"/>
      <c r="Q309" t="s">
        <v>496</v>
      </c>
      <c r="R309" t="s">
        <v>745</v>
      </c>
      <c r="S309"/>
      <c r="T309"/>
      <c r="U309">
        <v>1</v>
      </c>
      <c r="V309"/>
      <c r="W309"/>
      <c r="X309"/>
      <c r="Y309"/>
      <c r="Z309"/>
      <c r="AA309">
        <v>80000</v>
      </c>
      <c r="AB309">
        <v>80000</v>
      </c>
      <c r="AC309">
        <v>8</v>
      </c>
      <c r="AD309">
        <v>5</v>
      </c>
      <c r="AE309">
        <v>44</v>
      </c>
      <c r="AF309"/>
      <c r="AG309"/>
      <c r="AH309"/>
      <c r="AI309"/>
      <c r="AJ309"/>
      <c r="AK309"/>
      <c r="AL309"/>
      <c r="AM309"/>
      <c r="AN309">
        <v>49</v>
      </c>
      <c r="AO309">
        <v>612.5</v>
      </c>
      <c r="AP309">
        <v>62.5</v>
      </c>
      <c r="AQ309">
        <v>550</v>
      </c>
      <c r="AR309">
        <v>43.75</v>
      </c>
      <c r="AS309">
        <v>43.75</v>
      </c>
      <c r="AT309">
        <v>3.5</v>
      </c>
      <c r="AU309"/>
      <c r="AV309"/>
      <c r="AW309"/>
      <c r="AX309">
        <v>7.1428569999999997E-2</v>
      </c>
      <c r="AY309"/>
      <c r="AZ309">
        <v>5.5E-2</v>
      </c>
      <c r="BA309">
        <v>5.5E-2</v>
      </c>
      <c r="BB309">
        <v>752.20287986000005</v>
      </c>
      <c r="BC309">
        <v>60.176230390000001</v>
      </c>
      <c r="BD309"/>
      <c r="BE309"/>
      <c r="BF309"/>
      <c r="BG309"/>
      <c r="BH309"/>
      <c r="BI309">
        <v>0.15</v>
      </c>
      <c r="BJ309"/>
      <c r="BK309">
        <v>0.22808633</v>
      </c>
      <c r="BL309">
        <v>7.8086329999999995E-2</v>
      </c>
      <c r="BM309">
        <v>3.8262303900000001</v>
      </c>
    </row>
    <row r="310" spans="1:65" hidden="1">
      <c r="A310">
        <v>311</v>
      </c>
      <c r="B310" t="s">
        <v>3</v>
      </c>
      <c r="C310" t="s">
        <v>1101</v>
      </c>
      <c r="D310">
        <v>1</v>
      </c>
      <c r="E310" t="s">
        <v>304</v>
      </c>
      <c r="F310">
        <v>1</v>
      </c>
      <c r="G310" t="s">
        <v>1045</v>
      </c>
      <c r="H310" t="s">
        <v>558</v>
      </c>
      <c r="I310" t="s">
        <v>468</v>
      </c>
      <c r="J310"/>
      <c r="K310"/>
      <c r="L310"/>
      <c r="M310" t="s">
        <v>108</v>
      </c>
      <c r="N310" t="s">
        <v>222</v>
      </c>
      <c r="O310"/>
      <c r="P310"/>
      <c r="Q310" t="s">
        <v>440</v>
      </c>
      <c r="R310" t="s">
        <v>632</v>
      </c>
      <c r="S310" t="s">
        <v>614</v>
      </c>
      <c r="T310">
        <v>322</v>
      </c>
      <c r="U310">
        <v>0.65404039999999997</v>
      </c>
      <c r="V310"/>
      <c r="W310"/>
      <c r="X310">
        <v>99200</v>
      </c>
      <c r="Y310">
        <v>14800</v>
      </c>
      <c r="Z310"/>
      <c r="AA310">
        <v>114000</v>
      </c>
      <c r="AB310">
        <v>114000</v>
      </c>
      <c r="AC310"/>
      <c r="AD310">
        <v>80</v>
      </c>
      <c r="AE310">
        <v>195.33333332999999</v>
      </c>
      <c r="AF310"/>
      <c r="AG310"/>
      <c r="AH310"/>
      <c r="AI310">
        <v>11.4</v>
      </c>
      <c r="AJ310"/>
      <c r="AK310"/>
      <c r="AL310">
        <v>30.49978539</v>
      </c>
      <c r="AM310">
        <v>0</v>
      </c>
      <c r="AN310">
        <v>317.23311871999999</v>
      </c>
      <c r="AO310">
        <v>2782.7466554500002</v>
      </c>
      <c r="AP310">
        <v>701.75438596000004</v>
      </c>
      <c r="AQ310">
        <v>1713.4502924000001</v>
      </c>
      <c r="AR310">
        <v>7.01754386</v>
      </c>
      <c r="AS310">
        <v>7.01754386</v>
      </c>
      <c r="AT310">
        <v>0.8</v>
      </c>
      <c r="AU310"/>
      <c r="AV310"/>
      <c r="AW310"/>
      <c r="AX310"/>
      <c r="AY310"/>
      <c r="AZ310">
        <v>3.7499999999999999E-2</v>
      </c>
      <c r="BA310"/>
      <c r="BB310">
        <v>3598.6013985999998</v>
      </c>
      <c r="BC310">
        <v>410.24055944000003</v>
      </c>
      <c r="BD310"/>
      <c r="BE310"/>
      <c r="BF310"/>
      <c r="BG310"/>
      <c r="BH310"/>
      <c r="BI310">
        <v>0.15</v>
      </c>
      <c r="BJ310"/>
      <c r="BK310">
        <v>0.29318326</v>
      </c>
      <c r="BL310">
        <v>0.14318326000000001</v>
      </c>
      <c r="BM310">
        <v>45.422472910000003</v>
      </c>
    </row>
    <row r="311" spans="1:65" hidden="1">
      <c r="A311">
        <v>312</v>
      </c>
      <c r="B311" t="s">
        <v>3</v>
      </c>
      <c r="C311" t="s">
        <v>1102</v>
      </c>
      <c r="D311">
        <v>0.5</v>
      </c>
      <c r="E311" t="s">
        <v>130</v>
      </c>
      <c r="F311">
        <v>1</v>
      </c>
      <c r="G311" t="s">
        <v>1045</v>
      </c>
      <c r="H311" t="s">
        <v>558</v>
      </c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>
        <v>340000</v>
      </c>
      <c r="AB311">
        <v>170000</v>
      </c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</row>
    <row r="312" spans="1:65" hidden="1">
      <c r="A312">
        <v>313</v>
      </c>
      <c r="B312" t="s">
        <v>3</v>
      </c>
      <c r="C312" t="s">
        <v>1103</v>
      </c>
      <c r="D312">
        <v>1</v>
      </c>
      <c r="E312" t="s">
        <v>130</v>
      </c>
      <c r="F312">
        <v>1</v>
      </c>
      <c r="G312" t="s">
        <v>1045</v>
      </c>
      <c r="H312" t="s">
        <v>558</v>
      </c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>
        <v>104000</v>
      </c>
      <c r="AB312">
        <v>104000</v>
      </c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</row>
    <row r="313" spans="1:65" hidden="1">
      <c r="A313">
        <v>314</v>
      </c>
      <c r="B313" t="s">
        <v>3</v>
      </c>
      <c r="C313" t="s">
        <v>1104</v>
      </c>
      <c r="D313">
        <v>1</v>
      </c>
      <c r="E313" t="s">
        <v>1105</v>
      </c>
      <c r="F313">
        <v>1</v>
      </c>
      <c r="G313" t="s">
        <v>1045</v>
      </c>
      <c r="H313" t="s">
        <v>558</v>
      </c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>
        <v>43</v>
      </c>
      <c r="AB313">
        <v>43</v>
      </c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</row>
    <row r="314" spans="1:65" hidden="1">
      <c r="A314">
        <v>315</v>
      </c>
      <c r="B314" t="s">
        <v>303</v>
      </c>
      <c r="C314" t="s">
        <v>1106</v>
      </c>
      <c r="D314">
        <v>1</v>
      </c>
      <c r="E314" t="s">
        <v>304</v>
      </c>
      <c r="F314">
        <v>1</v>
      </c>
      <c r="G314" t="s">
        <v>1073</v>
      </c>
      <c r="H314" t="s">
        <v>558</v>
      </c>
      <c r="I314" t="s">
        <v>486</v>
      </c>
      <c r="J314"/>
      <c r="K314"/>
      <c r="L314"/>
      <c r="M314" t="s">
        <v>108</v>
      </c>
      <c r="N314" t="s">
        <v>747</v>
      </c>
      <c r="O314"/>
      <c r="P314"/>
      <c r="Q314" t="s">
        <v>633</v>
      </c>
      <c r="R314" t="s">
        <v>818</v>
      </c>
      <c r="S314"/>
      <c r="T314"/>
      <c r="U314">
        <v>0</v>
      </c>
      <c r="V314"/>
      <c r="W314"/>
      <c r="X314">
        <v>174600</v>
      </c>
      <c r="Y314"/>
      <c r="Z314"/>
      <c r="AA314">
        <v>174600</v>
      </c>
      <c r="AB314">
        <v>174600</v>
      </c>
      <c r="AC314">
        <v>194</v>
      </c>
      <c r="AD314">
        <v>12</v>
      </c>
      <c r="AE314">
        <v>34</v>
      </c>
      <c r="AF314"/>
      <c r="AG314"/>
      <c r="AH314"/>
      <c r="AI314"/>
      <c r="AJ314"/>
      <c r="AK314"/>
      <c r="AL314"/>
      <c r="AM314"/>
      <c r="AN314">
        <v>46</v>
      </c>
      <c r="AO314">
        <v>263.45933561999999</v>
      </c>
      <c r="AP314">
        <v>68.728522339999998</v>
      </c>
      <c r="AQ314">
        <v>194.73081328999999</v>
      </c>
      <c r="AR314"/>
      <c r="AS314"/>
      <c r="AT314">
        <v>3.0163934399999999</v>
      </c>
      <c r="AU314"/>
      <c r="AV314"/>
      <c r="AW314"/>
      <c r="AX314">
        <v>7.0000000000000007E-2</v>
      </c>
      <c r="AY314"/>
      <c r="AZ314">
        <v>5.905552E-2</v>
      </c>
      <c r="BA314"/>
      <c r="BB314">
        <v>276.63230241000002</v>
      </c>
      <c r="BC314">
        <v>48.3</v>
      </c>
      <c r="BD314"/>
      <c r="BE314"/>
      <c r="BF314"/>
      <c r="BG314"/>
      <c r="BH314"/>
      <c r="BI314">
        <v>0.05</v>
      </c>
      <c r="BJ314"/>
      <c r="BK314">
        <v>0.05</v>
      </c>
      <c r="BL314">
        <v>0</v>
      </c>
      <c r="BM314">
        <v>0</v>
      </c>
    </row>
    <row r="315" spans="1:65" hidden="1">
      <c r="A315">
        <v>316</v>
      </c>
      <c r="B315" t="s">
        <v>303</v>
      </c>
      <c r="C315" t="s">
        <v>1107</v>
      </c>
      <c r="D315">
        <v>1</v>
      </c>
      <c r="E315" t="s">
        <v>304</v>
      </c>
      <c r="F315">
        <v>1</v>
      </c>
      <c r="G315" t="s">
        <v>1073</v>
      </c>
      <c r="H315" t="s">
        <v>558</v>
      </c>
      <c r="I315" t="s">
        <v>486</v>
      </c>
      <c r="J315"/>
      <c r="K315"/>
      <c r="L315"/>
      <c r="M315" t="s">
        <v>108</v>
      </c>
      <c r="N315" t="s">
        <v>434</v>
      </c>
      <c r="O315"/>
      <c r="P315"/>
      <c r="Q315" t="s">
        <v>633</v>
      </c>
      <c r="R315" t="s">
        <v>818</v>
      </c>
      <c r="S315"/>
      <c r="T315"/>
      <c r="U315">
        <v>0</v>
      </c>
      <c r="V315"/>
      <c r="W315"/>
      <c r="X315">
        <v>217800</v>
      </c>
      <c r="Y315"/>
      <c r="Z315"/>
      <c r="AA315">
        <v>217800</v>
      </c>
      <c r="AB315">
        <v>217800</v>
      </c>
      <c r="AC315">
        <v>242</v>
      </c>
      <c r="AD315">
        <v>10</v>
      </c>
      <c r="AE315">
        <v>30</v>
      </c>
      <c r="AF315"/>
      <c r="AG315"/>
      <c r="AH315"/>
      <c r="AI315"/>
      <c r="AJ315"/>
      <c r="AK315"/>
      <c r="AL315"/>
      <c r="AM315"/>
      <c r="AN315">
        <v>40</v>
      </c>
      <c r="AO315">
        <v>183.65472911000001</v>
      </c>
      <c r="AP315">
        <v>45.913682280000003</v>
      </c>
      <c r="AQ315">
        <v>137.74104682999999</v>
      </c>
      <c r="AR315"/>
      <c r="AS315"/>
      <c r="AT315">
        <v>2.6229508199999998</v>
      </c>
      <c r="AU315"/>
      <c r="AV315"/>
      <c r="AW315"/>
      <c r="AX315">
        <v>7.0000000000000007E-2</v>
      </c>
      <c r="AY315"/>
      <c r="AZ315">
        <v>5.905552E-2</v>
      </c>
      <c r="BA315"/>
      <c r="BB315">
        <v>192.83746556</v>
      </c>
      <c r="BC315">
        <v>42</v>
      </c>
      <c r="BD315"/>
      <c r="BE315"/>
      <c r="BF315"/>
      <c r="BG315"/>
      <c r="BH315"/>
      <c r="BI315">
        <v>0.05</v>
      </c>
      <c r="BJ315"/>
      <c r="BK315">
        <v>0.05</v>
      </c>
      <c r="BL315">
        <v>0</v>
      </c>
      <c r="BM315">
        <v>0</v>
      </c>
    </row>
    <row r="316" spans="1:65" hidden="1">
      <c r="A316">
        <v>317</v>
      </c>
      <c r="B316" t="s">
        <v>277</v>
      </c>
      <c r="C316" t="s">
        <v>447</v>
      </c>
      <c r="D316">
        <v>1</v>
      </c>
      <c r="E316" t="s">
        <v>676</v>
      </c>
      <c r="F316">
        <v>1</v>
      </c>
      <c r="G316" t="s">
        <v>1080</v>
      </c>
      <c r="H316" t="s">
        <v>1081</v>
      </c>
      <c r="I316" t="s">
        <v>468</v>
      </c>
      <c r="J316"/>
      <c r="K316"/>
      <c r="L316"/>
      <c r="M316" t="s">
        <v>108</v>
      </c>
      <c r="N316" t="s">
        <v>447</v>
      </c>
      <c r="O316"/>
      <c r="P316"/>
      <c r="Q316" t="s">
        <v>762</v>
      </c>
      <c r="R316" t="s">
        <v>653</v>
      </c>
      <c r="S316"/>
      <c r="T316"/>
      <c r="U316">
        <v>1</v>
      </c>
      <c r="V316">
        <v>53000</v>
      </c>
      <c r="W316"/>
      <c r="X316"/>
      <c r="Y316"/>
      <c r="Z316"/>
      <c r="AA316">
        <v>53000</v>
      </c>
      <c r="AB316">
        <v>53000</v>
      </c>
      <c r="AC316"/>
      <c r="AD316"/>
      <c r="AE316">
        <v>10.80886327</v>
      </c>
      <c r="AF316"/>
      <c r="AG316"/>
      <c r="AH316"/>
      <c r="AI316"/>
      <c r="AJ316"/>
      <c r="AK316"/>
      <c r="AL316"/>
      <c r="AM316"/>
      <c r="AN316">
        <v>10.80886327</v>
      </c>
      <c r="AO316">
        <v>203.94081638</v>
      </c>
      <c r="AP316"/>
      <c r="AQ316"/>
      <c r="AR316"/>
      <c r="AS316"/>
      <c r="AT316">
        <v>0.6</v>
      </c>
      <c r="AU316"/>
      <c r="AV316"/>
      <c r="AW316"/>
      <c r="AX316">
        <v>5.1999999999999998E-2</v>
      </c>
      <c r="AY316"/>
      <c r="AZ316">
        <v>5.1999999999999998E-2</v>
      </c>
      <c r="BA316"/>
      <c r="BB316">
        <v>203.94081638</v>
      </c>
      <c r="BC316">
        <v>10.80886327</v>
      </c>
      <c r="BD316"/>
      <c r="BE316"/>
      <c r="BF316"/>
      <c r="BG316"/>
      <c r="BH316"/>
      <c r="BI316">
        <v>0.1</v>
      </c>
      <c r="BJ316"/>
      <c r="BK316">
        <v>0</v>
      </c>
      <c r="BL316"/>
      <c r="BM316"/>
    </row>
    <row r="317" spans="1:65" hidden="1">
      <c r="A317">
        <v>318</v>
      </c>
      <c r="B317" t="s">
        <v>277</v>
      </c>
      <c r="C317" t="s">
        <v>1108</v>
      </c>
      <c r="D317">
        <v>1</v>
      </c>
      <c r="E317" t="s">
        <v>131</v>
      </c>
      <c r="F317">
        <v>1</v>
      </c>
      <c r="G317" t="s">
        <v>1080</v>
      </c>
      <c r="H317" t="s">
        <v>1081</v>
      </c>
      <c r="I317" t="s">
        <v>433</v>
      </c>
      <c r="J317"/>
      <c r="K317"/>
      <c r="L317"/>
      <c r="M317" t="s">
        <v>108</v>
      </c>
      <c r="N317" t="s">
        <v>1108</v>
      </c>
      <c r="O317"/>
      <c r="P317"/>
      <c r="Q317" t="s">
        <v>495</v>
      </c>
      <c r="R317" t="s">
        <v>1109</v>
      </c>
      <c r="S317"/>
      <c r="T317"/>
      <c r="U317">
        <v>1</v>
      </c>
      <c r="V317">
        <v>18000</v>
      </c>
      <c r="W317"/>
      <c r="X317"/>
      <c r="Y317"/>
      <c r="Z317"/>
      <c r="AA317">
        <v>18000</v>
      </c>
      <c r="AB317">
        <v>18000</v>
      </c>
      <c r="AC317"/>
      <c r="AD317"/>
      <c r="AE317">
        <v>3.7099728700000001</v>
      </c>
      <c r="AF317"/>
      <c r="AG317"/>
      <c r="AH317"/>
      <c r="AI317"/>
      <c r="AJ317"/>
      <c r="AK317"/>
      <c r="AL317"/>
      <c r="AM317"/>
      <c r="AN317">
        <v>3.7099728700000001</v>
      </c>
      <c r="AO317">
        <v>206.10960392999999</v>
      </c>
      <c r="AP317"/>
      <c r="AQ317"/>
      <c r="AR317"/>
      <c r="AS317"/>
      <c r="AT317">
        <v>0.4</v>
      </c>
      <c r="AU317"/>
      <c r="AV317"/>
      <c r="AW317"/>
      <c r="AX317">
        <v>0.10100000000000001</v>
      </c>
      <c r="AY317"/>
      <c r="AZ317">
        <v>0.05</v>
      </c>
      <c r="BA317"/>
      <c r="BB317">
        <v>416.34139994999998</v>
      </c>
      <c r="BC317">
        <v>7.4941452000000002</v>
      </c>
      <c r="BD317"/>
      <c r="BE317"/>
      <c r="BF317"/>
      <c r="BG317"/>
      <c r="BH317"/>
      <c r="BI317">
        <v>0.1</v>
      </c>
      <c r="BJ317"/>
      <c r="BK317">
        <v>1.02</v>
      </c>
      <c r="BL317"/>
      <c r="BM317"/>
    </row>
    <row r="318" spans="1:65" hidden="1">
      <c r="A318">
        <v>319</v>
      </c>
      <c r="B318" t="s">
        <v>277</v>
      </c>
      <c r="C318" t="s">
        <v>1110</v>
      </c>
      <c r="D318">
        <v>1</v>
      </c>
      <c r="E318" t="s">
        <v>131</v>
      </c>
      <c r="F318">
        <v>1</v>
      </c>
      <c r="G318" t="s">
        <v>1080</v>
      </c>
      <c r="H318" t="s">
        <v>1081</v>
      </c>
      <c r="I318" t="s">
        <v>468</v>
      </c>
      <c r="J318"/>
      <c r="K318"/>
      <c r="L318"/>
      <c r="M318" t="s">
        <v>108</v>
      </c>
      <c r="N318" t="s">
        <v>1110</v>
      </c>
      <c r="O318"/>
      <c r="P318"/>
      <c r="Q318" t="s">
        <v>614</v>
      </c>
      <c r="R318" t="s">
        <v>496</v>
      </c>
      <c r="S318"/>
      <c r="T318"/>
      <c r="U318">
        <v>1</v>
      </c>
      <c r="V318">
        <v>31000</v>
      </c>
      <c r="W318"/>
      <c r="X318"/>
      <c r="Y318"/>
      <c r="Z318"/>
      <c r="AA318">
        <v>31000</v>
      </c>
      <c r="AB318">
        <v>31000</v>
      </c>
      <c r="AC318"/>
      <c r="AD318"/>
      <c r="AE318">
        <v>7.6994642500000001</v>
      </c>
      <c r="AF318"/>
      <c r="AG318"/>
      <c r="AH318"/>
      <c r="AI318"/>
      <c r="AJ318"/>
      <c r="AK318"/>
      <c r="AL318"/>
      <c r="AM318"/>
      <c r="AN318">
        <v>7.6994642500000001</v>
      </c>
      <c r="AO318">
        <v>248.36981437</v>
      </c>
      <c r="AP318"/>
      <c r="AQ318"/>
      <c r="AR318"/>
      <c r="AS318"/>
      <c r="AT318">
        <v>0.6</v>
      </c>
      <c r="AU318"/>
      <c r="AV318"/>
      <c r="AW318"/>
      <c r="AX318">
        <v>7.2999999999999995E-2</v>
      </c>
      <c r="AY318"/>
      <c r="AZ318">
        <v>6.0999999999999999E-2</v>
      </c>
      <c r="BA318"/>
      <c r="BB318">
        <v>297.22944998999998</v>
      </c>
      <c r="BC318">
        <v>9.2141129500000005</v>
      </c>
      <c r="BD318"/>
      <c r="BE318"/>
      <c r="BF318"/>
      <c r="BG318"/>
      <c r="BH318"/>
      <c r="BI318">
        <v>0.1</v>
      </c>
      <c r="BJ318"/>
      <c r="BK318">
        <v>0.19672131000000001</v>
      </c>
      <c r="BL318"/>
      <c r="BM318"/>
    </row>
    <row r="319" spans="1:65" hidden="1">
      <c r="A319">
        <v>320</v>
      </c>
      <c r="B319" t="s">
        <v>277</v>
      </c>
      <c r="C319" t="s">
        <v>1111</v>
      </c>
      <c r="D319">
        <v>1</v>
      </c>
      <c r="E319" t="s">
        <v>676</v>
      </c>
      <c r="F319">
        <v>1</v>
      </c>
      <c r="G319" t="s">
        <v>1080</v>
      </c>
      <c r="H319" t="s">
        <v>1081</v>
      </c>
      <c r="I319" t="s">
        <v>486</v>
      </c>
      <c r="J319"/>
      <c r="K319"/>
      <c r="L319"/>
      <c r="M319" t="s">
        <v>108</v>
      </c>
      <c r="N319" t="s">
        <v>1111</v>
      </c>
      <c r="O319"/>
      <c r="P319"/>
      <c r="Q319" t="s">
        <v>1112</v>
      </c>
      <c r="R319" t="s">
        <v>751</v>
      </c>
      <c r="S319"/>
      <c r="T319"/>
      <c r="U319"/>
      <c r="V319">
        <v>660000</v>
      </c>
      <c r="W319"/>
      <c r="X319"/>
      <c r="Y319"/>
      <c r="Z319"/>
      <c r="AA319">
        <v>660000</v>
      </c>
      <c r="AB319">
        <v>660000</v>
      </c>
      <c r="AC319"/>
      <c r="AD319"/>
      <c r="AE319">
        <v>57.544329210000001</v>
      </c>
      <c r="AF319"/>
      <c r="AG319"/>
      <c r="AH319"/>
      <c r="AI319"/>
      <c r="AJ319"/>
      <c r="AK319"/>
      <c r="AL319"/>
      <c r="AM319"/>
      <c r="AN319">
        <v>57.544329210000001</v>
      </c>
      <c r="AO319">
        <v>87.188377590000002</v>
      </c>
      <c r="AP319"/>
      <c r="AQ319"/>
      <c r="AR319"/>
      <c r="AS319"/>
      <c r="AT319">
        <v>4.3</v>
      </c>
      <c r="AU319"/>
      <c r="AV319"/>
      <c r="AW319"/>
      <c r="AX319">
        <v>7.0000000000000007E-2</v>
      </c>
      <c r="AY319"/>
      <c r="AZ319"/>
      <c r="BA319"/>
      <c r="BB319"/>
      <c r="BC319"/>
      <c r="BD319"/>
      <c r="BE319"/>
      <c r="BF319"/>
      <c r="BG319"/>
      <c r="BH319"/>
      <c r="BI319">
        <v>0.1</v>
      </c>
      <c r="BJ319"/>
      <c r="BK319"/>
      <c r="BL319"/>
      <c r="BM319"/>
    </row>
    <row r="320" spans="1:65" hidden="1">
      <c r="A320">
        <v>321</v>
      </c>
      <c r="B320" t="s">
        <v>277</v>
      </c>
      <c r="C320" t="s">
        <v>1113</v>
      </c>
      <c r="D320">
        <v>1</v>
      </c>
      <c r="E320" t="s">
        <v>676</v>
      </c>
      <c r="F320">
        <v>1</v>
      </c>
      <c r="G320" t="s">
        <v>1080</v>
      </c>
      <c r="H320" t="s">
        <v>1081</v>
      </c>
      <c r="I320" t="s">
        <v>486</v>
      </c>
      <c r="J320"/>
      <c r="K320"/>
      <c r="L320"/>
      <c r="M320" t="s">
        <v>108</v>
      </c>
      <c r="N320" t="s">
        <v>1113</v>
      </c>
      <c r="O320"/>
      <c r="P320"/>
      <c r="Q320" t="s">
        <v>653</v>
      </c>
      <c r="R320" t="s">
        <v>1114</v>
      </c>
      <c r="S320"/>
      <c r="T320"/>
      <c r="U320">
        <v>0.51851851999999998</v>
      </c>
      <c r="V320">
        <v>270000</v>
      </c>
      <c r="W320"/>
      <c r="X320"/>
      <c r="Y320"/>
      <c r="Z320"/>
      <c r="AA320">
        <v>270000</v>
      </c>
      <c r="AB320">
        <v>270000</v>
      </c>
      <c r="AC320"/>
      <c r="AD320"/>
      <c r="AE320">
        <v>20.817070000000001</v>
      </c>
      <c r="AF320"/>
      <c r="AG320"/>
      <c r="AH320"/>
      <c r="AI320"/>
      <c r="AJ320"/>
      <c r="AK320"/>
      <c r="AL320"/>
      <c r="AM320"/>
      <c r="AN320">
        <v>20.817070000000001</v>
      </c>
      <c r="AO320">
        <v>77.100259249999993</v>
      </c>
      <c r="AP320"/>
      <c r="AQ320"/>
      <c r="AR320"/>
      <c r="AS320"/>
      <c r="AT320">
        <v>1.4</v>
      </c>
      <c r="AU320"/>
      <c r="AV320"/>
      <c r="AW320"/>
      <c r="AX320">
        <v>6.3E-2</v>
      </c>
      <c r="AY320"/>
      <c r="AZ320"/>
      <c r="BA320"/>
      <c r="BB320"/>
      <c r="BC320"/>
      <c r="BD320"/>
      <c r="BE320"/>
      <c r="BF320"/>
      <c r="BG320"/>
      <c r="BH320"/>
      <c r="BI320">
        <v>0.1</v>
      </c>
      <c r="BJ320"/>
      <c r="BK320"/>
      <c r="BL320"/>
      <c r="BM320"/>
    </row>
    <row r="321" spans="1:65" hidden="1">
      <c r="A321">
        <v>322</v>
      </c>
      <c r="B321" t="s">
        <v>277</v>
      </c>
      <c r="C321" t="s">
        <v>1115</v>
      </c>
      <c r="D321">
        <v>1</v>
      </c>
      <c r="E321" t="s">
        <v>676</v>
      </c>
      <c r="F321">
        <v>1</v>
      </c>
      <c r="G321" t="s">
        <v>1080</v>
      </c>
      <c r="H321" t="s">
        <v>1081</v>
      </c>
      <c r="I321" t="s">
        <v>468</v>
      </c>
      <c r="J321"/>
      <c r="K321"/>
      <c r="L321"/>
      <c r="M321" t="s">
        <v>108</v>
      </c>
      <c r="N321" t="s">
        <v>1115</v>
      </c>
      <c r="O321"/>
      <c r="P321"/>
      <c r="Q321" t="s">
        <v>855</v>
      </c>
      <c r="R321" t="s">
        <v>632</v>
      </c>
      <c r="S321"/>
      <c r="T321"/>
      <c r="U321"/>
      <c r="V321">
        <v>112000</v>
      </c>
      <c r="W321"/>
      <c r="X321"/>
      <c r="Y321"/>
      <c r="Z321"/>
      <c r="AA321">
        <v>112000</v>
      </c>
      <c r="AB321">
        <v>112000</v>
      </c>
      <c r="AC321"/>
      <c r="AD321"/>
      <c r="AE321">
        <v>19.33013643</v>
      </c>
      <c r="AF321"/>
      <c r="AG321"/>
      <c r="AH321"/>
      <c r="AI321"/>
      <c r="AJ321"/>
      <c r="AK321"/>
      <c r="AL321"/>
      <c r="AM321"/>
      <c r="AN321">
        <v>19.33013643</v>
      </c>
      <c r="AO321">
        <v>172.59050379999999</v>
      </c>
      <c r="AP321"/>
      <c r="AQ321"/>
      <c r="AR321"/>
      <c r="AS321"/>
      <c r="AT321">
        <v>1.3</v>
      </c>
      <c r="AU321"/>
      <c r="AV321"/>
      <c r="AW321"/>
      <c r="AX321">
        <v>6.3E-2</v>
      </c>
      <c r="AY321"/>
      <c r="AZ321"/>
      <c r="BA321"/>
      <c r="BB321"/>
      <c r="BC321"/>
      <c r="BD321"/>
      <c r="BE321"/>
      <c r="BF321"/>
      <c r="BG321"/>
      <c r="BH321"/>
      <c r="BI321">
        <v>0.1</v>
      </c>
      <c r="BJ321"/>
      <c r="BK321"/>
      <c r="BL321"/>
      <c r="BM321"/>
    </row>
    <row r="322" spans="1:65" hidden="1">
      <c r="A322">
        <v>323</v>
      </c>
      <c r="B322" t="s">
        <v>277</v>
      </c>
      <c r="C322" t="s">
        <v>1116</v>
      </c>
      <c r="D322">
        <v>1</v>
      </c>
      <c r="E322" t="s">
        <v>131</v>
      </c>
      <c r="F322">
        <v>1</v>
      </c>
      <c r="G322" t="s">
        <v>1080</v>
      </c>
      <c r="H322" t="s">
        <v>1081</v>
      </c>
      <c r="I322" t="s">
        <v>468</v>
      </c>
      <c r="J322"/>
      <c r="K322"/>
      <c r="L322"/>
      <c r="M322" t="s">
        <v>108</v>
      </c>
      <c r="N322" t="s">
        <v>1116</v>
      </c>
      <c r="O322"/>
      <c r="P322"/>
      <c r="Q322" t="s">
        <v>855</v>
      </c>
      <c r="R322" t="s">
        <v>632</v>
      </c>
      <c r="S322"/>
      <c r="T322"/>
      <c r="U322"/>
      <c r="V322">
        <v>30000</v>
      </c>
      <c r="W322"/>
      <c r="X322"/>
      <c r="Y322"/>
      <c r="Z322"/>
      <c r="AA322">
        <v>30000</v>
      </c>
      <c r="AB322">
        <v>30000</v>
      </c>
      <c r="AC322"/>
      <c r="AD322"/>
      <c r="AE322">
        <v>3.1754852499999999</v>
      </c>
      <c r="AF322"/>
      <c r="AG322"/>
      <c r="AH322"/>
      <c r="AI322"/>
      <c r="AJ322"/>
      <c r="AK322"/>
      <c r="AL322"/>
      <c r="AM322"/>
      <c r="AN322">
        <v>3.1754852499999999</v>
      </c>
      <c r="AO322">
        <v>105.84950846</v>
      </c>
      <c r="AP322"/>
      <c r="AQ322"/>
      <c r="AR322"/>
      <c r="AS322"/>
      <c r="AT322">
        <v>0.2</v>
      </c>
      <c r="AU322"/>
      <c r="AV322"/>
      <c r="AW322"/>
      <c r="AX322">
        <v>5.8999999999999997E-2</v>
      </c>
      <c r="AY322"/>
      <c r="AZ322"/>
      <c r="BA322"/>
      <c r="BB322"/>
      <c r="BC322"/>
      <c r="BD322"/>
      <c r="BE322"/>
      <c r="BF322"/>
      <c r="BG322"/>
      <c r="BH322"/>
      <c r="BI322">
        <v>0.1</v>
      </c>
      <c r="BJ322"/>
      <c r="BK322"/>
      <c r="BL322"/>
      <c r="BM322"/>
    </row>
  </sheetData>
  <pageMargins left="0.7" right="0.7" top="0.75" bottom="0.75" header="0.3" footer="0.3"/>
  <pageSetup orientation="portrait" verticalDpi="2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tabColor indexed="55"/>
  </sheetPr>
  <dimension ref="A1:BB73"/>
  <sheetViews>
    <sheetView zoomScaleNormal="100" zoomScaleSheetLayoutView="100" workbookViewId="0">
      <selection activeCell="Q9" sqref="Q9"/>
    </sheetView>
  </sheetViews>
  <sheetFormatPr defaultRowHeight="12.75"/>
  <cols>
    <col min="2" max="2" width="0.42578125" customWidth="1"/>
    <col min="3" max="3" width="1.28515625" customWidth="1"/>
    <col min="4" max="4" width="63.7109375" customWidth="1"/>
    <col min="5" max="5" width="5.28515625" customWidth="1"/>
    <col min="6" max="6" width="1.42578125" customWidth="1"/>
    <col min="7" max="7" width="2.5703125" customWidth="1"/>
    <col min="8" max="8" width="24.85546875" customWidth="1"/>
    <col min="9" max="9" width="2.42578125" customWidth="1"/>
    <col min="10" max="10" width="24.7109375" customWidth="1"/>
    <col min="11" max="11" width="2.5703125" customWidth="1"/>
    <col min="12" max="12" width="1.140625" customWidth="1"/>
    <col min="13" max="14" width="0.5703125" customWidth="1"/>
    <col min="18" max="18" width="16.42578125" customWidth="1"/>
    <col min="19" max="19" width="14.7109375" bestFit="1" customWidth="1"/>
    <col min="20" max="20" width="20.28515625" bestFit="1" customWidth="1"/>
    <col min="21" max="21" width="18.140625" customWidth="1"/>
    <col min="22" max="22" width="20.28515625" bestFit="1" customWidth="1"/>
    <col min="23" max="23" width="14.5703125" customWidth="1"/>
    <col min="25" max="25" width="9.140625" style="2"/>
    <col min="27" max="27" width="10.42578125" bestFit="1" customWidth="1"/>
    <col min="28" max="28" width="11.140625" bestFit="1" customWidth="1"/>
    <col min="29" max="29" width="19" customWidth="1"/>
    <col min="30" max="30" width="11.42578125" customWidth="1"/>
    <col min="31" max="31" width="10" customWidth="1"/>
    <col min="32" max="32" width="9.28515625" customWidth="1"/>
    <col min="33" max="33" width="9.42578125" customWidth="1"/>
    <col min="34" max="35" width="8.5703125" customWidth="1"/>
    <col min="36" max="36" width="9.7109375" customWidth="1"/>
    <col min="37" max="37" width="45" customWidth="1"/>
    <col min="41" max="41" width="19" customWidth="1"/>
    <col min="42" max="42" width="11.42578125" customWidth="1"/>
    <col min="43" max="43" width="10" customWidth="1"/>
    <col min="44" max="44" width="9.28515625" customWidth="1"/>
    <col min="45" max="45" width="9.42578125" customWidth="1"/>
    <col min="46" max="47" width="8.5703125" customWidth="1"/>
    <col min="48" max="48" width="9.7109375" customWidth="1"/>
    <col min="49" max="49" width="11.7109375" customWidth="1"/>
    <col min="50" max="50" width="10.85546875" customWidth="1"/>
    <col min="51" max="51" width="11.5703125" customWidth="1"/>
    <col min="52" max="52" width="10.85546875" customWidth="1"/>
    <col min="54" max="54" width="9.140625" style="2"/>
  </cols>
  <sheetData>
    <row r="1" spans="1:53" ht="16.5" thickBot="1">
      <c r="A1" s="22" t="s">
        <v>241</v>
      </c>
      <c r="N1" t="s">
        <v>0</v>
      </c>
      <c r="Z1" s="110" t="s">
        <v>91</v>
      </c>
      <c r="AA1" s="110"/>
      <c r="AB1" s="110"/>
    </row>
    <row r="2" spans="1:5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1:53">
      <c r="A3" s="2"/>
      <c r="B3" s="3">
        <v>0.25</v>
      </c>
      <c r="C3" s="3">
        <v>0.75</v>
      </c>
      <c r="D3" s="99">
        <v>63</v>
      </c>
      <c r="E3" s="99">
        <v>4.57</v>
      </c>
      <c r="F3" s="99">
        <v>0.83</v>
      </c>
      <c r="G3" s="99"/>
      <c r="H3" s="99">
        <v>26.71</v>
      </c>
      <c r="I3" s="99">
        <v>1.57</v>
      </c>
      <c r="J3" s="99">
        <v>24</v>
      </c>
      <c r="K3" s="4">
        <v>1.86</v>
      </c>
      <c r="L3" s="3">
        <v>0.67</v>
      </c>
      <c r="M3" s="3">
        <v>0.33</v>
      </c>
      <c r="N3" s="3">
        <v>0.33</v>
      </c>
      <c r="O3" s="5">
        <f>SUM(B3:M3)</f>
        <v>124.53999999999998</v>
      </c>
      <c r="Z3" s="15" t="s">
        <v>19</v>
      </c>
      <c r="AA3" s="15"/>
      <c r="AB3" s="15"/>
      <c r="AC3" s="15">
        <v>138</v>
      </c>
      <c r="AD3" s="15">
        <v>65</v>
      </c>
      <c r="AE3" s="15">
        <v>70</v>
      </c>
      <c r="AF3" s="15">
        <v>65</v>
      </c>
      <c r="AG3" s="15">
        <v>66</v>
      </c>
      <c r="AH3" s="15">
        <v>60</v>
      </c>
      <c r="AI3" s="15">
        <v>60</v>
      </c>
      <c r="AJ3" s="15">
        <v>68</v>
      </c>
      <c r="AK3" s="15">
        <v>325</v>
      </c>
      <c r="AL3" s="15" t="s">
        <v>19</v>
      </c>
      <c r="AM3" s="15"/>
      <c r="AN3" s="15"/>
      <c r="AO3" s="15">
        <v>138</v>
      </c>
      <c r="AP3" s="15">
        <v>65</v>
      </c>
      <c r="AQ3" s="15">
        <v>70</v>
      </c>
      <c r="AR3" s="15">
        <v>65</v>
      </c>
      <c r="AS3" s="15">
        <v>66</v>
      </c>
      <c r="AT3" s="15">
        <v>60</v>
      </c>
      <c r="AU3" s="15">
        <v>60</v>
      </c>
      <c r="AV3" s="15">
        <v>68</v>
      </c>
      <c r="AW3" s="15">
        <v>82</v>
      </c>
      <c r="AX3" s="15">
        <v>81</v>
      </c>
      <c r="AY3" s="15">
        <v>81</v>
      </c>
      <c r="AZ3" s="15">
        <v>81</v>
      </c>
      <c r="BA3" s="15" t="s">
        <v>19</v>
      </c>
    </row>
    <row r="4" spans="1:53" ht="1.5" customHeight="1">
      <c r="A4" s="3">
        <v>1.5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O4" s="7"/>
    </row>
    <row r="5" spans="1:53" ht="21.75" customHeight="1">
      <c r="A5" s="3">
        <v>21.75</v>
      </c>
      <c r="D5" s="406" t="s">
        <v>249</v>
      </c>
      <c r="E5" s="30"/>
      <c r="F5" s="30"/>
      <c r="G5" s="30"/>
      <c r="K5" s="408">
        <v>31</v>
      </c>
      <c r="L5" s="408"/>
      <c r="M5" s="408"/>
      <c r="N5" s="408"/>
      <c r="O5" s="7"/>
      <c r="Q5" s="8" t="s">
        <v>1</v>
      </c>
      <c r="R5" s="9">
        <f>LAND!R5+1</f>
        <v>41</v>
      </c>
    </row>
    <row r="6" spans="1:53" ht="1.5" customHeight="1">
      <c r="A6" s="3">
        <v>1.5</v>
      </c>
      <c r="D6" s="406"/>
      <c r="E6" s="30"/>
      <c r="F6" s="30"/>
      <c r="G6" s="30"/>
      <c r="O6" s="7"/>
    </row>
    <row r="7" spans="1:53" ht="12" customHeight="1">
      <c r="A7" s="3">
        <v>12</v>
      </c>
      <c r="O7" s="7"/>
    </row>
    <row r="8" spans="1:53" ht="35.25" customHeight="1" thickBot="1">
      <c r="A8" s="3">
        <v>35.25</v>
      </c>
      <c r="B8" s="10" t="str">
        <f>U13 &amp; " – Central London Office Portfolio"</f>
        <v>Songbird – Central London Office Portfolio</v>
      </c>
      <c r="C8" s="11"/>
      <c r="D8" s="12"/>
      <c r="E8" s="12"/>
      <c r="F8" s="12"/>
      <c r="G8" s="12"/>
      <c r="H8" s="12"/>
      <c r="I8" s="12"/>
      <c r="J8" s="12"/>
      <c r="K8" s="12"/>
      <c r="L8" s="12"/>
      <c r="M8" s="12"/>
      <c r="O8" s="7"/>
    </row>
    <row r="9" spans="1:53" ht="13.5" customHeight="1" thickTop="1">
      <c r="A9" s="4">
        <v>13.5</v>
      </c>
      <c r="O9" s="7"/>
      <c r="R9" s="24" t="s">
        <v>40</v>
      </c>
      <c r="S9" s="25"/>
      <c r="T9" s="25"/>
      <c r="U9" s="25"/>
      <c r="V9" s="25"/>
      <c r="W9" s="25"/>
    </row>
    <row r="10" spans="1:53" ht="16.5" customHeight="1" thickBot="1">
      <c r="A10" s="47"/>
      <c r="G10" s="405" t="s">
        <v>29</v>
      </c>
      <c r="H10" s="405"/>
      <c r="I10" s="26"/>
      <c r="J10" s="405" t="s">
        <v>200</v>
      </c>
      <c r="K10" s="405"/>
      <c r="L10" s="405"/>
      <c r="M10" s="405"/>
      <c r="O10" s="7"/>
      <c r="R10" s="111" t="s">
        <v>64</v>
      </c>
      <c r="S10" s="112" t="e">
        <f>HLOOKUP($A$1, PortfolioData!$B$10:$L$11, 2, FALSE)</f>
        <v>#N/A</v>
      </c>
      <c r="T10" s="129"/>
    </row>
    <row r="11" spans="1:53" ht="15">
      <c r="A11" s="21"/>
      <c r="F11" s="42"/>
      <c r="G11" s="42"/>
      <c r="I11" s="42"/>
      <c r="J11" s="42"/>
      <c r="K11" s="26"/>
      <c r="L11" s="26"/>
      <c r="O11" s="2"/>
      <c r="R11" s="111" t="s">
        <v>63</v>
      </c>
      <c r="S11" s="112">
        <f>HLOOKUP("Average", PortfolioData!$B$10:$L$11, 2, FALSE)</f>
        <v>10</v>
      </c>
      <c r="T11" s="130"/>
    </row>
    <row r="12" spans="1:53" ht="12.75" customHeight="1">
      <c r="A12" s="21"/>
      <c r="O12" s="2"/>
      <c r="S12" s="117" t="s">
        <v>71</v>
      </c>
      <c r="T12" s="122" t="s">
        <v>70</v>
      </c>
    </row>
    <row r="13" spans="1:53" ht="12.75" customHeight="1">
      <c r="A13" s="21"/>
      <c r="D13" s="14"/>
      <c r="E13" s="14"/>
      <c r="O13" s="2"/>
      <c r="R13" s="111" t="s">
        <v>28</v>
      </c>
      <c r="S13" s="117" t="s">
        <v>5</v>
      </c>
      <c r="T13" s="118">
        <f>MATCH(S13, PortfolioData!B:B,0)-PortfolioData!$F$5</f>
        <v>2</v>
      </c>
      <c r="U13" s="119" t="s">
        <v>240</v>
      </c>
    </row>
    <row r="14" spans="1:53" ht="12.75" customHeight="1">
      <c r="A14" s="21"/>
      <c r="O14" s="2"/>
      <c r="R14" s="137" t="s">
        <v>68</v>
      </c>
      <c r="S14" s="117" t="s">
        <v>5</v>
      </c>
      <c r="T14" s="118">
        <f>MATCH(S14, PortfolioData!B:B,0)-PortfolioData!$F$5</f>
        <v>2</v>
      </c>
      <c r="U14" s="119" t="str">
        <f ca="1">OFFSET(PortfolioData!$B$10, T14, $S$11)&amp;"(2)"</f>
        <v>Selected REITs' Avg.(2)</v>
      </c>
    </row>
    <row r="15" spans="1:53" ht="12.75" customHeight="1">
      <c r="A15" s="21"/>
      <c r="D15" s="14"/>
      <c r="E15" s="14"/>
      <c r="O15" s="2"/>
    </row>
    <row r="16" spans="1:53" ht="12.75" customHeight="1">
      <c r="A16" s="21"/>
      <c r="O16" s="2"/>
      <c r="R16" s="24" t="s">
        <v>4</v>
      </c>
      <c r="S16" s="24"/>
      <c r="T16" s="24"/>
      <c r="U16" s="24"/>
      <c r="V16" s="24"/>
      <c r="W16" s="24"/>
    </row>
    <row r="17" spans="1:28" ht="12.75" customHeight="1">
      <c r="A17" s="21"/>
      <c r="C17" s="13"/>
      <c r="O17" s="2"/>
      <c r="R17" t="s">
        <v>7</v>
      </c>
      <c r="X17" s="18"/>
      <c r="Z17" s="18"/>
      <c r="AA17" s="18"/>
      <c r="AB17" s="18"/>
    </row>
    <row r="18" spans="1:28" ht="12.75" customHeight="1">
      <c r="A18" s="21"/>
      <c r="O18" s="2"/>
    </row>
    <row r="19" spans="1:28" ht="12.75" customHeight="1">
      <c r="A19" s="21"/>
      <c r="C19" s="13"/>
      <c r="H19" s="42"/>
      <c r="I19" s="42"/>
      <c r="J19" s="42"/>
      <c r="K19" s="42"/>
      <c r="L19" s="42"/>
      <c r="M19" s="26"/>
      <c r="N19" s="26"/>
      <c r="O19" s="2"/>
      <c r="R19" s="24" t="s">
        <v>13</v>
      </c>
      <c r="S19" s="25"/>
      <c r="T19" s="25"/>
      <c r="U19" s="25"/>
      <c r="V19" s="25"/>
      <c r="W19" s="25"/>
    </row>
    <row r="20" spans="1:28" ht="12.75" customHeight="1">
      <c r="A20" s="21"/>
      <c r="O20" s="2"/>
      <c r="R20" s="117" t="s">
        <v>59</v>
      </c>
      <c r="S20" s="122" t="s">
        <v>62</v>
      </c>
      <c r="T20" s="131" t="s">
        <v>60</v>
      </c>
      <c r="U20" s="122" t="s">
        <v>61</v>
      </c>
      <c r="V20" s="108" t="s">
        <v>8</v>
      </c>
      <c r="W20" s="108" t="s">
        <v>192</v>
      </c>
    </row>
    <row r="21" spans="1:28" ht="12.75" customHeight="1">
      <c r="A21" s="21"/>
      <c r="O21" s="2"/>
      <c r="R21" s="123" t="s">
        <v>187</v>
      </c>
      <c r="S21" s="125">
        <f>MATCH(R21, PortfolioData!B:B,0)-PortfolioData!$F$5</f>
        <v>6</v>
      </c>
      <c r="T21" s="124" t="s">
        <v>193</v>
      </c>
      <c r="U21" s="133">
        <f>MATCH(T21, PortfolioData!B:B,0)-PortfolioData!$F$5</f>
        <v>7</v>
      </c>
      <c r="V21" s="88" t="e">
        <f ca="1">OFFSET(PortfolioData!$B$10, S21, $S$10)</f>
        <v>#N/A</v>
      </c>
      <c r="W21" s="245">
        <v>0.87</v>
      </c>
    </row>
    <row r="22" spans="1:28" ht="12.75" customHeight="1">
      <c r="A22" s="21"/>
      <c r="O22" s="2"/>
      <c r="R22" s="123" t="s">
        <v>188</v>
      </c>
      <c r="S22" s="125">
        <f>MATCH(R22, PortfolioData!B:B,0)-PortfolioData!$F$5</f>
        <v>10</v>
      </c>
      <c r="T22" s="124" t="s">
        <v>194</v>
      </c>
      <c r="U22" s="125">
        <f>MATCH(T22, PortfolioData!B:B,0)-PortfolioData!$F$5</f>
        <v>11</v>
      </c>
      <c r="V22" s="88" t="e">
        <f ca="1">OFFSET(PortfolioData!$B$10, S22, $S$10)</f>
        <v>#N/A</v>
      </c>
      <c r="W22" s="245">
        <v>0.13</v>
      </c>
    </row>
    <row r="23" spans="1:28" ht="12.75" customHeight="1">
      <c r="A23" s="21"/>
      <c r="O23" s="2"/>
      <c r="R23" s="123" t="s">
        <v>189</v>
      </c>
      <c r="S23" s="125">
        <f>MATCH(R23, PortfolioData!B:B,0)-PortfolioData!$F$5</f>
        <v>14</v>
      </c>
      <c r="T23" s="124" t="s">
        <v>195</v>
      </c>
      <c r="U23" s="125">
        <f>MATCH(T23, PortfolioData!B:B,0)-PortfolioData!$F$5</f>
        <v>15</v>
      </c>
      <c r="V23" s="88" t="e">
        <f ca="1">OFFSET(PortfolioData!$B$10, S23, $S$10)</f>
        <v>#N/A</v>
      </c>
      <c r="W23" s="245" t="e">
        <f ca="1">OFFSET(PortfolioData!$B$10, U23, $S$10)</f>
        <v>#N/A</v>
      </c>
    </row>
    <row r="24" spans="1:28" ht="12.75" customHeight="1">
      <c r="A24" s="21"/>
      <c r="G24" s="41" t="s">
        <v>41</v>
      </c>
      <c r="H24" s="16" t="s">
        <v>202</v>
      </c>
      <c r="I24" s="100"/>
      <c r="J24" s="100"/>
      <c r="K24" s="100"/>
      <c r="L24" s="100"/>
      <c r="M24" s="100"/>
      <c r="O24" s="2"/>
      <c r="R24" s="123" t="s">
        <v>190</v>
      </c>
      <c r="S24" s="125">
        <f>MATCH(R24, PortfolioData!B:B,0)-PortfolioData!$F$5</f>
        <v>18</v>
      </c>
      <c r="T24" s="124" t="s">
        <v>196</v>
      </c>
      <c r="U24" s="125">
        <f>MATCH(T24, PortfolioData!B:B,0)-PortfolioData!$F$5</f>
        <v>19</v>
      </c>
      <c r="V24" s="88" t="e">
        <f ca="1">OFFSET(PortfolioData!$B$10, S24, $S$10)</f>
        <v>#N/A</v>
      </c>
      <c r="W24" s="245" t="e">
        <f ca="1">OFFSET(PortfolioData!$B$10, U24, $S$10)</f>
        <v>#N/A</v>
      </c>
    </row>
    <row r="25" spans="1:28" ht="12.75" customHeight="1">
      <c r="A25" s="2"/>
      <c r="G25" s="41" t="s">
        <v>201</v>
      </c>
      <c r="H25" s="414" t="s">
        <v>243</v>
      </c>
      <c r="I25" s="415"/>
      <c r="J25" s="415"/>
      <c r="K25" s="415"/>
      <c r="L25" s="415"/>
      <c r="M25" s="415"/>
      <c r="O25" s="2"/>
      <c r="R25" s="123" t="s">
        <v>191</v>
      </c>
      <c r="S25" s="125">
        <f>MATCH(R25, PortfolioData!B:B,0)-PortfolioData!$F$5</f>
        <v>22</v>
      </c>
      <c r="T25" s="124" t="s">
        <v>197</v>
      </c>
      <c r="U25" s="125">
        <f>MATCH(T25, PortfolioData!B:B,0)-PortfolioData!$F$5</f>
        <v>23</v>
      </c>
      <c r="V25" s="88" t="e">
        <f ca="1">OFFSET(PortfolioData!$B$10, S25, $S$10)</f>
        <v>#N/A</v>
      </c>
      <c r="W25" s="245" t="e">
        <f ca="1">OFFSET(PortfolioData!$B$10, U25, $S$10)</f>
        <v>#N/A</v>
      </c>
    </row>
    <row r="26" spans="1:28">
      <c r="A26" s="2"/>
      <c r="H26" s="415"/>
      <c r="I26" s="415"/>
      <c r="J26" s="415"/>
      <c r="K26" s="415"/>
      <c r="L26" s="415"/>
      <c r="M26" s="415"/>
      <c r="O26" s="2"/>
      <c r="R26" s="126" t="s">
        <v>181</v>
      </c>
      <c r="S26" s="128" t="s">
        <v>19</v>
      </c>
      <c r="T26" s="127" t="s">
        <v>181</v>
      </c>
      <c r="U26" s="128" t="s">
        <v>19</v>
      </c>
      <c r="V26" s="211"/>
      <c r="W26" s="212"/>
    </row>
    <row r="27" spans="1:28" ht="15" customHeight="1">
      <c r="A27" s="2"/>
      <c r="H27" s="45"/>
      <c r="I27" s="45"/>
      <c r="J27" s="45"/>
      <c r="K27" s="45"/>
      <c r="O27" s="2"/>
      <c r="T27" s="127" t="s">
        <v>199</v>
      </c>
      <c r="U27" s="246">
        <f>MATCH(T27, PortfolioData!B:B,0)-PortfolioData!$F$5</f>
        <v>25</v>
      </c>
      <c r="V27" s="109" t="s">
        <v>185</v>
      </c>
      <c r="W27" s="278" t="e">
        <f ca="1">OFFSET(PortfolioData!$B$10, U27, $S$10)/1000</f>
        <v>#N/A</v>
      </c>
    </row>
    <row r="28" spans="1:28" ht="15">
      <c r="A28" s="2"/>
      <c r="H28" s="45"/>
      <c r="I28" s="45"/>
      <c r="J28" s="45"/>
      <c r="K28" s="45"/>
      <c r="L28" s="40"/>
      <c r="M28" s="40"/>
      <c r="O28" s="2"/>
    </row>
    <row r="29" spans="1:28" ht="12.75" customHeight="1">
      <c r="A29" s="2"/>
      <c r="H29" s="33"/>
      <c r="I29" s="36"/>
      <c r="J29" s="36"/>
      <c r="O29" s="2"/>
      <c r="R29" s="15" t="s">
        <v>39</v>
      </c>
      <c r="S29" s="112" t="e">
        <f ca="1">"Total Value: " &amp; TEXT( W27, "£#,###.0") &amp; "bn"</f>
        <v>#N/A</v>
      </c>
    </row>
    <row r="30" spans="1:28" ht="12.75" customHeight="1">
      <c r="A30" s="2"/>
      <c r="H30" s="33"/>
      <c r="I30" s="36"/>
      <c r="J30" s="36"/>
      <c r="O30" s="2"/>
    </row>
    <row r="31" spans="1:28" ht="12.75" customHeight="1">
      <c r="A31" s="2"/>
      <c r="H31" s="28"/>
      <c r="I31" s="37"/>
      <c r="J31" s="37"/>
      <c r="O31" s="2" t="s">
        <v>17</v>
      </c>
    </row>
    <row r="32" spans="1:28">
      <c r="A32" s="2"/>
      <c r="H32" s="28"/>
      <c r="I32" s="37"/>
      <c r="J32" s="37"/>
      <c r="O32" s="2"/>
      <c r="R32" s="24" t="s">
        <v>37</v>
      </c>
      <c r="S32" s="25"/>
      <c r="T32" s="25"/>
      <c r="U32" s="25"/>
      <c r="V32" s="25"/>
      <c r="W32" s="25"/>
    </row>
    <row r="33" spans="1:22">
      <c r="A33" s="2"/>
      <c r="H33" s="28"/>
      <c r="I33" s="37"/>
      <c r="J33" s="37"/>
      <c r="O33" s="2"/>
    </row>
    <row r="34" spans="1:22">
      <c r="A34" s="2"/>
      <c r="H34" s="34"/>
      <c r="I34" s="38"/>
      <c r="J34" s="38"/>
      <c r="O34" s="2"/>
      <c r="R34" s="101" t="s">
        <v>38</v>
      </c>
      <c r="S34" s="131" t="s">
        <v>71</v>
      </c>
      <c r="T34" s="122" t="s">
        <v>70</v>
      </c>
      <c r="U34" s="102" t="str">
        <f>U13</f>
        <v>Songbird</v>
      </c>
      <c r="V34" s="101" t="str">
        <f ca="1">U14</f>
        <v>Selected REITs' Avg.(2)</v>
      </c>
    </row>
    <row r="35" spans="1:22">
      <c r="A35" s="2"/>
      <c r="H35" s="34"/>
      <c r="I35" s="38"/>
      <c r="J35" s="38"/>
      <c r="O35" s="2"/>
      <c r="R35" s="103" t="s">
        <v>26</v>
      </c>
      <c r="S35" s="132" t="s">
        <v>26</v>
      </c>
      <c r="T35" s="133">
        <f>MATCH(S35, PortfolioData!B:B,0)-PortfolioData!$F$5</f>
        <v>34</v>
      </c>
      <c r="U35" s="104" t="e">
        <f ca="1">OFFSET(PortfolioData!$B$10, T35, $S$10)</f>
        <v>#N/A</v>
      </c>
      <c r="V35" s="104">
        <f ca="1">OFFSET(PortfolioData!$B$10, T35, $S$11)</f>
        <v>3.3626769078890555E-2</v>
      </c>
    </row>
    <row r="36" spans="1:22">
      <c r="A36" s="2"/>
      <c r="D36" s="26"/>
      <c r="E36" s="26"/>
      <c r="F36" s="26"/>
      <c r="G36" s="26"/>
      <c r="I36" s="18"/>
      <c r="J36" s="18"/>
      <c r="O36" s="2"/>
      <c r="R36" s="103"/>
      <c r="S36" s="134"/>
      <c r="T36" s="135"/>
      <c r="U36" s="105"/>
      <c r="V36" s="105"/>
    </row>
    <row r="37" spans="1:22" ht="15">
      <c r="A37" s="2"/>
      <c r="H37" s="40"/>
      <c r="I37" s="40"/>
      <c r="J37" s="40"/>
      <c r="K37" s="40"/>
      <c r="L37" s="40"/>
      <c r="M37" s="40"/>
      <c r="O37" s="2"/>
      <c r="R37" s="106" t="s">
        <v>27</v>
      </c>
      <c r="S37" s="126" t="s">
        <v>67</v>
      </c>
      <c r="T37" s="128">
        <f>MATCH(S37, PortfolioData!B:B,0)-PortfolioData!$F$5</f>
        <v>31</v>
      </c>
      <c r="U37" s="107">
        <v>645</v>
      </c>
      <c r="V37" s="107">
        <v>551</v>
      </c>
    </row>
    <row r="38" spans="1:22" ht="12.75" customHeight="1">
      <c r="A38" s="2"/>
      <c r="H38" s="29"/>
      <c r="I38" s="29"/>
      <c r="J38" s="29"/>
      <c r="O38" s="2"/>
    </row>
    <row r="39" spans="1:22">
      <c r="A39" s="2"/>
      <c r="H39" s="35"/>
      <c r="I39" s="35"/>
      <c r="J39" s="35"/>
      <c r="O39" s="2"/>
    </row>
    <row r="40" spans="1:22">
      <c r="A40" s="2"/>
      <c r="H40" s="32"/>
      <c r="I40" s="32"/>
      <c r="J40" s="32"/>
      <c r="O40" s="2"/>
    </row>
    <row r="41" spans="1:22">
      <c r="A41" s="2"/>
      <c r="H41" s="32"/>
      <c r="O41" s="2"/>
    </row>
    <row r="42" spans="1:22">
      <c r="A42" s="2"/>
      <c r="O42" s="2"/>
    </row>
    <row r="43" spans="1:22" ht="12.75" customHeight="1">
      <c r="A43" s="15"/>
      <c r="H43" s="26"/>
      <c r="I43" s="26"/>
      <c r="J43" s="26"/>
      <c r="O43" s="2"/>
    </row>
    <row r="44" spans="1:22" ht="8.25" customHeight="1">
      <c r="A44" s="15"/>
      <c r="O44" s="2"/>
    </row>
    <row r="45" spans="1:22" ht="12.75" customHeight="1">
      <c r="A45" s="3">
        <v>12.75</v>
      </c>
      <c r="B45" s="260" t="s">
        <v>250</v>
      </c>
      <c r="M45" s="259" t="s">
        <v>210</v>
      </c>
      <c r="O45" s="2"/>
    </row>
    <row r="46" spans="1:22" ht="13.5" thickBot="1">
      <c r="A46" s="3">
        <v>12.75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8"/>
      <c r="O46" s="7"/>
    </row>
    <row r="47" spans="1:22" ht="23.25" customHeight="1">
      <c r="A47" s="3">
        <v>23.25</v>
      </c>
      <c r="N47" s="19" t="s">
        <v>2</v>
      </c>
      <c r="O47" s="7"/>
    </row>
    <row r="48" spans="1:22" ht="15" customHeight="1">
      <c r="A48" s="4">
        <v>15</v>
      </c>
      <c r="M48" s="20" t="s">
        <v>242</v>
      </c>
      <c r="O48" s="7"/>
    </row>
    <row r="49" spans="1:53">
      <c r="A49" s="2"/>
      <c r="B49" s="3">
        <v>0.25</v>
      </c>
      <c r="C49" s="3">
        <v>0.75</v>
      </c>
      <c r="D49" s="3">
        <v>37.29</v>
      </c>
      <c r="E49" s="3"/>
      <c r="F49" s="2"/>
      <c r="G49" s="2"/>
      <c r="H49" s="2"/>
      <c r="I49" s="2"/>
      <c r="J49" s="2"/>
      <c r="K49" s="2"/>
      <c r="L49" s="3">
        <v>0.67</v>
      </c>
      <c r="M49" s="3">
        <v>0.33</v>
      </c>
      <c r="N49" s="3">
        <v>0.33</v>
      </c>
      <c r="O49" s="7"/>
      <c r="AB49" s="170" t="s">
        <v>85</v>
      </c>
      <c r="AC49" s="168">
        <v>133</v>
      </c>
      <c r="AD49" s="168">
        <v>80</v>
      </c>
      <c r="AE49" s="168">
        <v>70</v>
      </c>
      <c r="AF49" s="168">
        <v>65</v>
      </c>
      <c r="AG49" s="168">
        <v>66</v>
      </c>
      <c r="AH49" s="168">
        <v>60</v>
      </c>
      <c r="AI49" s="168">
        <v>60</v>
      </c>
      <c r="AJ49" s="168">
        <v>68</v>
      </c>
      <c r="AK49" s="169">
        <v>315</v>
      </c>
    </row>
    <row r="50" spans="1:5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AB50" s="117" t="s">
        <v>84</v>
      </c>
      <c r="AC50" s="131">
        <f>MATCH(AC53, AssetData_Investment!$B$12:$O$12,0)-1</f>
        <v>4</v>
      </c>
      <c r="AD50" s="131">
        <f>MATCH(AD53, AssetData_Investment!$B$12:$O$12,0)-1</f>
        <v>5</v>
      </c>
      <c r="AE50" s="131">
        <f>MATCH(AE53, AssetData_Investment!$B$12:$O$12,0)-1</f>
        <v>6</v>
      </c>
      <c r="AF50" s="172" t="s">
        <v>50</v>
      </c>
      <c r="AG50" s="131">
        <f>MATCH(AG53, AssetData_Investment!$B$12:$O$12,0)-1</f>
        <v>7</v>
      </c>
      <c r="AH50" s="172" t="s">
        <v>50</v>
      </c>
      <c r="AI50" s="131">
        <f>MATCH("Rent (£m)", AssetData_Investment!$B$12:$O$12,0)-1</f>
        <v>8</v>
      </c>
      <c r="AJ50" s="131">
        <f>MATCH(AJ53, AssetData_Investment!$B$12:$O$12,0)-1</f>
        <v>9</v>
      </c>
      <c r="AK50" s="131">
        <f>MATCH(AK53, AssetData_Investment!$B$12:$O$12,0)-1</f>
        <v>10</v>
      </c>
    </row>
    <row r="52" spans="1:53" ht="13.5" customHeight="1">
      <c r="AC52" s="402" t="s">
        <v>247</v>
      </c>
      <c r="AD52" s="402"/>
      <c r="AE52" s="402"/>
      <c r="AF52" s="402"/>
      <c r="AG52" s="402"/>
      <c r="AH52" s="402"/>
      <c r="AI52" s="402"/>
      <c r="AJ52" s="402"/>
      <c r="AK52" s="27"/>
    </row>
    <row r="53" spans="1:53" ht="12.75" customHeight="1">
      <c r="AA53" s="162" t="s">
        <v>82</v>
      </c>
      <c r="AB53" s="163" t="s">
        <v>83</v>
      </c>
      <c r="AC53" s="58" t="s">
        <v>9</v>
      </c>
      <c r="AD53" s="59" t="s">
        <v>10</v>
      </c>
      <c r="AE53" s="412" t="s">
        <v>88</v>
      </c>
      <c r="AF53" s="403" t="s">
        <v>30</v>
      </c>
      <c r="AG53" s="403" t="s">
        <v>22</v>
      </c>
      <c r="AH53" s="403" t="s">
        <v>32</v>
      </c>
      <c r="AI53" s="403" t="s">
        <v>23</v>
      </c>
      <c r="AJ53" s="58" t="s">
        <v>11</v>
      </c>
      <c r="AK53" s="58" t="s">
        <v>12</v>
      </c>
    </row>
    <row r="54" spans="1:53">
      <c r="AA54" s="164"/>
      <c r="AB54" s="165"/>
      <c r="AC54" s="60"/>
      <c r="AD54" s="61"/>
      <c r="AE54" s="413" t="s">
        <v>31</v>
      </c>
      <c r="AF54" s="404"/>
      <c r="AG54" s="404"/>
      <c r="AH54" s="404"/>
      <c r="AI54" s="404"/>
      <c r="AJ54" s="61"/>
      <c r="AK54" s="60"/>
    </row>
    <row r="55" spans="1:53" ht="12.75" customHeight="1">
      <c r="AA55" s="164" t="str">
        <f>$A$1 &amp; "1"</f>
        <v>sbd1</v>
      </c>
      <c r="AB55" s="165">
        <f>MATCH($AA55, AssetData_Investment!A:A,0)-AssetData_Investment!$C$4</f>
        <v>26</v>
      </c>
      <c r="AC55" s="62" t="s">
        <v>234</v>
      </c>
      <c r="AD55" s="63" t="s">
        <v>233</v>
      </c>
      <c r="AE55" s="92">
        <v>510</v>
      </c>
      <c r="AF55" s="65">
        <f>AE55/$AE$59</f>
        <v>0.18117229129662521</v>
      </c>
      <c r="AG55" s="96">
        <v>702</v>
      </c>
      <c r="AH55" s="64">
        <v>725</v>
      </c>
      <c r="AI55" s="64">
        <v>39.46102021174206</v>
      </c>
      <c r="AJ55" s="66">
        <v>1</v>
      </c>
      <c r="AK55" s="67" t="s">
        <v>254</v>
      </c>
    </row>
    <row r="56" spans="1:53">
      <c r="AA56" s="164" t="str">
        <f>$A$1 &amp; "2"</f>
        <v>sbd2</v>
      </c>
      <c r="AB56" s="165">
        <f>MATCH($AA56, AssetData_Investment!A:A,0)-AssetData_Investment!$C$4</f>
        <v>28</v>
      </c>
      <c r="AC56" s="68" t="s">
        <v>251</v>
      </c>
      <c r="AD56" s="69" t="s">
        <v>233</v>
      </c>
      <c r="AE56" s="93">
        <v>500</v>
      </c>
      <c r="AF56" s="71">
        <f>AE56/$AE$59</f>
        <v>0.17761989342806395</v>
      </c>
      <c r="AG56" s="97">
        <v>693</v>
      </c>
      <c r="AH56" s="72">
        <v>720</v>
      </c>
      <c r="AI56" s="70">
        <v>44</v>
      </c>
      <c r="AJ56" s="71">
        <v>1</v>
      </c>
      <c r="AK56" s="73" t="s">
        <v>239</v>
      </c>
    </row>
    <row r="57" spans="1:53">
      <c r="AA57" s="164" t="str">
        <f>$A$1 &amp; "3"</f>
        <v>sbd3</v>
      </c>
      <c r="AB57" s="165">
        <f>MATCH($AA57, AssetData_Investment!A:A,0)-AssetData_Investment!$C$4</f>
        <v>27</v>
      </c>
      <c r="AC57" s="62" t="s">
        <v>252</v>
      </c>
      <c r="AD57" s="63" t="s">
        <v>233</v>
      </c>
      <c r="AE57" s="94">
        <v>460</v>
      </c>
      <c r="AF57" s="65">
        <f>AE57/$AE$59</f>
        <v>0.16341030195381884</v>
      </c>
      <c r="AG57" s="96">
        <v>846</v>
      </c>
      <c r="AH57" s="64">
        <v>545</v>
      </c>
      <c r="AI57" s="74">
        <v>32</v>
      </c>
      <c r="AJ57" s="65">
        <v>0.9</v>
      </c>
      <c r="AK57" s="75" t="s">
        <v>238</v>
      </c>
    </row>
    <row r="58" spans="1:53">
      <c r="AA58" s="166" t="str">
        <f>$A$1 &amp; "Other"</f>
        <v>sbdOther</v>
      </c>
      <c r="AB58" s="165">
        <f>MATCH($AA58, AssetData_Investment!A:A,0)-AssetData_Investment!$C$4</f>
        <v>29</v>
      </c>
      <c r="AC58" s="68" t="s">
        <v>18</v>
      </c>
      <c r="AD58" s="171" t="s">
        <v>253</v>
      </c>
      <c r="AE58" s="93">
        <v>1345</v>
      </c>
      <c r="AF58" s="71">
        <f>AF59-SUM(AF55:AF57)</f>
        <v>0.47779751332149201</v>
      </c>
      <c r="AG58" s="97">
        <v>2140</v>
      </c>
      <c r="AH58" s="72">
        <v>630</v>
      </c>
      <c r="AI58" s="70">
        <v>36</v>
      </c>
      <c r="AJ58" s="71">
        <v>0.97185224188470309</v>
      </c>
      <c r="AK58" s="73" t="s">
        <v>253</v>
      </c>
      <c r="AN58" s="170" t="s">
        <v>85</v>
      </c>
      <c r="AO58" s="168">
        <v>133</v>
      </c>
      <c r="AP58" s="168">
        <v>80</v>
      </c>
      <c r="AQ58" s="168">
        <v>70</v>
      </c>
      <c r="AR58" s="168">
        <v>65</v>
      </c>
      <c r="AS58" s="168">
        <v>66</v>
      </c>
      <c r="AT58" s="168">
        <v>60</v>
      </c>
      <c r="AU58" s="168">
        <v>60</v>
      </c>
      <c r="AV58" s="168">
        <v>68</v>
      </c>
      <c r="AW58" s="168">
        <v>82</v>
      </c>
      <c r="AX58" s="168">
        <v>76</v>
      </c>
      <c r="AY58" s="168">
        <v>81</v>
      </c>
      <c r="AZ58" s="168">
        <v>76</v>
      </c>
      <c r="BA58" s="181">
        <f>SUM(AO58:AZ58)</f>
        <v>917</v>
      </c>
    </row>
    <row r="59" spans="1:53" ht="14.25" customHeight="1" thickBot="1">
      <c r="AC59" s="53" t="s">
        <v>25</v>
      </c>
      <c r="AD59" s="54"/>
      <c r="AE59" s="95">
        <f>SUM(AE55:AE58)</f>
        <v>2815</v>
      </c>
      <c r="AF59" s="55">
        <v>1</v>
      </c>
      <c r="AG59" s="98">
        <v>4381</v>
      </c>
      <c r="AH59" s="56">
        <f>MROUND(SUMPRODUCT($AG55:$AG58,AH55:AH58)/$AG59,5)</f>
        <v>645</v>
      </c>
      <c r="AI59" s="56">
        <f>SUMPRODUCT($AG55:$AG58,AI55:AI58)/$AG59</f>
        <v>37.047622960201537</v>
      </c>
      <c r="AJ59" s="55">
        <f>SUMPRODUCT($AG55:$AG58,AJ55:AJ58)/AG59</f>
        <v>0.96693992185192057</v>
      </c>
      <c r="AK59" s="57"/>
      <c r="AN59" s="166" t="s">
        <v>84</v>
      </c>
      <c r="AO59" s="179">
        <f>MATCH(AO63, AssetData_Developments!$B$12:$S$12, 0)-1</f>
        <v>4</v>
      </c>
      <c r="AP59" s="179">
        <f>MATCH(AP63, AssetData_Developments!$B$12:$S$12, 0)-1</f>
        <v>6</v>
      </c>
      <c r="AQ59" s="179">
        <f>MATCH(AQ63, AssetData_Developments!$B$12:$S$12, 0)-1</f>
        <v>7</v>
      </c>
      <c r="AR59" s="180" t="s">
        <v>50</v>
      </c>
      <c r="AS59" s="179">
        <f>MATCH(AS63, AssetData_Developments!$B$12:$S$12, 0)-1</f>
        <v>8</v>
      </c>
      <c r="AT59" s="180" t="s">
        <v>50</v>
      </c>
      <c r="AU59" s="179">
        <f>MATCH("Rent (£m)", AssetData_Developments!$B$12:$S$12, 0)-1</f>
        <v>9</v>
      </c>
      <c r="AV59" s="179">
        <f>MATCH(AV63, AssetData_Developments!$B$12:$S$12, 0)-1</f>
        <v>10</v>
      </c>
      <c r="AW59" s="179">
        <f>MATCH(AW63, AssetData_Developments!$B$12:$S$12, 0)-1</f>
        <v>11</v>
      </c>
      <c r="AX59" s="179">
        <f>MATCH(AX63, AssetData_Developments!$B$12:$S$12, 0)-1</f>
        <v>12</v>
      </c>
      <c r="AY59" s="179">
        <f>MATCH(AY63, AssetData_Developments!$B$12:$S$12, 0)-1</f>
        <v>13</v>
      </c>
      <c r="AZ59" s="179">
        <f>MATCH(AZ63, AssetData_Developments!$B$12:$S$12, 0)-1</f>
        <v>14</v>
      </c>
    </row>
    <row r="61" spans="1:53">
      <c r="AC61" t="s">
        <v>227</v>
      </c>
      <c r="AE61">
        <v>10</v>
      </c>
      <c r="AH61">
        <v>5</v>
      </c>
      <c r="AI61">
        <v>1</v>
      </c>
    </row>
    <row r="62" spans="1:53" ht="13.5" customHeight="1">
      <c r="AO62" s="409" t="s">
        <v>248</v>
      </c>
      <c r="AP62" s="409"/>
      <c r="AQ62" s="409"/>
      <c r="AR62" s="409"/>
      <c r="AS62" s="409"/>
      <c r="AT62" s="409"/>
      <c r="AU62" s="409"/>
      <c r="AV62" s="409"/>
      <c r="AW62" s="409"/>
      <c r="AX62" s="43"/>
      <c r="AY62" s="43"/>
      <c r="AZ62" s="44"/>
    </row>
    <row r="63" spans="1:53" ht="12.75" customHeight="1">
      <c r="AM63" s="162" t="s">
        <v>82</v>
      </c>
      <c r="AN63" s="163" t="s">
        <v>83</v>
      </c>
      <c r="AO63" s="58" t="s">
        <v>9</v>
      </c>
      <c r="AP63" s="76" t="s">
        <v>10</v>
      </c>
      <c r="AQ63" s="400" t="s">
        <v>16</v>
      </c>
      <c r="AR63" s="400" t="s">
        <v>33</v>
      </c>
      <c r="AS63" s="400" t="s">
        <v>22</v>
      </c>
      <c r="AT63" s="400" t="s">
        <v>24</v>
      </c>
      <c r="AU63" s="400" t="s">
        <v>23</v>
      </c>
      <c r="AV63" s="1" t="s">
        <v>20</v>
      </c>
      <c r="AW63" s="400" t="s">
        <v>34</v>
      </c>
      <c r="AX63" s="400" t="s">
        <v>36</v>
      </c>
      <c r="AY63" s="400" t="s">
        <v>35</v>
      </c>
      <c r="AZ63" s="400" t="s">
        <v>15</v>
      </c>
    </row>
    <row r="64" spans="1:53">
      <c r="AM64" s="164"/>
      <c r="AN64" s="165"/>
      <c r="AO64" s="77"/>
      <c r="AP64" s="78"/>
      <c r="AQ64" s="401"/>
      <c r="AR64" s="401"/>
      <c r="AS64" s="401"/>
      <c r="AT64" s="401"/>
      <c r="AU64" s="401"/>
      <c r="AV64" s="79"/>
      <c r="AW64" s="401"/>
      <c r="AX64" s="401"/>
      <c r="AY64" s="401"/>
      <c r="AZ64" s="401"/>
    </row>
    <row r="65" spans="39:52">
      <c r="AM65" s="164" t="str">
        <f>$A$1 &amp; "1"</f>
        <v>sbd1</v>
      </c>
      <c r="AN65" s="165">
        <f>MATCH($AM65, AssetData_Developments!A:A,0)-AssetData_Developments!$C$4</f>
        <v>26</v>
      </c>
      <c r="AO65" s="80" t="str">
        <f ca="1">OFFSET(AssetData_Developments!$B$12, $AN65,AO$59)</f>
        <v>20 Fenchurch St (10%)</v>
      </c>
      <c r="AP65" s="81" t="str">
        <f ca="1">IF(OFFSET(AssetData_Developments!$B$12, $AN65,AP$59)="", "", OFFSET(AssetData_Developments!$B$12, $AN65,AP$59))</f>
        <v>City</v>
      </c>
      <c r="AQ65" s="82">
        <f ca="1">MROUND(OFFSET(AssetData_Developments!$B$12, $AN65,AQ$59),10)</f>
        <v>20</v>
      </c>
      <c r="AR65" s="83">
        <f ca="1">AQ65/$AQ$69</f>
        <v>5.7142857142857141E-2</v>
      </c>
      <c r="AS65" s="255">
        <f ca="1">OFFSET(AssetData_Developments!$B$12, $AN65,AS$59)</f>
        <v>28.441800000000001</v>
      </c>
      <c r="AT65" s="85">
        <f ca="1">MROUND(AQ65*1000/AS65,5)</f>
        <v>705</v>
      </c>
      <c r="AU65" s="85">
        <f ca="1">OFFSET(AssetData_Developments!$B$12, $AN65,AU$59)*1000/AS65</f>
        <v>56.499999999999993</v>
      </c>
      <c r="AV65" s="86">
        <f ca="1">OFFSET(AssetData_Developments!$B$12, $AN65,AV$59)</f>
        <v>1</v>
      </c>
      <c r="AW65" s="87">
        <f ca="1">OFFSET(AssetData_Developments!$B$12, $AN65,AW$59)</f>
        <v>8.6926539999999997E-2</v>
      </c>
      <c r="AX65" s="87">
        <f ca="1">OFFSET(AssetData_Developments!$B$12, $AN65,AX$59)</f>
        <v>4.7500000000000001E-2</v>
      </c>
      <c r="AY65" s="263">
        <f ca="1">OFFSET(AssetData_Developments!$B$12, $AN65,AY$59)</f>
        <v>0.73052718000000005</v>
      </c>
      <c r="AZ65" s="188" t="str">
        <f ca="1">OFFSET(AssetData_Developments!$B$12, $AN65,AZ$59)</f>
        <v>Q3 '16</v>
      </c>
    </row>
    <row r="66" spans="39:52">
      <c r="AM66" s="164" t="str">
        <f>$A$1 &amp; "2"</f>
        <v>sbd2</v>
      </c>
      <c r="AN66" s="165">
        <f>MATCH($AM66, AssetData_Developments!A:A,0)-AssetData_Developments!$C$4</f>
        <v>27</v>
      </c>
      <c r="AO66" s="68" t="str">
        <f ca="1">OFFSET(AssetData_Developments!$B$12, $AN66,AO$59)</f>
        <v>25 Churchill Place</v>
      </c>
      <c r="AP66" s="69" t="str">
        <f ca="1">IF(OFFSET(AssetData_Developments!$B$12, $AN66,AP$59)="", "", OFFSET(AssetData_Developments!$B$12, $AN66,AP$59))</f>
        <v>Canary Wharf</v>
      </c>
      <c r="AQ66" s="93">
        <v>330</v>
      </c>
      <c r="AR66" s="216">
        <f ca="1">AQ66/$AQ$69</f>
        <v>0.94285714285714284</v>
      </c>
      <c r="AS66" s="256">
        <v>500</v>
      </c>
      <c r="AT66" s="70">
        <f>MROUND(AQ66*1000/AS66,5)</f>
        <v>660</v>
      </c>
      <c r="AU66" s="70">
        <v>47</v>
      </c>
      <c r="AV66" s="218">
        <v>0.5</v>
      </c>
      <c r="AW66" s="219">
        <v>7.2999999999999995E-2</v>
      </c>
      <c r="AX66" s="219">
        <v>5.2999999999999999E-2</v>
      </c>
      <c r="AY66" s="71">
        <v>0.31</v>
      </c>
      <c r="AZ66" s="220" t="s">
        <v>255</v>
      </c>
    </row>
    <row r="67" spans="39:52" hidden="1">
      <c r="AM67" s="164" t="str">
        <f>$A$1 &amp; "3"</f>
        <v>sbd3</v>
      </c>
      <c r="AN67" s="165">
        <f>MATCH($AM67, AssetData_Developments!A:A,0)-AssetData_Developments!$C$4</f>
        <v>28</v>
      </c>
      <c r="AO67" s="80"/>
      <c r="AP67" s="81"/>
      <c r="AQ67" s="82"/>
      <c r="AR67" s="83"/>
      <c r="AS67" s="255"/>
      <c r="AT67" s="85"/>
      <c r="AU67" s="85"/>
      <c r="AV67" s="86"/>
      <c r="AW67" s="87"/>
      <c r="AX67" s="87"/>
      <c r="AY67" s="263"/>
      <c r="AZ67" s="188"/>
    </row>
    <row r="68" spans="39:52" hidden="1">
      <c r="AM68" s="166" t="str">
        <f>$A$1 &amp; "Other"</f>
        <v>sbdOther</v>
      </c>
      <c r="AN68" s="167">
        <f>MATCH($AM68, AssetData_Developments!A:A,0)-AssetData_Developments!$C$4</f>
        <v>29</v>
      </c>
      <c r="AO68" s="68"/>
      <c r="AP68" s="69"/>
      <c r="AQ68" s="93"/>
      <c r="AR68" s="216"/>
      <c r="AS68" s="256"/>
      <c r="AT68" s="70"/>
      <c r="AU68" s="70"/>
      <c r="AV68" s="218"/>
      <c r="AW68" s="219"/>
      <c r="AX68" s="219"/>
      <c r="AY68" s="71"/>
      <c r="AZ68" s="220"/>
    </row>
    <row r="69" spans="39:52" ht="14.25" customHeight="1" thickBot="1">
      <c r="AM69" s="166" t="s">
        <v>244</v>
      </c>
      <c r="AN69" s="167">
        <f>MATCH($AM69, AssetData_Developments!A:A,0)-AssetData_Developments!$C$4</f>
        <v>30</v>
      </c>
      <c r="AO69" s="48" t="s">
        <v>25</v>
      </c>
      <c r="AP69" s="49"/>
      <c r="AQ69" s="91">
        <f ca="1">SUM(AQ65:AQ68)</f>
        <v>350</v>
      </c>
      <c r="AR69" s="89">
        <f ca="1">SUM(AR65:AR68)</f>
        <v>1</v>
      </c>
      <c r="AS69" s="257">
        <f ca="1">SUM(AS65:AS68)</f>
        <v>528.44180000000006</v>
      </c>
      <c r="AT69" s="50">
        <f ca="1">MROUND(SUMPRODUCT(AT65:AT68,$AS$65:$AS$68)/$AS$69,5)</f>
        <v>660</v>
      </c>
      <c r="AU69" s="50">
        <f ca="1">SUMPRODUCT(AU65:AU68,$AS$65:$AS$68)/$AS$69</f>
        <v>47.511309097804144</v>
      </c>
      <c r="AV69" s="51">
        <f ca="1">SUMPRODUCT(AQ65:AQ66,AV65:AV66)/AQ69</f>
        <v>0.52857142857142858</v>
      </c>
      <c r="AW69" s="52">
        <f ca="1">SUMPRODUCT(AQ65:AQ66,AW65:AW66)/AQ69</f>
        <v>7.3795802285714279E-2</v>
      </c>
      <c r="AX69" s="52">
        <f ca="1">SUMPRODUCT(AQ65:AQ66,AX65:AX66)/AQ69</f>
        <v>5.268571428571428E-2</v>
      </c>
      <c r="AY69" s="51">
        <f ca="1">SUMPRODUCT(AQ65:AQ66,AY65:AY66)/AQ69</f>
        <v>0.33403012457142855</v>
      </c>
      <c r="AZ69" s="48"/>
    </row>
    <row r="71" spans="39:52">
      <c r="AO71" t="s">
        <v>227</v>
      </c>
      <c r="AQ71">
        <v>10</v>
      </c>
      <c r="AT71">
        <v>5</v>
      </c>
      <c r="AU71">
        <v>1</v>
      </c>
    </row>
    <row r="73" spans="39:52">
      <c r="AO73" s="279" t="s">
        <v>245</v>
      </c>
      <c r="AP73" s="279"/>
      <c r="AQ73" s="279"/>
      <c r="AR73" s="279"/>
      <c r="AS73" s="279"/>
      <c r="AT73" s="279"/>
      <c r="AU73" s="279"/>
      <c r="AV73" s="280">
        <f ca="1">SUMPRODUCT(AV65:AV68,$AS$65:$AS$68)/$AS$69</f>
        <v>0.52691100514758671</v>
      </c>
      <c r="AW73" s="281">
        <f ca="1">SUMPRODUCT(AW65:AW68,$AS$65:$AS$68)/$AS$69</f>
        <v>7.3749554379256135E-2</v>
      </c>
      <c r="AX73" s="281">
        <f ca="1">SUMPRODUCT(AX65:AX68,$AS$65:$AS$68)/$AS$69</f>
        <v>5.2703978943376542E-2</v>
      </c>
      <c r="AY73" s="282">
        <f ca="1">SUMPRODUCT(AY65:AY68,$AS$65:$AS$68)/$AS$69</f>
        <v>0.33263361821136023</v>
      </c>
      <c r="AZ73" s="279"/>
    </row>
  </sheetData>
  <mergeCells count="21">
    <mergeCell ref="J10:M10"/>
    <mergeCell ref="AS63:AS64"/>
    <mergeCell ref="D5:D6"/>
    <mergeCell ref="K5:N5"/>
    <mergeCell ref="AO62:AW62"/>
    <mergeCell ref="AU63:AU64"/>
    <mergeCell ref="AR63:AR64"/>
    <mergeCell ref="G10:H10"/>
    <mergeCell ref="AW63:AW64"/>
    <mergeCell ref="AH53:AH54"/>
    <mergeCell ref="H25:M26"/>
    <mergeCell ref="AI53:AI54"/>
    <mergeCell ref="AE53:AE54"/>
    <mergeCell ref="AQ63:AQ64"/>
    <mergeCell ref="AZ63:AZ64"/>
    <mergeCell ref="AT63:AT64"/>
    <mergeCell ref="AC52:AJ52"/>
    <mergeCell ref="AG53:AG54"/>
    <mergeCell ref="AF53:AF54"/>
    <mergeCell ref="AX63:AX64"/>
    <mergeCell ref="AY63:AY64"/>
  </mergeCells>
  <phoneticPr fontId="0" type="noConversion"/>
  <pageMargins left="0.47244094488188981" right="0.47244094488188981" top="0.27559055118110237" bottom="7.874015748031496E-2" header="0.51181102362204722" footer="0.51181102362204722"/>
  <pageSetup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BLND</vt:lpstr>
      <vt:lpstr>DLN</vt:lpstr>
      <vt:lpstr>GPOR</vt:lpstr>
      <vt:lpstr>HMSO</vt:lpstr>
      <vt:lpstr>LAND</vt:lpstr>
      <vt:lpstr>SBD</vt:lpstr>
      <vt:lpstr>DATA</vt:lpstr>
      <vt:lpstr>PortfolioData</vt:lpstr>
      <vt:lpstr>AssetData_Investment</vt:lpstr>
      <vt:lpstr>AssetData_Developments</vt:lpstr>
      <vt:lpstr>PET</vt:lpstr>
      <vt:lpstr>Development</vt:lpstr>
      <vt:lpstr>SBD - 20 Sep</vt:lpstr>
      <vt:lpstr>BLND!Print_Area</vt:lpstr>
      <vt:lpstr>DLN!Print_Area</vt:lpstr>
      <vt:lpstr>GPOR!Print_Area</vt:lpstr>
      <vt:lpstr>HMSO!Print_Area</vt:lpstr>
      <vt:lpstr>LAND!Print_Area</vt:lpstr>
      <vt:lpstr>SBD!Print_Area</vt:lpstr>
      <vt:lpstr>'SBD - 20 Sep'!Print_Area</vt:lpstr>
      <vt:lpstr>PET!Query_from_PET_EUR</vt:lpstr>
    </vt:vector>
  </TitlesOfParts>
  <Company>Green Street Advisors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Sadie Baldwin</dc:creator>
  <cp:lastModifiedBy>salmasi</cp:lastModifiedBy>
  <cp:lastPrinted>2017-01-20T20:54:55Z</cp:lastPrinted>
  <dcterms:created xsi:type="dcterms:W3CDTF">2011-08-11T14:03:12Z</dcterms:created>
  <dcterms:modified xsi:type="dcterms:W3CDTF">2017-01-20T20:54:56Z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{67046099-5921-4AD4-B7FF-E9D3D556CF68}</vt:lpwstr>
  </property>
  <property fmtid="{D5CDD505-2E9C-101B-9397-08002B2CF9AE}" pid="3" name="WorkbookGuid">
    <vt:lpwstr>ce4140e6-b88d-4990-a88c-aed617961d50</vt:lpwstr>
  </property>
</Properties>
</file>